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墨\桌面\2023-1-0354首开望京\"/>
    </mc:Choice>
  </mc:AlternateContent>
  <xr:revisionPtr revIDLastSave="0" documentId="13_ncr:1_{D1688ED1-066D-4351-AB10-EEBB4860139E}" xr6:coauthVersionLast="45" xr6:coauthVersionMax="45" xr10:uidLastSave="{00000000-0000-0000-0000-000000000000}"/>
  <bookViews>
    <workbookView xWindow="-120" yWindow="-120" windowWidth="21840" windowHeight="13140" tabRatio="899" firstSheet="12"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面积明细表" sheetId="81" r:id="rId18"/>
    <sheet name="典型户型修正" sheetId="31" r:id="rId19"/>
    <sheet name="比较法-办公租金" sheetId="34" r:id="rId20"/>
    <sheet name="结果一览表-首开广场" sheetId="82" r:id="rId21"/>
    <sheet name="结果表" sheetId="9" state="hidden" r:id="rId22"/>
    <sheet name="成本法" sheetId="68" state="hidden" r:id="rId23"/>
    <sheet name="假设开发法" sheetId="12" state="hidden" r:id="rId24"/>
    <sheet name="收益法" sheetId="15" state="hidden"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比较法-办公售价" sheetId="83" state="hidden" r:id="rId31"/>
    <sheet name="成本法 (元)" sheetId="69"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汇总）" sheetId="76" state="hidden" r:id="rId38"/>
    <sheet name="基准地价修正" sheetId="43" r:id="rId39"/>
    <sheet name="修正" sheetId="45" state="hidden" r:id="rId40"/>
    <sheet name="容积率修正" sheetId="46" state="hidden" r:id="rId41"/>
    <sheet name="成本法（废）" sheetId="11" state="hidden" r:id="rId42"/>
    <sheet name="案例" sheetId="80" r:id="rId43"/>
    <sheet name="区片价" sheetId="44" state="hidden" r:id="rId44"/>
    <sheet name="因素修正幅度" sheetId="65" state="hidden" r:id="rId45"/>
    <sheet name="区片价（范围）" sheetId="75" state="hidden" r:id="rId46"/>
    <sheet name="地价-分区" sheetId="79" r:id="rId47"/>
    <sheet name="地价" sheetId="71" state="hidden" r:id="rId48"/>
    <sheet name="存贷款利率" sheetId="73" state="hidden" r:id="rId49"/>
  </sheets>
  <externalReferences>
    <externalReference r:id="rId50"/>
    <externalReference r:id="rId51"/>
    <externalReference r:id="rId52"/>
  </externalReferences>
  <definedNames>
    <definedName name="_xlnm._FilterDatabase" localSheetId="30" hidden="1">'比较法-办公售价'!$A$1:$L$50</definedName>
    <definedName name="_xlnm._FilterDatabase" localSheetId="19" hidden="1">'比较法-办公租金'!$A$1:$L$50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30">'比较法-办公售价'!$A$1:$K$55,'比较法-办公售价'!$A$58:$M$132</definedName>
    <definedName name="_xlnm.Print_Area" localSheetId="19">'比较法-办公租金'!$A$1:$K$55,'比较法-办公租金'!$A$58:$M$132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2">成本法!$A$1:$G$57</definedName>
    <definedName name="_xlnm.Print_Area" localSheetId="31">'成本法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3">假设开发法!$A$1:$K$32</definedName>
    <definedName name="_xlnm.Print_Area" localSheetId="21">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42">'[1]比较法-办公'!$B$119:$M$119</definedName>
    <definedName name="办公层高" localSheetId="30">'比较法-办公售价'!$B$119:$M$119</definedName>
    <definedName name="办公层高">'比较法-办公租金'!$B$119:$M$119</definedName>
    <definedName name="办公朝向" localSheetId="42">'[1]比较法-办公'!$B$91:$M$91</definedName>
    <definedName name="办公朝向" localSheetId="30">'比较法-办公售价'!$B$91:$M$91</definedName>
    <definedName name="办公朝向">'比较法-办公租金'!$B$91:$M$91</definedName>
    <definedName name="办公道路级别" localSheetId="42">'[1]比较法-办公'!$B$87:$M$87</definedName>
    <definedName name="办公道路级别" localSheetId="30">'比较法-办公售价'!$B$87:$M$87</definedName>
    <definedName name="办公道路级别">'比较法-办公租金'!$B$87:$M$87</definedName>
    <definedName name="办公公共部分装修" localSheetId="42">'[1]比较法-办公'!$B$108:$M$108</definedName>
    <definedName name="办公公共部分装修" localSheetId="30">'比较法-办公售价'!$B$108:$M$108</definedName>
    <definedName name="办公公共部分装修">'比较法-办公租金'!$B$108:$M$108</definedName>
    <definedName name="办公基础设施水平" localSheetId="42">'[1]比较法-办公'!$B$117:$M$117</definedName>
    <definedName name="办公基础设施水平" localSheetId="30">'比较法-办公售价'!$B$117:$M$117</definedName>
    <definedName name="办公基础设施水平">'比较法-办公租金'!$B$117:$M$117</definedName>
    <definedName name="办公集聚程度" localSheetId="42">[1]定义!$M$1:$M$6</definedName>
    <definedName name="办公集聚程度">定义!$M$1:$M$6</definedName>
    <definedName name="办公建筑结构" localSheetId="42">'[1]比较法-办公'!$B$106:$M$106</definedName>
    <definedName name="办公建筑结构" localSheetId="30">'比较法-办公售价'!$B$106:$M$106</definedName>
    <definedName name="办公建筑结构">'比较法-办公租金'!$B$106:$M$106</definedName>
    <definedName name="办公建筑类型" localSheetId="42">'[1]比较法-办公'!$B$101:$M$101</definedName>
    <definedName name="办公建筑类型" localSheetId="30">'比较法-办公售价'!$B$101:$M$101</definedName>
    <definedName name="办公建筑类型">'比较法-办公租金'!$B$101:$M$101</definedName>
    <definedName name="办公交易情况" localSheetId="42">'[1]比较法-办公'!$A$62:$M$62</definedName>
    <definedName name="办公交易情况" localSheetId="30">'比较法-办公售价'!$A$62:$M$62</definedName>
    <definedName name="办公交易情况">'比较法-办公租金'!$A$62:$M$62</definedName>
    <definedName name="办公楼层" localSheetId="42">'[1]比较法-办公'!$B$89:$M$89</definedName>
    <definedName name="办公楼层" localSheetId="30">'比较法-办公售价'!$B$89:$M$89</definedName>
    <definedName name="办公楼层">'比较法-办公租金'!$B$89:$M$89</definedName>
    <definedName name="办公内部装修" localSheetId="42">'[1]比较法-办公'!$B$123:$M$123</definedName>
    <definedName name="办公内部装修" localSheetId="30">'比较法-办公售价'!$B$123:$M$123</definedName>
    <definedName name="办公内部装修">'比较法-办公租金'!$B$123:$M$123</definedName>
    <definedName name="办公物业管理" localSheetId="42">'[1]比较法-办公'!$B$115:$M$115</definedName>
    <definedName name="办公物业管理" localSheetId="30">'比较法-办公售价'!$B$115:$M$115</definedName>
    <definedName name="办公物业管理">'比较法-办公租金'!$B$115:$M$115</definedName>
    <definedName name="办公用途" localSheetId="42">'[1]比较法-办公'!$B$64:$M$64</definedName>
    <definedName name="办公用途" localSheetId="30">'比较法-办公售价'!$B$64:$M$64</definedName>
    <definedName name="办公用途">'比较法-办公租金'!$B$64:$M$64</definedName>
    <definedName name="仓储公共部分装修" localSheetId="42">'[1]比较法-仓储'!$B$77:$M$77</definedName>
    <definedName name="仓储公共部分装修">'比较法-仓储'!$B$77:$M$77</definedName>
    <definedName name="仓储交易情况" localSheetId="42">'[1]比较法-仓储'!$A$49:$M$49</definedName>
    <definedName name="仓储交易情况">'比较法-仓储'!$A$49:$M$49</definedName>
    <definedName name="仓储楼层" localSheetId="42">'[1]比较法-仓储'!$B$69:$M$69</definedName>
    <definedName name="仓储楼层">'比较法-仓储'!$B$69:$M$69</definedName>
    <definedName name="仓储物业等级" localSheetId="42">'[1]比较法-仓储'!$B$82:$M$82</definedName>
    <definedName name="仓储物业等级">'比较法-仓储'!$B$82:$M$82</definedName>
    <definedName name="仓储用途" localSheetId="42">'[1]比较法-仓储'!$B$51:$M$51</definedName>
    <definedName name="仓储用途">'比较法-仓储'!$B$51:$M$51</definedName>
    <definedName name="产业集聚程度" localSheetId="42">[1]定义!$N$1:$N$6</definedName>
    <definedName name="产业集聚程度">定义!$N$1:$N$6</definedName>
    <definedName name="车位公共部分装修" localSheetId="42">'[1]比较法-车位'!$B$83:$M$83</definedName>
    <definedName name="车位公共部分装修">'比较法-车位'!$B$83:$M$83</definedName>
    <definedName name="车位交易情况" localSheetId="42">'[1]比较法-车位'!$A$51:$M$51</definedName>
    <definedName name="车位交易情况">'比较法-车位'!$A$51:$M$51</definedName>
    <definedName name="车位类型" localSheetId="42">'[1]比较法-车位'!$B$93:$M$93</definedName>
    <definedName name="车位类型">'比较法-车位'!$B$93:$M$93</definedName>
    <definedName name="车位楼层" localSheetId="42">'[1]比较法-车位'!$B$71:$M$71</definedName>
    <definedName name="车位楼层">'比较法-车位'!$B$71:$M$71</definedName>
    <definedName name="车位配套类型" localSheetId="42">'[1]比较法-车位'!$B$79:$M$79</definedName>
    <definedName name="车位配套类型">'比较法-车位'!$B$79:$M$79</definedName>
    <definedName name="车位物业等级" localSheetId="42">'[1]比较法-车位'!$B$88:$M$88</definedName>
    <definedName name="车位物业等级">'比较法-车位'!$B$88:$M$88</definedName>
    <definedName name="车位用途" localSheetId="42">'[1]比较法-车位'!$B$53:$M$53</definedName>
    <definedName name="车位用途">'比较法-车位'!$B$53:$M$53</definedName>
    <definedName name="城镇土地纳税等级分级范围" localSheetId="42">'[1]数据-取费表'!$A$53:$A$63</definedName>
    <definedName name="城镇土地纳税等级分级范围">'数据-取费表'!$A$53:$A$63</definedName>
    <definedName name="单价内涵" localSheetId="42">[1]定义!$V$1:$V$3</definedName>
    <definedName name="单价内涵">定义!$V$1:$V$3</definedName>
    <definedName name="地类判定" localSheetId="42">[1]定义!$H$1:$H$9</definedName>
    <definedName name="地类判定">定义!$H$1:$H$9</definedName>
    <definedName name="二级">区片价!$J$1:$J$21</definedName>
    <definedName name="二级分类" localSheetId="42">[1]修正!$C$17:$C$39</definedName>
    <definedName name="二级分类">修正!$C$19:$C$51</definedName>
    <definedName name="法定最高年限" localSheetId="42">[1]定义!$G$1:$G$4</definedName>
    <definedName name="法定最高年限">定义!$G$1:$G$6</definedName>
    <definedName name="工业公共部分装修" localSheetId="42">'[1]比较法-工业'!$B$95:$M$95</definedName>
    <definedName name="工业公共部分装修">'比较法-工业'!$B$95:$M$95</definedName>
    <definedName name="工业基础设施水平" localSheetId="42">'[1]比较法-工业'!$B$102:$M$102</definedName>
    <definedName name="工业基础设施水平">'比较法-工业'!$B$102:$M$102</definedName>
    <definedName name="工业建筑结构" localSheetId="42">'[1]比较法-工业'!$B$93:$M$93</definedName>
    <definedName name="工业建筑结构">'比较法-工业'!$B$93:$M$93</definedName>
    <definedName name="工业建筑类型" localSheetId="42">'[1]比较法-工业'!$B$88:$M$88</definedName>
    <definedName name="工业建筑类型">'比较法-工业'!$B$88:$M$88</definedName>
    <definedName name="工业交易情况" localSheetId="42">'[1]比较法-工业'!$A$55:$M$55</definedName>
    <definedName name="工业交易情况">'比较法-工业'!$A$55:$M$55</definedName>
    <definedName name="工业内部装修" localSheetId="42">'[1]比较法-工业'!$B$104:$M$104</definedName>
    <definedName name="工业内部装修">'比较法-工业'!$B$104:$M$104</definedName>
    <definedName name="工业物业管理" localSheetId="42">'[1]比较法-工业'!$B$100:$M$100</definedName>
    <definedName name="工业物业管理">'比较法-工业'!$B$100:$M$100</definedName>
    <definedName name="工业用途" localSheetId="42">'[1]比较法-工业'!$B$57:$M$57</definedName>
    <definedName name="工业用途">'比较法-工业'!$B$57:$M$57</definedName>
    <definedName name="公共配套设施" localSheetId="42">[1]定义!$Q$1:$Q$6</definedName>
    <definedName name="公共配套设施">定义!$Q$1:$Q$6</definedName>
    <definedName name="估价范围判定">定义!$D$1:$D$4</definedName>
    <definedName name="估价方法" localSheetId="42">[1]定义!$B$1:$B$50</definedName>
    <definedName name="估价方法">定义!$B$1:$B$50</definedName>
    <definedName name="环境" localSheetId="42">[1]定义!$S$1:$S$6</definedName>
    <definedName name="环境">定义!$S$1:$S$6</definedName>
    <definedName name="基础设施水平" localSheetId="42">[1]定义!$R$1:$R$6</definedName>
    <definedName name="基础设施水平">定义!$R$1:$R$6</definedName>
    <definedName name="季度">基准地价修正!$Q$19:$AD$19</definedName>
    <definedName name="价值类型2" localSheetId="42">[1]定义!$B$54:$B$56</definedName>
    <definedName name="价值类型2">定义!$B$54:$B$56</definedName>
    <definedName name="交通便捷度" localSheetId="42">[1]定义!$O$1:$O$6</definedName>
    <definedName name="交通便捷度">定义!$O$1:$O$6</definedName>
    <definedName name="九级">区片价!$Q$1:$Q$51</definedName>
    <definedName name="居住社区成熟度" localSheetId="42">[1]定义!$K$1:$K$6</definedName>
    <definedName name="居住社区成熟度">定义!$K$1:$K$6</definedName>
    <definedName name="类别" localSheetId="42">[1]定义!$J$1:$J$3</definedName>
    <definedName name="类别">定义!$J$1:$J$3</definedName>
    <definedName name="临街状况" localSheetId="42">[1]定义!$T$1:$T$5</definedName>
    <definedName name="临街状况">定义!$T$1:$T$5</definedName>
    <definedName name="六级">区片价!$N$1:$N$64</definedName>
    <definedName name="内部装修维护情况" localSheetId="42">[1]定义!$U$1:$U$6</definedName>
    <definedName name="内部装修维护情况">定义!$U$1:$U$6</definedName>
    <definedName name="判定">[1]定义!$D$1:$D$4</definedName>
    <definedName name="七级">区片价!$O$1:$O$45</definedName>
    <definedName name="七通一平" localSheetId="42">[1]修正!$A$6:$A$14</definedName>
    <definedName name="七通一平">修正!$A$8:$A$16</definedName>
    <definedName name="区域土地利用方向" localSheetId="42">[1]定义!$P$1:$P$6</definedName>
    <definedName name="区域土地利用方向">定义!$P$1:$P$6</definedName>
    <definedName name="三级">区片价!$K$1:$K$26</definedName>
    <definedName name="商业层高" localSheetId="42">'[1]比较法-商业'!$B$116:$M$116</definedName>
    <definedName name="商业层高">'比较法-商业'!$B$116:$M$116</definedName>
    <definedName name="商业成新度">'比较法-商业'!$B$109:$M$109</definedName>
    <definedName name="商业繁华度" localSheetId="42">[1]定义!$L$1:$L$6</definedName>
    <definedName name="商业繁华度">定义!$L$1:$L$6</definedName>
    <definedName name="商业公共部分装修" localSheetId="42">'[1]比较法-商业'!$B$107:$M$107</definedName>
    <definedName name="商业公共部分装修">'比较法-商业'!$B$107:$M$107</definedName>
    <definedName name="商业基础设施水平" localSheetId="42">'[1]比较法-商业'!$B$112:$M$112</definedName>
    <definedName name="商业基础设施水平">'比较法-商业'!$B$112:$M$112</definedName>
    <definedName name="商业建筑结构" localSheetId="42">'[1]比较法-商业'!$B$105:$M$105</definedName>
    <definedName name="商业建筑结构">'比较法-商业'!$B$105:$M$105</definedName>
    <definedName name="商业交易情况" localSheetId="42">'[1]比较法-商业'!$A$61:$M$61</definedName>
    <definedName name="商业交易情况">'比较法-商业'!$A$61:$M$61</definedName>
    <definedName name="商业街名称" localSheetId="42">[1]修正!$C$59:$C$119</definedName>
    <definedName name="商业街名称">修正!$C$71:$C$138</definedName>
    <definedName name="商业进深比" localSheetId="42">'[1]比较法-商业'!$B$120:$M$120</definedName>
    <definedName name="商业进深比">'比较法-商业'!$B$120:$M$120</definedName>
    <definedName name="商业类型" localSheetId="42">'[1]比较法-商业'!$B$100:$M$100</definedName>
    <definedName name="商业类型">'比较法-商业'!$B$100:$M$100</definedName>
    <definedName name="商业临街状况" localSheetId="42">'[1]比较法-商业'!$B$86:$M$86</definedName>
    <definedName name="商业临街状况">'比较法-商业'!$B$86:$M$86</definedName>
    <definedName name="商业楼层" localSheetId="42">'[1]比较法-商业'!$B$92:$M$92</definedName>
    <definedName name="商业楼层">'比较法-商业'!$B$92:$M$92</definedName>
    <definedName name="商业内部装修" localSheetId="42">'[1]比较法-商业'!$B$122:$M$122</definedName>
    <definedName name="商业内部装修">'比较法-商业'!$B$122:$M$122</definedName>
    <definedName name="商业人流量" localSheetId="42">'[1]比较法-商业'!$B$90:$M$90</definedName>
    <definedName name="商业人流量">'比较法-商业'!$B$90:$M$90</definedName>
    <definedName name="商业业态" localSheetId="42">'[1]比较法-商业'!$B$114:$M$114</definedName>
    <definedName name="商业业态">'比较法-商业'!$B$114:$M$114</definedName>
    <definedName name="商业用途" localSheetId="42">'[1]比较法-商业'!$B$63:$M$63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42">'[1]比较法-仓储'!$B$89:$M$89</definedName>
    <definedName name="是否封闭">'比较法-仓储'!$B$89:$M$89</definedName>
    <definedName name="是否直接入户" localSheetId="42">'[1]比较法-车位'!$B$95:$M$95</definedName>
    <definedName name="是否直接入户">'比较法-车位'!$B$95:$M$95</definedName>
    <definedName name="四级">区片价!$L$1:$L$33</definedName>
    <definedName name="套工道路等级" localSheetId="42">'[1]土地比较法-工业'!$B$97:$M$97</definedName>
    <definedName name="套工道路等级">'土地比较法-工业'!$B$97:$M$97</definedName>
    <definedName name="套工地质条件" localSheetId="42">'[1]土地比较法-工业'!$B$114:$M$114</definedName>
    <definedName name="套工地质条件">'土地比较法-工业'!$B$114:$M$114</definedName>
    <definedName name="套工交易情况" localSheetId="42">'[1]土地比较法-住宅、综合'!$A$73:$M$73</definedName>
    <definedName name="套工交易情况">'土地比较法-住宅、综合'!$A$72:$M$72</definedName>
    <definedName name="套工土地级别" localSheetId="42">'[1]土地比较法-工业'!$B$99:$M$99</definedName>
    <definedName name="套工土地级别">'土地比较法-工业'!$B$99:$M$99</definedName>
    <definedName name="套工用途" localSheetId="42">'[1]土地比较法-工业'!$B$70:$M$70</definedName>
    <definedName name="套工用途">'土地比较法-工业'!$B$70:$M$70</definedName>
    <definedName name="套工宗地开发程度" localSheetId="42">'[1]土地比较法-工业'!$B$112:$M$112</definedName>
    <definedName name="套工宗地开发程度">'土地比较法-工业'!$B$112:$M$112</definedName>
    <definedName name="套工宗地形状" localSheetId="42">'[1]土地比较法-工业'!$B$110:$M$110</definedName>
    <definedName name="套工宗地形状">'土地比较法-工业'!$B$110:$M$110</definedName>
    <definedName name="套综道路等级" localSheetId="42">'[1]土地比较法-住宅、综合'!$B$106:$M$106</definedName>
    <definedName name="套综道路等级">'土地比较法-住宅、综合'!$B$105:$M$105</definedName>
    <definedName name="套综工程地质条件" localSheetId="42">'[1]土地比较法-住宅、综合'!$B$125:$M$125</definedName>
    <definedName name="套综工程地质条件">'土地比较法-住宅、综合'!$B$124:$M$124</definedName>
    <definedName name="套综交易情况" localSheetId="42">'[1]土地比较法-住宅、综合'!$A$73:$M$73</definedName>
    <definedName name="套综交易情况">'土地比较法-住宅、综合'!$A$72:$M$72</definedName>
    <definedName name="套综临街宽度及深度" localSheetId="42">'[1]土地比较法-住宅、综合'!$B$121:$M$121</definedName>
    <definedName name="套综临街宽度及深度">'土地比较法-住宅、综合'!$B$120:$M$120</definedName>
    <definedName name="套综土地级别" localSheetId="42">'[1]土地比较法-住宅、综合'!$B$108:$M$108</definedName>
    <definedName name="套综土地级别">'土地比较法-住宅、综合'!$B$107:$M$107</definedName>
    <definedName name="套综用途" localSheetId="42">'[1]土地比较法-住宅、综合'!$B$75:$M$75</definedName>
    <definedName name="套综用途">'土地比较法-住宅、综合'!$B$74:$M$74</definedName>
    <definedName name="套综宗地内开发程度" localSheetId="42">'[1]土地比较法-住宅、综合'!$B$123:$M$123</definedName>
    <definedName name="套综宗地内开发程度">'土地比较法-住宅、综合'!$B$122:$M$122</definedName>
    <definedName name="套综宗地形状" localSheetId="42">'[1]土地比较法-住宅、综合'!$B$119:$M$119</definedName>
    <definedName name="套综宗地形状">'土地比较法-住宅、综合'!$B$118:$M$118</definedName>
    <definedName name="土地估价师">估价师及机构信息!$D$3:$D$24</definedName>
    <definedName name="土地级别" localSheetId="42">[1]定义!$C$1:$C$14</definedName>
    <definedName name="土地级别">定义!$C$1:$C$14</definedName>
    <definedName name="土地利用方向">定义!$P$1:$P$6</definedName>
    <definedName name="土地年限区间" localSheetId="42">[1]定义!$I$1:$I$8</definedName>
    <definedName name="土地年限区间">定义!$I$1:$I$16</definedName>
    <definedName name="位置" localSheetId="42">[1]定义!$E$2:$E$4</definedName>
    <definedName name="位置">定义!$E$2:$E$4</definedName>
    <definedName name="五等判定" localSheetId="42">[1]定义!$W$1:$W$6</definedName>
    <definedName name="五等判定">定义!$W$1:$W$6</definedName>
    <definedName name="五级">区片价!$M$1:$M$41</definedName>
    <definedName name="项目类型" localSheetId="42">'[1]数据-汇总表'!$C$17:$C$26</definedName>
    <definedName name="项目类型" localSheetId="26">'[2]数据-汇总表'!$C$17:$C$26</definedName>
    <definedName name="项目类型">'数据-汇总表'!$C$17:$C$26</definedName>
    <definedName name="写字楼等级" localSheetId="42">'[1]比较法-办公'!$B$113:$M$113</definedName>
    <definedName name="写字楼等级" localSheetId="30">'比较法-办公售价'!$B$113:$M$113</definedName>
    <definedName name="写字楼等级">'比较法-办公租金'!$B$113:$M$113</definedName>
    <definedName name="一级">区片价!$I$1:$I$6</definedName>
    <definedName name="一修多修正项2" localSheetId="42">[1]典型户型修正!$5:$5</definedName>
    <definedName name="一修多修正项2">典型户型修正!$5:$5</definedName>
    <definedName name="一修多修正项3" localSheetId="42">[1]典型户型修正!$7:$7</definedName>
    <definedName name="一修多修正项3">典型户型修正!$7:$7</definedName>
    <definedName name="一修多修正项4" localSheetId="42">[1]典型户型修正!$9:$9</definedName>
    <definedName name="一修多修正项4">典型户型修正!$9:$9</definedName>
    <definedName name="一修多修正项5" localSheetId="42">[1]典型户型修正!$11:$11</definedName>
    <definedName name="一修多修正项5">典型户型修正!$11:$11</definedName>
    <definedName name="一修多修正项6" localSheetId="42">[1]典型户型修正!$13:$13</definedName>
    <definedName name="一修多修正项6">典型户型修正!$13:$13</definedName>
    <definedName name="一修多修正项7" localSheetId="42">[1]典型户型修正!$15:$15</definedName>
    <definedName name="一修多修正项7">典型户型修正!$15:$15</definedName>
    <definedName name="一修多修正项8" localSheetId="42">[1]典型户型修正!$17:$17</definedName>
    <definedName name="一修多修正项8">典型户型修正!$17:$17</definedName>
    <definedName name="用途明细" localSheetId="42">[1]定义!$A$1:$A$50</definedName>
    <definedName name="用途明细">定义!$A$1:$A$50</definedName>
    <definedName name="有无电梯" localSheetId="42">'[1]比较法-仓储'!$B$84:$M$84</definedName>
    <definedName name="有无电梯">'比较法-仓储'!$B$84:$M$84</definedName>
    <definedName name="主用途" localSheetId="42">[1]定义!$F$1:$F$10</definedName>
    <definedName name="主用途">定义!$F$1:$F$12</definedName>
    <definedName name="住宅朝向" localSheetId="42">'[1]比较法-住宅'!$B$88:$M$88</definedName>
    <definedName name="住宅朝向">'比较法-住宅'!$B$88:$M$88</definedName>
    <definedName name="住宅房型" localSheetId="42">'[1]比较法-住宅'!$B$118:$M$118</definedName>
    <definedName name="住宅房型">'比较法-住宅'!$B$118:$M$118</definedName>
    <definedName name="住宅公共部分装修" localSheetId="42">'[1]比较法-住宅'!$B$109:$M$109</definedName>
    <definedName name="住宅公共部分装修">'比较法-住宅'!$B$109:$M$109</definedName>
    <definedName name="住宅基础设施水平" localSheetId="42">'[1]比较法-住宅'!$B$116:$M$116</definedName>
    <definedName name="住宅基础设施水平">'比较法-住宅'!$B$116:$M$116</definedName>
    <definedName name="住宅建筑结构" localSheetId="42">'[1]比较法-住宅'!$B$105:$M$105</definedName>
    <definedName name="住宅建筑结构">'比较法-住宅'!$B$105:$M$105</definedName>
    <definedName name="住宅建筑类型" localSheetId="42">'[1]比较法-住宅'!$B$100:$M$100</definedName>
    <definedName name="住宅建筑类型">'比较法-住宅'!$B$100:$M$100</definedName>
    <definedName name="住宅建筑品质" localSheetId="42">'[1]比较法-住宅'!$B$107:$M$107</definedName>
    <definedName name="住宅建筑品质">'比较法-住宅'!$B$107:$M$107</definedName>
    <definedName name="住宅交易情况" localSheetId="42">'[1]比较法-住宅'!$A$61:$M$61</definedName>
    <definedName name="住宅交易情况">'比较法-住宅'!$A$61:$M$61</definedName>
    <definedName name="住宅楼层" localSheetId="42">'[1]比较法-住宅'!$B$86:$M$86</definedName>
    <definedName name="住宅楼层">'比较法-住宅'!$B$86:$M$86</definedName>
    <definedName name="住宅内部装修" localSheetId="42">'[1]比较法-住宅'!$B$122:$M$122</definedName>
    <definedName name="住宅内部装修">'比较法-住宅'!$B$122:$M$122</definedName>
    <definedName name="住宅物业管理" localSheetId="42">'[1]比较法-住宅'!$B$114:$M$114</definedName>
    <definedName name="住宅物业管理">'比较法-住宅'!$B$114:$M$114</definedName>
    <definedName name="住宅用途" localSheetId="42">'[1]比较法-住宅'!$B$63:$M$63</definedName>
    <definedName name="住宅用途">'比较法-住宅'!$B$63:$M$63</definedName>
    <definedName name="住宅主力户型面积">'比较法-住宅'!$B$120:$M$120</definedName>
    <definedName name="注册房地产估价师" localSheetId="42">[1]估价师及机构信息!$A$3:$A$16</definedName>
    <definedName name="注册房地产估价师">估价师及机构信息!$A$3:$A$16</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69" l="1"/>
  <c r="C9" i="69"/>
  <c r="D10" i="69"/>
  <c r="C10" i="69"/>
  <c r="C8" i="69"/>
  <c r="C5" i="69"/>
  <c r="C20" i="69"/>
  <c r="D5" i="73"/>
  <c r="K1" i="73"/>
  <c r="D4" i="73"/>
  <c r="G1" i="73"/>
  <c r="B40" i="1"/>
  <c r="F22" i="69"/>
  <c r="C23" i="69"/>
  <c r="C24" i="69"/>
  <c r="C25" i="69"/>
  <c r="C22" i="69"/>
  <c r="F27" i="69"/>
  <c r="C28" i="69"/>
  <c r="C27" i="69"/>
  <c r="C26" i="69"/>
  <c r="D22" i="69"/>
  <c r="C29" i="69"/>
  <c r="D27" i="69"/>
  <c r="C31" i="69"/>
  <c r="C34" i="69"/>
  <c r="C35" i="69"/>
  <c r="C36" i="69"/>
  <c r="D19" i="69"/>
  <c r="D37" i="69"/>
  <c r="C37" i="69"/>
  <c r="C38" i="69"/>
  <c r="C33" i="69"/>
  <c r="C39" i="69"/>
  <c r="C42" i="69"/>
  <c r="C43" i="69"/>
  <c r="C41" i="69"/>
  <c r="C46" i="69"/>
  <c r="C45" i="69"/>
  <c r="C44" i="69"/>
  <c r="D41" i="69"/>
  <c r="C47" i="69"/>
  <c r="D45" i="69"/>
  <c r="C49" i="69"/>
  <c r="C51" i="69"/>
  <c r="C52" i="69"/>
  <c r="B2" i="69"/>
  <c r="B3" i="69"/>
  <c r="E14" i="74"/>
  <c r="D14" i="74"/>
  <c r="E10" i="74"/>
  <c r="B9" i="74"/>
  <c r="B11" i="74"/>
  <c r="H21" i="81"/>
  <c r="J21" i="81"/>
  <c r="I21" i="81"/>
  <c r="R41" i="31"/>
  <c r="J20" i="81"/>
  <c r="R40" i="31"/>
  <c r="J19" i="81"/>
  <c r="R39" i="31"/>
  <c r="J18" i="81"/>
  <c r="R38" i="31"/>
  <c r="J17" i="81"/>
  <c r="R37" i="31"/>
  <c r="J16" i="81"/>
  <c r="I13" i="3"/>
  <c r="F19" i="6"/>
  <c r="E19" i="6"/>
  <c r="K6" i="1"/>
  <c r="BB13" i="3"/>
  <c r="BA13" i="3"/>
  <c r="BB14" i="3"/>
  <c r="BA14" i="3"/>
  <c r="BB15" i="3"/>
  <c r="BA15" i="3"/>
  <c r="BB16" i="3"/>
  <c r="BA16" i="3"/>
  <c r="BB17" i="3"/>
  <c r="BA17" i="3"/>
  <c r="BA5" i="3"/>
  <c r="E27" i="6"/>
  <c r="K19" i="6"/>
  <c r="S6" i="1"/>
  <c r="C23" i="82"/>
  <c r="I3" i="82"/>
  <c r="C8" i="82"/>
  <c r="C9" i="82"/>
  <c r="C10" i="82"/>
  <c r="C11" i="82"/>
  <c r="C12" i="82"/>
  <c r="C13" i="82"/>
  <c r="C14" i="82"/>
  <c r="C17" i="82"/>
  <c r="C18" i="82"/>
  <c r="C20" i="82"/>
  <c r="C21" i="82"/>
  <c r="C22" i="82"/>
  <c r="C25" i="43"/>
  <c r="D50" i="43"/>
  <c r="E50" i="43"/>
  <c r="B48" i="43"/>
  <c r="C28" i="43"/>
  <c r="C33" i="43"/>
  <c r="D33" i="43"/>
  <c r="C6" i="69"/>
  <c r="C7" i="69"/>
  <c r="M6" i="1"/>
  <c r="K7" i="1"/>
  <c r="M7" i="1"/>
  <c r="K8" i="1"/>
  <c r="M8" i="1"/>
  <c r="K9" i="1"/>
  <c r="M9" i="1"/>
  <c r="K10" i="1"/>
  <c r="M10" i="1"/>
  <c r="K11" i="1"/>
  <c r="M11" i="1"/>
  <c r="K12" i="1"/>
  <c r="M12" i="1"/>
  <c r="K13" i="1"/>
  <c r="M13" i="1"/>
  <c r="K14" i="1"/>
  <c r="M14" i="1"/>
  <c r="M16" i="1"/>
  <c r="I8" i="82"/>
  <c r="C26" i="82"/>
  <c r="C64" i="34"/>
  <c r="F9" i="34"/>
  <c r="AA9" i="34"/>
  <c r="F29" i="34"/>
  <c r="AA29" i="34"/>
  <c r="C34" i="34"/>
  <c r="F34" i="34"/>
  <c r="AA34" i="34"/>
  <c r="R49" i="34"/>
  <c r="H9" i="34"/>
  <c r="AB9" i="34"/>
  <c r="H29" i="34"/>
  <c r="AB29" i="34"/>
  <c r="H34" i="34"/>
  <c r="AB34" i="34"/>
  <c r="T49" i="34"/>
  <c r="J9" i="34"/>
  <c r="AC9" i="34"/>
  <c r="J29" i="34"/>
  <c r="AC29" i="34"/>
  <c r="J34" i="34"/>
  <c r="AC34" i="34"/>
  <c r="V49" i="34"/>
  <c r="R50" i="34"/>
  <c r="C49" i="34"/>
  <c r="D35" i="82"/>
  <c r="I20" i="82"/>
  <c r="I7" i="82"/>
  <c r="H9" i="82"/>
  <c r="H15" i="82"/>
  <c r="H14" i="82"/>
  <c r="M42" i="34"/>
  <c r="D58" i="43"/>
  <c r="F20" i="69"/>
  <c r="F21" i="69"/>
  <c r="C21" i="69"/>
  <c r="F35" i="69"/>
  <c r="C40" i="69"/>
  <c r="B14" i="74"/>
  <c r="I8" i="81"/>
  <c r="H8" i="81"/>
  <c r="E24" i="82"/>
  <c r="F23" i="34"/>
  <c r="AA23" i="34"/>
  <c r="F37" i="34"/>
  <c r="AA37" i="34"/>
  <c r="F41" i="34"/>
  <c r="AA41" i="34"/>
  <c r="F39" i="34"/>
  <c r="AA39" i="34"/>
  <c r="F35" i="34"/>
  <c r="AA35" i="34"/>
  <c r="F36" i="34"/>
  <c r="AA36" i="34"/>
  <c r="F40" i="34"/>
  <c r="AA40" i="34"/>
  <c r="F43" i="34"/>
  <c r="AA43" i="34"/>
  <c r="H23" i="34"/>
  <c r="AB23" i="34"/>
  <c r="H37" i="34"/>
  <c r="AB37" i="34"/>
  <c r="H41" i="34"/>
  <c r="AB41" i="34"/>
  <c r="H39" i="34"/>
  <c r="AB39" i="34"/>
  <c r="H35" i="34"/>
  <c r="AB35" i="34"/>
  <c r="H36" i="34"/>
  <c r="AB36" i="34"/>
  <c r="H40" i="34"/>
  <c r="AB40" i="34"/>
  <c r="H43" i="34"/>
  <c r="AB43" i="34"/>
  <c r="J23" i="34"/>
  <c r="AC23" i="34"/>
  <c r="J37" i="34"/>
  <c r="AC37" i="34"/>
  <c r="J41" i="34"/>
  <c r="AC41" i="34"/>
  <c r="J39" i="34"/>
  <c r="AC39" i="34"/>
  <c r="J35" i="34"/>
  <c r="AC35" i="34"/>
  <c r="J36" i="34"/>
  <c r="AC36" i="34"/>
  <c r="J40" i="34"/>
  <c r="AC40" i="34"/>
  <c r="J43" i="34"/>
  <c r="AC43" i="34"/>
  <c r="D105" i="34"/>
  <c r="E105" i="34"/>
  <c r="F105" i="34"/>
  <c r="G105" i="34"/>
  <c r="I5" i="82"/>
  <c r="M2" i="82"/>
  <c r="M4" i="82"/>
  <c r="P9" i="82"/>
  <c r="O10" i="82"/>
  <c r="O5" i="82"/>
  <c r="D78" i="34"/>
  <c r="E78" i="34"/>
  <c r="F15" i="34"/>
  <c r="AA15" i="34"/>
  <c r="D80" i="34"/>
  <c r="F17" i="34"/>
  <c r="AA17" i="34"/>
  <c r="D102" i="34"/>
  <c r="F33" i="34"/>
  <c r="AA33" i="34"/>
  <c r="D124" i="34"/>
  <c r="F25" i="34"/>
  <c r="AA25" i="34"/>
  <c r="H15" i="34"/>
  <c r="AB15" i="34"/>
  <c r="H17" i="34"/>
  <c r="AB17" i="34"/>
  <c r="H33" i="34"/>
  <c r="AB33" i="34"/>
  <c r="H25" i="34"/>
  <c r="AB25" i="34"/>
  <c r="J15" i="34"/>
  <c r="AC15" i="34"/>
  <c r="J17" i="34"/>
  <c r="AC17" i="34"/>
  <c r="J33" i="34"/>
  <c r="AC33" i="34"/>
  <c r="J25" i="34"/>
  <c r="AC25" i="34"/>
  <c r="C36" i="82"/>
  <c r="B25" i="31"/>
  <c r="B26" i="31"/>
  <c r="B27" i="31"/>
  <c r="B28" i="31"/>
  <c r="E4" i="31"/>
  <c r="F4" i="31"/>
  <c r="G4" i="31"/>
  <c r="D4" i="31"/>
  <c r="S9" i="79"/>
  <c r="T9" i="79"/>
  <c r="U9" i="79"/>
  <c r="V9" i="79"/>
  <c r="W9" i="79"/>
  <c r="S10" i="79"/>
  <c r="T10" i="79"/>
  <c r="U10" i="79"/>
  <c r="V10" i="79"/>
  <c r="W10" i="79"/>
  <c r="S11" i="79"/>
  <c r="T11" i="79"/>
  <c r="U11" i="79"/>
  <c r="V11" i="79"/>
  <c r="W11" i="79"/>
  <c r="S12" i="79"/>
  <c r="T12" i="79"/>
  <c r="U12" i="79"/>
  <c r="V12" i="79"/>
  <c r="W12" i="79"/>
  <c r="S13" i="79"/>
  <c r="T13" i="79"/>
  <c r="U13" i="79"/>
  <c r="V13" i="79"/>
  <c r="W13" i="79"/>
  <c r="S14" i="79"/>
  <c r="T14" i="79"/>
  <c r="U14" i="79"/>
  <c r="V14" i="79"/>
  <c r="W14" i="79"/>
  <c r="S15" i="79"/>
  <c r="T15" i="79"/>
  <c r="U15" i="79"/>
  <c r="V15" i="79"/>
  <c r="W15" i="79"/>
  <c r="C23" i="43"/>
  <c r="R48" i="34"/>
  <c r="T48" i="34"/>
  <c r="V48" i="34"/>
  <c r="B24" i="31"/>
  <c r="C26" i="31"/>
  <c r="C27" i="31"/>
  <c r="C28" i="31"/>
  <c r="C25" i="31"/>
  <c r="D51" i="43"/>
  <c r="N21" i="1"/>
  <c r="G1" i="69"/>
  <c r="B29" i="1"/>
  <c r="I14" i="3"/>
  <c r="I15" i="3"/>
  <c r="I16" i="3"/>
  <c r="I17" i="3"/>
  <c r="C14" i="3"/>
  <c r="C15" i="3"/>
  <c r="C16" i="3"/>
  <c r="C17" i="3"/>
  <c r="C13" i="3"/>
  <c r="F7" i="83"/>
  <c r="AA7" i="83"/>
  <c r="F8" i="83"/>
  <c r="AA8" i="83"/>
  <c r="C64" i="83"/>
  <c r="F9" i="83"/>
  <c r="AA9" i="83"/>
  <c r="R48" i="83"/>
  <c r="R49" i="83"/>
  <c r="R50" i="83"/>
  <c r="C49" i="83"/>
  <c r="B131" i="83"/>
  <c r="B129" i="83"/>
  <c r="B127" i="83"/>
  <c r="D126" i="83"/>
  <c r="E126" i="83"/>
  <c r="F126" i="83"/>
  <c r="G126" i="83"/>
  <c r="D124" i="83"/>
  <c r="E124" i="83"/>
  <c r="F124" i="83"/>
  <c r="G124" i="83"/>
  <c r="H124" i="83"/>
  <c r="I124" i="83"/>
  <c r="J124" i="83"/>
  <c r="K124" i="83"/>
  <c r="L124" i="83"/>
  <c r="M124" i="83"/>
  <c r="D120" i="83"/>
  <c r="E120" i="83"/>
  <c r="F120" i="83"/>
  <c r="G120" i="83"/>
  <c r="H120" i="83"/>
  <c r="I120" i="83"/>
  <c r="J120" i="83"/>
  <c r="K120" i="83"/>
  <c r="L120" i="83"/>
  <c r="M120" i="83"/>
  <c r="D118" i="83"/>
  <c r="E118" i="83"/>
  <c r="F118" i="83"/>
  <c r="G118" i="83"/>
  <c r="D116" i="83"/>
  <c r="E116" i="83"/>
  <c r="F116" i="83"/>
  <c r="G116" i="83"/>
  <c r="H116" i="83"/>
  <c r="I116" i="83"/>
  <c r="J116" i="83"/>
  <c r="K116" i="83"/>
  <c r="L116" i="83"/>
  <c r="M116" i="83"/>
  <c r="D114" i="83"/>
  <c r="E114" i="83"/>
  <c r="F114" i="83"/>
  <c r="G114" i="83"/>
  <c r="H114" i="83"/>
  <c r="I114" i="83"/>
  <c r="J114" i="83"/>
  <c r="K114" i="83"/>
  <c r="L114" i="83"/>
  <c r="M114" i="83"/>
  <c r="D112" i="83"/>
  <c r="E112" i="83"/>
  <c r="F112" i="83"/>
  <c r="G112" i="83"/>
  <c r="H112" i="83"/>
  <c r="I112" i="83"/>
  <c r="J112" i="83"/>
  <c r="K112" i="83"/>
  <c r="L112" i="83"/>
  <c r="M112" i="83"/>
  <c r="G110" i="83"/>
  <c r="F110" i="83"/>
  <c r="E110" i="83"/>
  <c r="D110" i="83"/>
  <c r="C110" i="83"/>
  <c r="D109" i="83"/>
  <c r="E109" i="83"/>
  <c r="F109" i="83"/>
  <c r="G109" i="83"/>
  <c r="H109" i="83"/>
  <c r="I109" i="83"/>
  <c r="J109" i="83"/>
  <c r="K109" i="83"/>
  <c r="L109" i="83"/>
  <c r="M109" i="83"/>
  <c r="D107" i="83"/>
  <c r="E107" i="83"/>
  <c r="F107" i="83"/>
  <c r="G107" i="83"/>
  <c r="H107" i="83"/>
  <c r="I107" i="83"/>
  <c r="J107" i="83"/>
  <c r="K107" i="83"/>
  <c r="L107" i="83"/>
  <c r="M107" i="83"/>
  <c r="M103" i="83"/>
  <c r="L103" i="83"/>
  <c r="K103" i="83"/>
  <c r="J103" i="83"/>
  <c r="I103" i="83"/>
  <c r="H103" i="83"/>
  <c r="G103" i="83"/>
  <c r="F103" i="83"/>
  <c r="E103" i="83"/>
  <c r="D103" i="83"/>
  <c r="C103" i="83"/>
  <c r="D102" i="83"/>
  <c r="E102" i="83"/>
  <c r="F102" i="83"/>
  <c r="G102" i="83"/>
  <c r="H102" i="83"/>
  <c r="I102" i="83"/>
  <c r="J102" i="83"/>
  <c r="K102" i="83"/>
  <c r="L102" i="83"/>
  <c r="M102" i="83"/>
  <c r="B99" i="83"/>
  <c r="B97" i="83"/>
  <c r="B95" i="83"/>
  <c r="B93" i="83"/>
  <c r="D92" i="83"/>
  <c r="E92" i="83"/>
  <c r="F92" i="83"/>
  <c r="G92" i="83"/>
  <c r="H92" i="83"/>
  <c r="I92" i="83"/>
  <c r="J92" i="83"/>
  <c r="K92" i="83"/>
  <c r="L92" i="83"/>
  <c r="M92" i="83"/>
  <c r="B91" i="83"/>
  <c r="D90" i="83"/>
  <c r="E90" i="83"/>
  <c r="F90" i="83"/>
  <c r="G90" i="83"/>
  <c r="H90" i="83"/>
  <c r="I90" i="83"/>
  <c r="J90" i="83"/>
  <c r="K90" i="83"/>
  <c r="L90" i="83"/>
  <c r="M90" i="83"/>
  <c r="B89" i="83"/>
  <c r="D88" i="83"/>
  <c r="E88" i="83"/>
  <c r="F88" i="83"/>
  <c r="G88" i="83"/>
  <c r="H88" i="83"/>
  <c r="I88" i="83"/>
  <c r="J88" i="83"/>
  <c r="K88" i="83"/>
  <c r="L88" i="83"/>
  <c r="M88" i="83"/>
  <c r="D86" i="83"/>
  <c r="E86" i="83"/>
  <c r="F86" i="83"/>
  <c r="G86" i="83"/>
  <c r="D84" i="83"/>
  <c r="E84" i="83"/>
  <c r="F84" i="83"/>
  <c r="G84" i="83"/>
  <c r="D82" i="83"/>
  <c r="E82" i="83"/>
  <c r="F82" i="83"/>
  <c r="G82" i="83"/>
  <c r="D80" i="83"/>
  <c r="E80" i="83"/>
  <c r="F80" i="83"/>
  <c r="G80" i="83"/>
  <c r="D78" i="83"/>
  <c r="E78" i="83"/>
  <c r="F78" i="83"/>
  <c r="G78" i="83"/>
  <c r="B75" i="83"/>
  <c r="B73" i="83"/>
  <c r="B71" i="83"/>
  <c r="D70" i="83"/>
  <c r="E70" i="83"/>
  <c r="F70" i="83"/>
  <c r="G70" i="83"/>
  <c r="H70" i="83"/>
  <c r="I70" i="83"/>
  <c r="J70" i="83"/>
  <c r="K70" i="83"/>
  <c r="L70" i="83"/>
  <c r="M70" i="83"/>
  <c r="M68" i="83"/>
  <c r="L68" i="83"/>
  <c r="K68" i="83"/>
  <c r="J68" i="83"/>
  <c r="I68" i="83"/>
  <c r="H68" i="83"/>
  <c r="G68" i="83"/>
  <c r="F68" i="83"/>
  <c r="E68" i="83"/>
  <c r="D68" i="83"/>
  <c r="C68" i="83"/>
  <c r="C7" i="83"/>
  <c r="C59" i="83"/>
  <c r="D59" i="83"/>
  <c r="E59" i="83"/>
  <c r="F59" i="83"/>
  <c r="G59" i="83"/>
  <c r="H59" i="83"/>
  <c r="I59" i="83"/>
  <c r="J59" i="83"/>
  <c r="K59" i="83"/>
  <c r="L59" i="83"/>
  <c r="M59" i="83"/>
  <c r="N59" i="83"/>
  <c r="O59" i="83"/>
  <c r="I55" i="83"/>
  <c r="J55" i="83"/>
  <c r="G55" i="83"/>
  <c r="H55" i="83"/>
  <c r="E55" i="83"/>
  <c r="F55" i="83"/>
  <c r="V48" i="83"/>
  <c r="J7" i="83"/>
  <c r="AC7" i="83"/>
  <c r="V49" i="83"/>
  <c r="I49" i="83"/>
  <c r="E49" i="83"/>
  <c r="I54" i="83"/>
  <c r="J54" i="83"/>
  <c r="T48" i="83"/>
  <c r="H7" i="83"/>
  <c r="AB7" i="83"/>
  <c r="T49" i="83"/>
  <c r="G49" i="83"/>
  <c r="G54" i="83"/>
  <c r="H54" i="83"/>
  <c r="E54" i="83"/>
  <c r="F54" i="83"/>
  <c r="I53" i="83"/>
  <c r="J53" i="83"/>
  <c r="G53" i="83"/>
  <c r="H53" i="83"/>
  <c r="E53" i="83"/>
  <c r="F53" i="83"/>
  <c r="P50" i="83"/>
  <c r="C50" i="83"/>
  <c r="P49" i="83"/>
  <c r="K49" i="83"/>
  <c r="P48" i="83"/>
  <c r="J47" i="83"/>
  <c r="AC47" i="83"/>
  <c r="H47" i="83"/>
  <c r="AB47" i="83"/>
  <c r="F47" i="83"/>
  <c r="AA47" i="83"/>
  <c r="Q47" i="83"/>
  <c r="Z47" i="83"/>
  <c r="W47" i="83"/>
  <c r="U47" i="83"/>
  <c r="S47" i="83"/>
  <c r="J46" i="83"/>
  <c r="AC46" i="83"/>
  <c r="H46" i="83"/>
  <c r="AB46" i="83"/>
  <c r="F46" i="83"/>
  <c r="AA46" i="83"/>
  <c r="Q46" i="83"/>
  <c r="Z46" i="83"/>
  <c r="W46" i="83"/>
  <c r="U46" i="83"/>
  <c r="S46" i="83"/>
  <c r="J45" i="83"/>
  <c r="AC45" i="83"/>
  <c r="H45" i="83"/>
  <c r="AB45" i="83"/>
  <c r="F45" i="83"/>
  <c r="AA45" i="83"/>
  <c r="Q45" i="83"/>
  <c r="Z45" i="83"/>
  <c r="W45" i="83"/>
  <c r="U45" i="83"/>
  <c r="S45" i="83"/>
  <c r="J44" i="83"/>
  <c r="AC44" i="83"/>
  <c r="H44" i="83"/>
  <c r="AB44" i="83"/>
  <c r="F44" i="83"/>
  <c r="AA44" i="83"/>
  <c r="Q44" i="83"/>
  <c r="Z44" i="83"/>
  <c r="W44" i="83"/>
  <c r="U44" i="83"/>
  <c r="S44" i="83"/>
  <c r="J43" i="83"/>
  <c r="AC43" i="83"/>
  <c r="H43" i="83"/>
  <c r="AB43" i="83"/>
  <c r="F43" i="83"/>
  <c r="AA43" i="83"/>
  <c r="Q43" i="83"/>
  <c r="Z43" i="83"/>
  <c r="W43" i="83"/>
  <c r="U43" i="83"/>
  <c r="S43" i="83"/>
  <c r="J42" i="83"/>
  <c r="AC42" i="83"/>
  <c r="H42" i="83"/>
  <c r="AB42" i="83"/>
  <c r="F42" i="83"/>
  <c r="AA42" i="83"/>
  <c r="Q42" i="83"/>
  <c r="Z42" i="83"/>
  <c r="W42" i="83"/>
  <c r="U42" i="83"/>
  <c r="S42" i="83"/>
  <c r="J41" i="83"/>
  <c r="AC41" i="83"/>
  <c r="H41" i="83"/>
  <c r="AB41" i="83"/>
  <c r="F41" i="83"/>
  <c r="AA41" i="83"/>
  <c r="Q41" i="83"/>
  <c r="Z41" i="83"/>
  <c r="W41" i="83"/>
  <c r="U41" i="83"/>
  <c r="S41" i="83"/>
  <c r="J40" i="83"/>
  <c r="AC40" i="83"/>
  <c r="H40" i="83"/>
  <c r="AB40" i="83"/>
  <c r="F40" i="83"/>
  <c r="AA40" i="83"/>
  <c r="Q40" i="83"/>
  <c r="Z40" i="83"/>
  <c r="W40" i="83"/>
  <c r="U40" i="83"/>
  <c r="S40" i="83"/>
  <c r="J39" i="83"/>
  <c r="AC39" i="83"/>
  <c r="H39" i="83"/>
  <c r="AB39" i="83"/>
  <c r="F39" i="83"/>
  <c r="AA39" i="83"/>
  <c r="Q39" i="83"/>
  <c r="Z39" i="83"/>
  <c r="W39" i="83"/>
  <c r="U39" i="83"/>
  <c r="S39" i="83"/>
  <c r="J38" i="83"/>
  <c r="AC38" i="83"/>
  <c r="H38" i="83"/>
  <c r="AB38" i="83"/>
  <c r="F38" i="83"/>
  <c r="AA38" i="83"/>
  <c r="Q38" i="83"/>
  <c r="Z38" i="83"/>
  <c r="W38" i="83"/>
  <c r="U38" i="83"/>
  <c r="S38" i="83"/>
  <c r="J37" i="83"/>
  <c r="AC37" i="83"/>
  <c r="H37" i="83"/>
  <c r="AB37" i="83"/>
  <c r="F37" i="83"/>
  <c r="AA37" i="83"/>
  <c r="Q37" i="83"/>
  <c r="Z37" i="83"/>
  <c r="W37" i="83"/>
  <c r="U37" i="83"/>
  <c r="S37" i="83"/>
  <c r="J36" i="83"/>
  <c r="AC36" i="83"/>
  <c r="H36" i="83"/>
  <c r="AB36" i="83"/>
  <c r="F36" i="83"/>
  <c r="AA36" i="83"/>
  <c r="Q36" i="83"/>
  <c r="Z36" i="83"/>
  <c r="W36" i="83"/>
  <c r="U36" i="83"/>
  <c r="S36" i="83"/>
  <c r="J35" i="83"/>
  <c r="AC35" i="83"/>
  <c r="H35" i="83"/>
  <c r="AB35" i="83"/>
  <c r="F35" i="83"/>
  <c r="AA35" i="83"/>
  <c r="Q35" i="83"/>
  <c r="Z35" i="83"/>
  <c r="W35" i="83"/>
  <c r="U35" i="83"/>
  <c r="S35" i="83"/>
  <c r="J34" i="83"/>
  <c r="AC34" i="83"/>
  <c r="H34" i="83"/>
  <c r="AB34" i="83"/>
  <c r="F34" i="83"/>
  <c r="AA34" i="83"/>
  <c r="Q34" i="83"/>
  <c r="Z34" i="83"/>
  <c r="W34" i="83"/>
  <c r="U34" i="83"/>
  <c r="S34" i="83"/>
  <c r="J33" i="83"/>
  <c r="AC33" i="83"/>
  <c r="H33" i="83"/>
  <c r="AB33" i="83"/>
  <c r="F33" i="83"/>
  <c r="AA33" i="83"/>
  <c r="Q33" i="83"/>
  <c r="Z33" i="83"/>
  <c r="W33" i="83"/>
  <c r="U33" i="83"/>
  <c r="S33" i="83"/>
  <c r="J32" i="83"/>
  <c r="AC32" i="83"/>
  <c r="H32" i="83"/>
  <c r="AB32" i="83"/>
  <c r="F32" i="83"/>
  <c r="AA32" i="83"/>
  <c r="Q32" i="83"/>
  <c r="Z32" i="83"/>
  <c r="W32" i="83"/>
  <c r="U32" i="83"/>
  <c r="S32" i="83"/>
  <c r="J31" i="83"/>
  <c r="AC31" i="83"/>
  <c r="H31" i="83"/>
  <c r="AB31" i="83"/>
  <c r="F31" i="83"/>
  <c r="AA31" i="83"/>
  <c r="Q31" i="83"/>
  <c r="Z31" i="83"/>
  <c r="W31" i="83"/>
  <c r="U31" i="83"/>
  <c r="S31" i="83"/>
  <c r="J30" i="83"/>
  <c r="AC30" i="83"/>
  <c r="H30" i="83"/>
  <c r="AB30" i="83"/>
  <c r="F30" i="83"/>
  <c r="AA30" i="83"/>
  <c r="Q30" i="83"/>
  <c r="Z30" i="83"/>
  <c r="W30" i="83"/>
  <c r="U30" i="83"/>
  <c r="S30" i="83"/>
  <c r="J29" i="83"/>
  <c r="AC29" i="83"/>
  <c r="H29" i="83"/>
  <c r="AB29" i="83"/>
  <c r="F29" i="83"/>
  <c r="AA29" i="83"/>
  <c r="Q29" i="83"/>
  <c r="Z29" i="83"/>
  <c r="W29" i="83"/>
  <c r="U29" i="83"/>
  <c r="S29" i="83"/>
  <c r="J28" i="83"/>
  <c r="AC28" i="83"/>
  <c r="H28" i="83"/>
  <c r="AB28" i="83"/>
  <c r="F28" i="83"/>
  <c r="AA28" i="83"/>
  <c r="Q28" i="83"/>
  <c r="Z28" i="83"/>
  <c r="W28" i="83"/>
  <c r="U28" i="83"/>
  <c r="S28" i="83"/>
  <c r="J27" i="83"/>
  <c r="AC27" i="83"/>
  <c r="H27" i="83"/>
  <c r="AB27" i="83"/>
  <c r="F27" i="83"/>
  <c r="AA27" i="83"/>
  <c r="Q27" i="83"/>
  <c r="Z27" i="83"/>
  <c r="W27" i="83"/>
  <c r="U27" i="83"/>
  <c r="S27" i="83"/>
  <c r="J25" i="83"/>
  <c r="AC25" i="83"/>
  <c r="H25" i="83"/>
  <c r="AB25" i="83"/>
  <c r="F25" i="83"/>
  <c r="AA25" i="83"/>
  <c r="Q25" i="83"/>
  <c r="Z25" i="83"/>
  <c r="W25" i="83"/>
  <c r="U25" i="83"/>
  <c r="S25" i="83"/>
  <c r="J23" i="83"/>
  <c r="AC23" i="83"/>
  <c r="H23" i="83"/>
  <c r="AB23" i="83"/>
  <c r="F23" i="83"/>
  <c r="AA23" i="83"/>
  <c r="Q23" i="83"/>
  <c r="Z23" i="83"/>
  <c r="W23" i="83"/>
  <c r="U23" i="83"/>
  <c r="S23" i="83"/>
  <c r="C23" i="83"/>
  <c r="J21" i="83"/>
  <c r="AC21" i="83"/>
  <c r="H21" i="83"/>
  <c r="AB21" i="83"/>
  <c r="F21" i="83"/>
  <c r="AA21" i="83"/>
  <c r="Q21" i="83"/>
  <c r="Z21" i="83"/>
  <c r="W21" i="83"/>
  <c r="U21" i="83"/>
  <c r="S21" i="83"/>
  <c r="C21" i="83"/>
  <c r="J19" i="83"/>
  <c r="AC19" i="83"/>
  <c r="H19" i="83"/>
  <c r="AB19" i="83"/>
  <c r="F19" i="83"/>
  <c r="AA19" i="83"/>
  <c r="Q19" i="83"/>
  <c r="Z19" i="83"/>
  <c r="W19" i="83"/>
  <c r="U19" i="83"/>
  <c r="S19" i="83"/>
  <c r="C19" i="83"/>
  <c r="J17" i="83"/>
  <c r="AC17" i="83"/>
  <c r="H17" i="83"/>
  <c r="AB17" i="83"/>
  <c r="F17" i="83"/>
  <c r="AA17" i="83"/>
  <c r="Q17" i="83"/>
  <c r="Z17" i="83"/>
  <c r="W17" i="83"/>
  <c r="U17" i="83"/>
  <c r="S17" i="83"/>
  <c r="C17" i="83"/>
  <c r="J15" i="83"/>
  <c r="AC15" i="83"/>
  <c r="H15" i="83"/>
  <c r="AB15" i="83"/>
  <c r="F15" i="83"/>
  <c r="AA15" i="83"/>
  <c r="Q15" i="83"/>
  <c r="Z15" i="83"/>
  <c r="W15" i="83"/>
  <c r="U15" i="83"/>
  <c r="S15" i="83"/>
  <c r="C15" i="83"/>
  <c r="J14" i="83"/>
  <c r="AC14" i="83"/>
  <c r="H14" i="83"/>
  <c r="AB14" i="83"/>
  <c r="F14" i="83"/>
  <c r="AA14" i="83"/>
  <c r="Q14" i="83"/>
  <c r="Z14" i="83"/>
  <c r="W14" i="83"/>
  <c r="U14" i="83"/>
  <c r="S14" i="83"/>
  <c r="J13" i="83"/>
  <c r="AC13" i="83"/>
  <c r="H13" i="83"/>
  <c r="AB13" i="83"/>
  <c r="F13" i="83"/>
  <c r="AA13" i="83"/>
  <c r="Q13" i="83"/>
  <c r="Z13" i="83"/>
  <c r="W13" i="83"/>
  <c r="U13" i="83"/>
  <c r="S13" i="83"/>
  <c r="J12" i="83"/>
  <c r="AC12" i="83"/>
  <c r="H12" i="83"/>
  <c r="AB12" i="83"/>
  <c r="F12" i="83"/>
  <c r="AA12" i="83"/>
  <c r="Q12" i="83"/>
  <c r="Z12" i="83"/>
  <c r="W12" i="83"/>
  <c r="U12" i="83"/>
  <c r="S12" i="83"/>
  <c r="J11" i="83"/>
  <c r="AC11" i="83"/>
  <c r="H11" i="83"/>
  <c r="AB11" i="83"/>
  <c r="F11" i="83"/>
  <c r="AA11" i="83"/>
  <c r="Q11" i="83"/>
  <c r="Z11" i="83"/>
  <c r="W11" i="83"/>
  <c r="U11" i="83"/>
  <c r="S11" i="83"/>
  <c r="J10" i="83"/>
  <c r="AC10" i="83"/>
  <c r="H10" i="83"/>
  <c r="AB10" i="83"/>
  <c r="F10" i="83"/>
  <c r="AA10" i="83"/>
  <c r="Q10" i="83"/>
  <c r="Z10" i="83"/>
  <c r="W10" i="83"/>
  <c r="U10" i="83"/>
  <c r="S10" i="83"/>
  <c r="J9" i="83"/>
  <c r="AC9" i="83"/>
  <c r="H9" i="83"/>
  <c r="AB9" i="83"/>
  <c r="Q9" i="83"/>
  <c r="Z9" i="83"/>
  <c r="W9" i="83"/>
  <c r="U9" i="83"/>
  <c r="S9" i="83"/>
  <c r="J8" i="83"/>
  <c r="AC8" i="83"/>
  <c r="H8" i="83"/>
  <c r="AB8" i="83"/>
  <c r="W8" i="83"/>
  <c r="U8" i="83"/>
  <c r="S8" i="83"/>
  <c r="W7" i="83"/>
  <c r="U7" i="83"/>
  <c r="S7" i="83"/>
  <c r="BC13" i="3"/>
  <c r="BD13" i="3"/>
  <c r="BE13" i="3"/>
  <c r="BF13" i="3"/>
  <c r="BG13" i="3"/>
  <c r="BH13" i="3"/>
  <c r="BI13" i="3"/>
  <c r="BJ13" i="3"/>
  <c r="BK13" i="3"/>
  <c r="BM13" i="3"/>
  <c r="BN13" i="3"/>
  <c r="BO13" i="3"/>
  <c r="BP13" i="3"/>
  <c r="BQ13" i="3"/>
  <c r="BR13" i="3"/>
  <c r="BS13" i="3"/>
  <c r="BT13" i="3"/>
  <c r="BL13" i="3"/>
  <c r="AZ13" i="3"/>
  <c r="AZ14" i="3"/>
  <c r="AZ15" i="3"/>
  <c r="AZ16" i="3"/>
  <c r="AZ17" i="3"/>
  <c r="BB18" i="3"/>
  <c r="BA18" i="3"/>
  <c r="AZ18" i="3"/>
  <c r="AZ5" i="3"/>
  <c r="E3" i="6"/>
  <c r="D3" i="83"/>
  <c r="B2" i="83"/>
  <c r="B3" i="83"/>
  <c r="D2" i="83"/>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524" i="31"/>
  <c r="A24" i="31"/>
  <c r="H10" i="82"/>
  <c r="I11" i="82"/>
  <c r="H12" i="82"/>
  <c r="E28" i="82"/>
  <c r="O24" i="82"/>
  <c r="O25" i="82"/>
  <c r="E25" i="82"/>
  <c r="F19" i="82"/>
  <c r="E19" i="82"/>
  <c r="C19" i="82"/>
  <c r="F16" i="82"/>
  <c r="E16" i="82"/>
  <c r="C16" i="82"/>
  <c r="E15" i="82"/>
  <c r="C15" i="82"/>
  <c r="M10" i="82"/>
  <c r="J8" i="82"/>
  <c r="D3" i="4"/>
  <c r="A7" i="1"/>
  <c r="B7" i="1"/>
  <c r="E7" i="1"/>
  <c r="A8" i="1"/>
  <c r="B8" i="1"/>
  <c r="E8" i="1"/>
  <c r="A9" i="1"/>
  <c r="B9" i="1"/>
  <c r="E9" i="1"/>
  <c r="A10" i="1"/>
  <c r="B10" i="1"/>
  <c r="E10" i="1"/>
  <c r="A11" i="1"/>
  <c r="B11" i="1"/>
  <c r="E11" i="1"/>
  <c r="A12" i="1"/>
  <c r="B12" i="1"/>
  <c r="E12" i="1"/>
  <c r="A13" i="1"/>
  <c r="B13" i="1"/>
  <c r="E13" i="1"/>
  <c r="A6" i="1"/>
  <c r="B6" i="1"/>
  <c r="E6" i="1"/>
  <c r="M26" i="79"/>
  <c r="P26" i="79"/>
  <c r="M27" i="79"/>
  <c r="P27" i="79"/>
  <c r="L26" i="79"/>
  <c r="N26" i="79"/>
  <c r="L27" i="79"/>
  <c r="N27" i="79"/>
  <c r="L28" i="79"/>
  <c r="M28" i="79"/>
  <c r="N28" i="79"/>
  <c r="I26" i="79"/>
  <c r="I27" i="79"/>
  <c r="I28" i="79"/>
  <c r="I6" i="79"/>
  <c r="I7" i="79"/>
  <c r="I8" i="79"/>
  <c r="K6" i="79"/>
  <c r="L6" i="79"/>
  <c r="M6" i="79"/>
  <c r="P6" i="79"/>
  <c r="N6" i="79"/>
  <c r="O6" i="79"/>
  <c r="K7" i="79"/>
  <c r="L7" i="79"/>
  <c r="M7" i="79"/>
  <c r="P7" i="79"/>
  <c r="N7" i="79"/>
  <c r="O7" i="79"/>
  <c r="K8" i="79"/>
  <c r="L8" i="79"/>
  <c r="M8" i="79"/>
  <c r="P8" i="79"/>
  <c r="N8" i="79"/>
  <c r="O8" i="79"/>
  <c r="P28" i="79"/>
  <c r="B10" i="74"/>
  <c r="B8" i="74"/>
  <c r="E111" i="9"/>
  <c r="H112" i="9"/>
  <c r="C8" i="74"/>
  <c r="B7" i="74"/>
  <c r="E109" i="9"/>
  <c r="H109" i="9"/>
  <c r="H110" i="9"/>
  <c r="C7" i="74"/>
  <c r="B3" i="78"/>
  <c r="C7" i="78"/>
  <c r="C6" i="78"/>
  <c r="C5" i="78"/>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C23" i="77"/>
  <c r="D9" i="77"/>
  <c r="D10" i="77"/>
  <c r="D12" i="77"/>
  <c r="D14" i="77"/>
  <c r="D15" i="77"/>
  <c r="D16" i="77"/>
  <c r="D11" i="77"/>
  <c r="D17" i="77"/>
  <c r="D7" i="77"/>
  <c r="C26" i="77"/>
  <c r="C30" i="77"/>
  <c r="C29" i="77"/>
  <c r="C32" i="77"/>
  <c r="C38" i="77"/>
  <c r="C39" i="77"/>
  <c r="D23" i="77"/>
  <c r="D38" i="77"/>
  <c r="D39" i="77"/>
  <c r="E23" i="77"/>
  <c r="E38" i="77"/>
  <c r="E39" i="77"/>
  <c r="C40" i="77"/>
  <c r="B2" i="77"/>
  <c r="F13" i="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C20" i="20"/>
  <c r="B101" i="43"/>
  <c r="C22" i="20"/>
  <c r="B100" i="43"/>
  <c r="C21" i="20"/>
  <c r="B99" i="43"/>
  <c r="C24" i="20"/>
  <c r="B97" i="43"/>
  <c r="B95" i="43"/>
  <c r="C18" i="20"/>
  <c r="B94"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AB36" i="79"/>
  <c r="AA36" i="79"/>
  <c r="Z36" i="79"/>
  <c r="W36" i="79"/>
  <c r="N36" i="79"/>
  <c r="M36" i="79"/>
  <c r="P36" i="79"/>
  <c r="L36" i="79"/>
  <c r="I36" i="79"/>
  <c r="AD36" i="79"/>
  <c r="AB35" i="79"/>
  <c r="AA35" i="79"/>
  <c r="Z35" i="79"/>
  <c r="N35" i="79"/>
  <c r="U35" i="79"/>
  <c r="M35" i="79"/>
  <c r="T35" i="79"/>
  <c r="W35" i="79"/>
  <c r="L35" i="79"/>
  <c r="S35" i="79"/>
  <c r="I35" i="79"/>
  <c r="AD35" i="79"/>
  <c r="AB34" i="79"/>
  <c r="AA34" i="79"/>
  <c r="Z34" i="79"/>
  <c r="N34" i="79"/>
  <c r="U34" i="79"/>
  <c r="M34" i="79"/>
  <c r="T34" i="79"/>
  <c r="W34" i="79"/>
  <c r="L34" i="79"/>
  <c r="S34" i="79"/>
  <c r="I34" i="79"/>
  <c r="AD34" i="79"/>
  <c r="AB33" i="79"/>
  <c r="AA33" i="79"/>
  <c r="Z33" i="79"/>
  <c r="N33" i="79"/>
  <c r="U33" i="79"/>
  <c r="M33" i="79"/>
  <c r="T33" i="79"/>
  <c r="W33" i="79"/>
  <c r="L33" i="79"/>
  <c r="S33" i="79"/>
  <c r="I33" i="79"/>
  <c r="AD33" i="79"/>
  <c r="AB32" i="79"/>
  <c r="AA32" i="79"/>
  <c r="Z32" i="79"/>
  <c r="N32" i="79"/>
  <c r="U32" i="79"/>
  <c r="M32" i="79"/>
  <c r="T32" i="79"/>
  <c r="W32" i="79"/>
  <c r="L32" i="79"/>
  <c r="S32" i="79"/>
  <c r="I32" i="79"/>
  <c r="AD32" i="79"/>
  <c r="AB31" i="79"/>
  <c r="AA31" i="79"/>
  <c r="Z31" i="79"/>
  <c r="N31" i="79"/>
  <c r="U31" i="79"/>
  <c r="M31" i="79"/>
  <c r="T31" i="79"/>
  <c r="W31" i="79"/>
  <c r="L31" i="79"/>
  <c r="S31" i="79"/>
  <c r="I31" i="79"/>
  <c r="AD31" i="79"/>
  <c r="AB30" i="79"/>
  <c r="AA30" i="79"/>
  <c r="Z30" i="79"/>
  <c r="N30" i="79"/>
  <c r="U30" i="79"/>
  <c r="M30" i="79"/>
  <c r="L30" i="79"/>
  <c r="S30" i="79"/>
  <c r="I30" i="79"/>
  <c r="AD30" i="79"/>
  <c r="AB29" i="79"/>
  <c r="AA29" i="79"/>
  <c r="Z29" i="79"/>
  <c r="N29" i="79"/>
  <c r="M29" i="79"/>
  <c r="L29" i="79"/>
  <c r="I29" i="79"/>
  <c r="AD29" i="79"/>
  <c r="AB25" i="79"/>
  <c r="AA25" i="79"/>
  <c r="Z25" i="79"/>
  <c r="N25" i="79"/>
  <c r="M25" i="79"/>
  <c r="L25" i="79"/>
  <c r="I25" i="79"/>
  <c r="AD25" i="79"/>
  <c r="AA23" i="79"/>
  <c r="AD23" i="79"/>
  <c r="U23" i="79"/>
  <c r="T23" i="79"/>
  <c r="W23" i="79"/>
  <c r="N23" i="79"/>
  <c r="M23" i="79"/>
  <c r="P23" i="79"/>
  <c r="L23" i="79"/>
  <c r="G23" i="79"/>
  <c r="F23" i="79"/>
  <c r="I23" i="79"/>
  <c r="E23" i="79"/>
  <c r="AC16" i="79"/>
  <c r="AB16" i="79"/>
  <c r="AA16" i="79"/>
  <c r="AD16" i="79"/>
  <c r="Z16" i="79"/>
  <c r="Y16" i="79"/>
  <c r="W16" i="79"/>
  <c r="M16" i="79"/>
  <c r="P16" i="79"/>
  <c r="O16" i="79"/>
  <c r="N16" i="79"/>
  <c r="L16" i="79"/>
  <c r="K16" i="79"/>
  <c r="I16" i="79"/>
  <c r="AC15" i="79"/>
  <c r="AB15" i="79"/>
  <c r="AA15" i="79"/>
  <c r="AD15" i="79"/>
  <c r="Z15" i="79"/>
  <c r="Y15" i="79"/>
  <c r="O15" i="79"/>
  <c r="N15" i="79"/>
  <c r="M15" i="79"/>
  <c r="P15" i="79"/>
  <c r="L15" i="79"/>
  <c r="K15" i="79"/>
  <c r="R15" i="79"/>
  <c r="I15" i="79"/>
  <c r="AA14" i="79"/>
  <c r="AD14" i="79"/>
  <c r="AC14" i="79"/>
  <c r="AB14" i="79"/>
  <c r="Z14" i="79"/>
  <c r="Y14" i="79"/>
  <c r="O14" i="79"/>
  <c r="N14" i="79"/>
  <c r="M14" i="79"/>
  <c r="L14" i="79"/>
  <c r="K14" i="79"/>
  <c r="R14" i="79"/>
  <c r="I14" i="79"/>
  <c r="AC13" i="79"/>
  <c r="AB13" i="79"/>
  <c r="AA13" i="79"/>
  <c r="AD13" i="79"/>
  <c r="Z13" i="79"/>
  <c r="Y13" i="79"/>
  <c r="O13" i="79"/>
  <c r="N13" i="79"/>
  <c r="M13" i="79"/>
  <c r="P13" i="79"/>
  <c r="L13" i="79"/>
  <c r="K13" i="79"/>
  <c r="R13" i="79"/>
  <c r="I13" i="79"/>
  <c r="AA12" i="79"/>
  <c r="AD12" i="79"/>
  <c r="AC12" i="79"/>
  <c r="AB12" i="79"/>
  <c r="Z12" i="79"/>
  <c r="Y12" i="79"/>
  <c r="O12" i="79"/>
  <c r="N12" i="79"/>
  <c r="M12" i="79"/>
  <c r="L12" i="79"/>
  <c r="K12" i="79"/>
  <c r="R12" i="79"/>
  <c r="I12" i="79"/>
  <c r="AC11" i="79"/>
  <c r="AB11" i="79"/>
  <c r="AA11" i="79"/>
  <c r="AD11" i="79"/>
  <c r="Z11" i="79"/>
  <c r="Y11" i="79"/>
  <c r="O11" i="79"/>
  <c r="N11" i="79"/>
  <c r="M11" i="79"/>
  <c r="P11" i="79"/>
  <c r="L11" i="79"/>
  <c r="K11" i="79"/>
  <c r="R11" i="79"/>
  <c r="I11" i="79"/>
  <c r="AC10" i="79"/>
  <c r="AB10" i="79"/>
  <c r="AA10" i="79"/>
  <c r="AD10" i="79"/>
  <c r="Z10" i="79"/>
  <c r="Y10" i="79"/>
  <c r="O10" i="79"/>
  <c r="N10" i="79"/>
  <c r="M10" i="79"/>
  <c r="L10" i="79"/>
  <c r="K10" i="79"/>
  <c r="R10" i="79"/>
  <c r="I10" i="79"/>
  <c r="AC9" i="79"/>
  <c r="AB9" i="79"/>
  <c r="AA9" i="79"/>
  <c r="AD9" i="79"/>
  <c r="Z9" i="79"/>
  <c r="Y9" i="79"/>
  <c r="O9" i="79"/>
  <c r="N9" i="79"/>
  <c r="M9" i="79"/>
  <c r="L9" i="79"/>
  <c r="K9" i="79"/>
  <c r="I9" i="79"/>
  <c r="AC5" i="79"/>
  <c r="AB5" i="79"/>
  <c r="AA5" i="79"/>
  <c r="AD5" i="79"/>
  <c r="Z5" i="79"/>
  <c r="Y5" i="79"/>
  <c r="M5" i="79"/>
  <c r="P5" i="79"/>
  <c r="O5" i="79"/>
  <c r="N5" i="79"/>
  <c r="L5" i="79"/>
  <c r="K5" i="79"/>
  <c r="I5" i="79"/>
  <c r="AC3" i="79"/>
  <c r="AB3" i="79"/>
  <c r="AA3" i="79"/>
  <c r="AD3" i="79"/>
  <c r="Z3" i="79"/>
  <c r="Y3" i="79"/>
  <c r="V3" i="79"/>
  <c r="U3" i="79"/>
  <c r="T3" i="79"/>
  <c r="W3" i="79"/>
  <c r="S3" i="79"/>
  <c r="O3" i="79"/>
  <c r="N3" i="79"/>
  <c r="M3" i="79"/>
  <c r="P3" i="79"/>
  <c r="L3" i="79"/>
  <c r="K3" i="79"/>
  <c r="H3" i="79"/>
  <c r="G3" i="79"/>
  <c r="F3" i="79"/>
  <c r="I3" i="79"/>
  <c r="E3" i="79"/>
  <c r="D3" i="79"/>
  <c r="T371" i="46"/>
  <c r="S371" i="46"/>
  <c r="R371" i="46"/>
  <c r="R279" i="46"/>
  <c r="U279" i="46"/>
  <c r="T279" i="46"/>
  <c r="S279" i="46"/>
  <c r="T187" i="46"/>
  <c r="S187" i="46"/>
  <c r="R187" i="46"/>
  <c r="T95" i="46"/>
  <c r="S95" i="46"/>
  <c r="R95" i="46"/>
  <c r="T3" i="46"/>
  <c r="S3" i="46"/>
  <c r="R3" i="46"/>
  <c r="M17" i="45"/>
  <c r="L17" i="45"/>
  <c r="K17" i="45"/>
  <c r="J17" i="45"/>
  <c r="I17" i="45"/>
  <c r="H17" i="45"/>
  <c r="G17" i="45"/>
  <c r="F17" i="45"/>
  <c r="E17" i="45"/>
  <c r="D17" i="45"/>
  <c r="C17" i="45"/>
  <c r="B17" i="45"/>
  <c r="I15" i="4"/>
  <c r="F10" i="1"/>
  <c r="F6" i="1"/>
  <c r="I24" i="43"/>
  <c r="K47" i="78"/>
  <c r="K46" i="78"/>
  <c r="K45" i="78"/>
  <c r="K41" i="78"/>
  <c r="K40" i="78"/>
  <c r="K39" i="78"/>
  <c r="K38" i="78"/>
  <c r="K37" i="78"/>
  <c r="K36" i="78"/>
  <c r="K35" i="78"/>
  <c r="K23" i="78"/>
  <c r="K24" i="78"/>
  <c r="K25" i="78"/>
  <c r="K26" i="78"/>
  <c r="K27" i="78"/>
  <c r="K28" i="78"/>
  <c r="K29" i="78"/>
  <c r="K30" i="78"/>
  <c r="K22" i="78"/>
  <c r="T26" i="79"/>
  <c r="W26" i="79"/>
  <c r="T28" i="79"/>
  <c r="W28" i="79"/>
  <c r="T27" i="79"/>
  <c r="W27" i="79"/>
  <c r="T25" i="79"/>
  <c r="W25" i="79"/>
  <c r="AB23" i="79"/>
  <c r="S28" i="79"/>
  <c r="S26" i="79"/>
  <c r="S27" i="79"/>
  <c r="U29" i="79"/>
  <c r="U27" i="79"/>
  <c r="U26" i="79"/>
  <c r="U28" i="79"/>
  <c r="R6" i="79"/>
  <c r="R5" i="79"/>
  <c r="R7" i="79"/>
  <c r="R8" i="79"/>
  <c r="P9" i="79"/>
  <c r="T7" i="79"/>
  <c r="W7" i="79"/>
  <c r="T6" i="79"/>
  <c r="W6" i="79"/>
  <c r="T5" i="79"/>
  <c r="W5" i="79"/>
  <c r="T8" i="79"/>
  <c r="W8" i="79"/>
  <c r="V6" i="79"/>
  <c r="V5" i="79"/>
  <c r="V7" i="79"/>
  <c r="V8" i="79"/>
  <c r="S7" i="79"/>
  <c r="S8" i="79"/>
  <c r="S5" i="79"/>
  <c r="S6" i="79"/>
  <c r="U7" i="79"/>
  <c r="U5" i="79"/>
  <c r="U8" i="79"/>
  <c r="U6" i="79"/>
  <c r="R9" i="79"/>
  <c r="S23" i="79"/>
  <c r="P12" i="79"/>
  <c r="P14" i="79"/>
  <c r="U25" i="79"/>
  <c r="R3" i="79"/>
  <c r="Z23" i="79"/>
  <c r="S29" i="79"/>
  <c r="T30" i="79"/>
  <c r="W30" i="79"/>
  <c r="S25" i="79"/>
  <c r="T29" i="79"/>
  <c r="W29" i="79"/>
  <c r="P10"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P25" i="79"/>
  <c r="P30" i="79"/>
  <c r="P32" i="79"/>
  <c r="P34" i="79"/>
  <c r="P29" i="79"/>
  <c r="P31" i="79"/>
  <c r="P33" i="79"/>
  <c r="P35" i="79"/>
  <c r="E25" i="78"/>
  <c r="E24" i="78"/>
  <c r="F23" i="78"/>
  <c r="F24" i="78"/>
  <c r="F25" i="78"/>
  <c r="E23" i="78"/>
  <c r="E22" i="78"/>
  <c r="G22" i="78"/>
  <c r="F12" i="78"/>
  <c r="F11" i="78"/>
  <c r="C15" i="78"/>
  <c r="C18" i="78"/>
  <c r="D7" i="78"/>
  <c r="D6" i="78"/>
  <c r="D5" i="78"/>
  <c r="H100" i="43"/>
  <c r="H97" i="43"/>
  <c r="H95" i="43"/>
  <c r="H94" i="43"/>
  <c r="H98" i="43"/>
  <c r="H93" i="43"/>
  <c r="H101" i="43"/>
  <c r="H99" i="43"/>
  <c r="H96" i="43"/>
  <c r="G23" i="78"/>
  <c r="G24" i="78"/>
  <c r="G25" i="78"/>
  <c r="B15" i="78"/>
  <c r="B18" i="78"/>
  <c r="G14" i="73"/>
  <c r="F14" i="73"/>
  <c r="E14" i="73"/>
  <c r="G15" i="73"/>
  <c r="F15" i="73"/>
  <c r="E15" i="73"/>
  <c r="G16" i="73"/>
  <c r="F16" i="73"/>
  <c r="E16" i="73"/>
  <c r="G13" i="73"/>
  <c r="F13" i="73"/>
  <c r="E13" i="73"/>
  <c r="AH8" i="71"/>
  <c r="AG8" i="71"/>
  <c r="AE8" i="71"/>
  <c r="AF8" i="71"/>
  <c r="AD8" i="71"/>
  <c r="Q8" i="71"/>
  <c r="P8" i="71"/>
  <c r="O8" i="71"/>
  <c r="N8" i="71"/>
  <c r="R43" i="77"/>
  <c r="R40" i="77"/>
  <c r="R41" i="77"/>
  <c r="F36" i="77"/>
  <c r="R34" i="77"/>
  <c r="R33" i="77"/>
  <c r="R27" i="77"/>
  <c r="M24" i="77"/>
  <c r="R23" i="77"/>
  <c r="R22" i="77"/>
  <c r="R21" i="77"/>
  <c r="N19" i="77"/>
  <c r="R18" i="77"/>
  <c r="D18" i="77"/>
  <c r="R17" i="77"/>
  <c r="R16" i="77"/>
  <c r="M14" i="77"/>
  <c r="N14" i="77"/>
  <c r="R13" i="77"/>
  <c r="R12" i="77"/>
  <c r="R11" i="77"/>
  <c r="E11" i="77"/>
  <c r="E7" i="77"/>
  <c r="C27" i="77"/>
  <c r="R10" i="77"/>
  <c r="R9" i="77"/>
  <c r="R8" i="77"/>
  <c r="R7" i="77"/>
  <c r="R4" i="77"/>
  <c r="R3" i="77"/>
  <c r="R14" i="77"/>
  <c r="R24" i="77"/>
  <c r="R25" i="77"/>
  <c r="D29" i="77"/>
  <c r="D26" i="77"/>
  <c r="D32" i="77"/>
  <c r="R35" i="77"/>
  <c r="U34" i="77"/>
  <c r="AH9" i="71"/>
  <c r="AG9" i="71"/>
  <c r="AE9" i="71"/>
  <c r="AF9" i="71"/>
  <c r="AD9" i="71"/>
  <c r="Q9" i="71"/>
  <c r="P9" i="71"/>
  <c r="O9" i="71"/>
  <c r="N9" i="71"/>
  <c r="R19" i="77"/>
  <c r="R5" i="77"/>
  <c r="U5" i="77"/>
  <c r="E26" i="77"/>
  <c r="E29" i="77"/>
  <c r="E32" i="77"/>
  <c r="AH10" i="71"/>
  <c r="AG10" i="71"/>
  <c r="AE10" i="71"/>
  <c r="AF10" i="71"/>
  <c r="AD10" i="71"/>
  <c r="Q10" i="71"/>
  <c r="Q11" i="71"/>
  <c r="Q12" i="71"/>
  <c r="Q13" i="71"/>
  <c r="Q14" i="71"/>
  <c r="Q15" i="71"/>
  <c r="Q16" i="71"/>
  <c r="Q17" i="71"/>
  <c r="Q18" i="71"/>
  <c r="Q19" i="71"/>
  <c r="Q20" i="71"/>
  <c r="Q21" i="71"/>
  <c r="Q22" i="71"/>
  <c r="Q23" i="71"/>
  <c r="Q24" i="71"/>
  <c r="Q25" i="71"/>
  <c r="Q26" i="71"/>
  <c r="Q27" i="71"/>
  <c r="Q28" i="71"/>
  <c r="Q29" i="71"/>
  <c r="Q30" i="71"/>
  <c r="Q31" i="71"/>
  <c r="Q32" i="71"/>
  <c r="Q33" i="71"/>
  <c r="Q34" i="71"/>
  <c r="Q35" i="71"/>
  <c r="Q36" i="71"/>
  <c r="Q37" i="71"/>
  <c r="Q38" i="71"/>
  <c r="Q39" i="71"/>
  <c r="AB9" i="71"/>
  <c r="P10" i="71"/>
  <c r="P11" i="71"/>
  <c r="P12" i="71"/>
  <c r="P13" i="71"/>
  <c r="P14" i="71"/>
  <c r="P15" i="71"/>
  <c r="P16" i="71"/>
  <c r="P17" i="71"/>
  <c r="P18" i="71"/>
  <c r="P19" i="71"/>
  <c r="P20" i="71"/>
  <c r="P21" i="71"/>
  <c r="P22" i="71"/>
  <c r="P23" i="71"/>
  <c r="P24" i="71"/>
  <c r="P25" i="71"/>
  <c r="P26" i="71"/>
  <c r="P27" i="71"/>
  <c r="P28" i="71"/>
  <c r="P29" i="71"/>
  <c r="P30" i="71"/>
  <c r="P31" i="71"/>
  <c r="P32" i="71"/>
  <c r="P33" i="71"/>
  <c r="P34" i="71"/>
  <c r="P35" i="71"/>
  <c r="P36" i="71"/>
  <c r="P37" i="71"/>
  <c r="P38" i="71"/>
  <c r="P39" i="71"/>
  <c r="AA9" i="71"/>
  <c r="O10" i="71"/>
  <c r="O11" i="71"/>
  <c r="O12" i="71"/>
  <c r="O13" i="71"/>
  <c r="O14" i="71"/>
  <c r="O15" i="71"/>
  <c r="O16" i="71"/>
  <c r="O17" i="71"/>
  <c r="O18" i="71"/>
  <c r="O19" i="71"/>
  <c r="O20" i="71"/>
  <c r="O21" i="71"/>
  <c r="O22" i="71"/>
  <c r="O23" i="71"/>
  <c r="O24" i="71"/>
  <c r="O25" i="71"/>
  <c r="O26" i="71"/>
  <c r="O27" i="71"/>
  <c r="O28" i="71"/>
  <c r="O29" i="71"/>
  <c r="O30" i="71"/>
  <c r="O31" i="71"/>
  <c r="O32" i="71"/>
  <c r="O33" i="71"/>
  <c r="O34" i="71"/>
  <c r="O35" i="71"/>
  <c r="O36" i="71"/>
  <c r="O37" i="71"/>
  <c r="O38" i="71"/>
  <c r="O39" i="71"/>
  <c r="Y9" i="71"/>
  <c r="Z9" i="71"/>
  <c r="N10" i="71"/>
  <c r="N11" i="71"/>
  <c r="N12" i="71"/>
  <c r="N13" i="71"/>
  <c r="N14" i="71"/>
  <c r="N15" i="71"/>
  <c r="N16" i="71"/>
  <c r="N17" i="71"/>
  <c r="N18" i="71"/>
  <c r="N19" i="71"/>
  <c r="N20" i="71"/>
  <c r="N21" i="71"/>
  <c r="N22" i="71"/>
  <c r="N23" i="71"/>
  <c r="N24" i="71"/>
  <c r="N25" i="71"/>
  <c r="N26" i="71"/>
  <c r="N27" i="71"/>
  <c r="N28" i="71"/>
  <c r="N29" i="71"/>
  <c r="N30" i="71"/>
  <c r="N31" i="71"/>
  <c r="N32" i="71"/>
  <c r="N33" i="71"/>
  <c r="N34" i="71"/>
  <c r="N35" i="71"/>
  <c r="N36" i="71"/>
  <c r="N37" i="71"/>
  <c r="N38" i="71"/>
  <c r="N39" i="71"/>
  <c r="X9" i="71"/>
  <c r="B3" i="77"/>
  <c r="C41" i="77"/>
  <c r="E24" i="71"/>
  <c r="E23" i="71"/>
  <c r="E22" i="71"/>
  <c r="E21" i="71"/>
  <c r="E20" i="71"/>
  <c r="E19" i="71"/>
  <c r="E18" i="71"/>
  <c r="E17" i="71"/>
  <c r="E16" i="71"/>
  <c r="E15" i="71"/>
  <c r="E14" i="71"/>
  <c r="E13" i="71"/>
  <c r="E12" i="71"/>
  <c r="V12" i="71"/>
  <c r="C24" i="71"/>
  <c r="C23" i="71"/>
  <c r="C22" i="71"/>
  <c r="C21" i="71"/>
  <c r="C20" i="71"/>
  <c r="C19" i="71"/>
  <c r="C18" i="71"/>
  <c r="C17" i="71"/>
  <c r="C16" i="71"/>
  <c r="C15" i="71"/>
  <c r="C14" i="71"/>
  <c r="C13" i="71"/>
  <c r="C12" i="71"/>
  <c r="D12" i="71"/>
  <c r="D13" i="71"/>
  <c r="U12" i="71"/>
  <c r="T12" i="71"/>
  <c r="B24" i="71"/>
  <c r="B23" i="71"/>
  <c r="B22" i="71"/>
  <c r="B21" i="71"/>
  <c r="B20" i="71"/>
  <c r="B19" i="71"/>
  <c r="B18" i="71"/>
  <c r="B17" i="71"/>
  <c r="B16" i="71"/>
  <c r="B15" i="71"/>
  <c r="B14" i="71"/>
  <c r="B13" i="71"/>
  <c r="B12" i="71"/>
  <c r="S12" i="71"/>
  <c r="E24" i="43"/>
  <c r="Q32" i="43"/>
  <c r="P32" i="43"/>
  <c r="O32" i="43"/>
  <c r="N32" i="43"/>
  <c r="M32" i="43"/>
  <c r="AH11" i="71"/>
  <c r="AG11" i="71"/>
  <c r="AE11" i="71"/>
  <c r="AF11" i="71"/>
  <c r="AD11" i="71"/>
  <c r="AB10" i="71"/>
  <c r="AA10" i="71"/>
  <c r="Y10" i="71"/>
  <c r="Z10" i="71"/>
  <c r="X10" i="71"/>
  <c r="AH12" i="71"/>
  <c r="AG12" i="71"/>
  <c r="AE12" i="71"/>
  <c r="AF12" i="71"/>
  <c r="AD12" i="71"/>
  <c r="AH13" i="71"/>
  <c r="AG13" i="71"/>
  <c r="AE13" i="71"/>
  <c r="AF13" i="71"/>
  <c r="AD13" i="71"/>
  <c r="AB12" i="71"/>
  <c r="AA12" i="71"/>
  <c r="Y12" i="71"/>
  <c r="Z12" i="71"/>
  <c r="X12" i="71"/>
  <c r="AB11" i="71"/>
  <c r="AA11" i="71"/>
  <c r="Y11" i="71"/>
  <c r="Z11" i="71"/>
  <c r="X11" i="71"/>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K42" i="40"/>
  <c r="K47" i="39"/>
  <c r="K36" i="36"/>
  <c r="E59" i="9"/>
  <c r="K38" i="35"/>
  <c r="K42" i="37"/>
  <c r="K49" i="34"/>
  <c r="K48" i="33"/>
  <c r="K48" i="21"/>
  <c r="H104" i="9"/>
  <c r="F59" i="9"/>
  <c r="AH14" i="71"/>
  <c r="AG14" i="71"/>
  <c r="AE14" i="71"/>
  <c r="AF14" i="71"/>
  <c r="AD14" i="71"/>
  <c r="AB13" i="71"/>
  <c r="AA13" i="71"/>
  <c r="Y13" i="71"/>
  <c r="Z13" i="71"/>
  <c r="X13" i="71"/>
  <c r="V16" i="71"/>
  <c r="D16" i="71"/>
  <c r="D17" i="71"/>
  <c r="U16" i="71"/>
  <c r="T16" i="71"/>
  <c r="S16" i="71"/>
  <c r="AH15" i="71"/>
  <c r="AG15" i="71"/>
  <c r="AE15" i="71"/>
  <c r="AF15" i="71"/>
  <c r="AD15" i="71"/>
  <c r="AB14" i="71"/>
  <c r="AA14" i="71"/>
  <c r="Y14" i="71"/>
  <c r="Z14" i="71"/>
  <c r="X14" i="71"/>
  <c r="AB18" i="71"/>
  <c r="AB17" i="71"/>
  <c r="AA17" i="71"/>
  <c r="Y17" i="71"/>
  <c r="Z17" i="71"/>
  <c r="X17" i="71"/>
  <c r="AH16" i="71"/>
  <c r="AG16" i="71"/>
  <c r="AE16" i="71"/>
  <c r="AF16" i="71"/>
  <c r="AD16" i="71"/>
  <c r="AB15" i="71"/>
  <c r="AA15" i="71"/>
  <c r="X15" i="71"/>
  <c r="F24" i="71"/>
  <c r="F23" i="71"/>
  <c r="F22" i="71"/>
  <c r="F21" i="71"/>
  <c r="F20" i="71"/>
  <c r="F19" i="71"/>
  <c r="F18" i="71"/>
  <c r="F17" i="71"/>
  <c r="E11" i="71"/>
  <c r="E10" i="71"/>
  <c r="E9" i="71"/>
  <c r="E8" i="71"/>
  <c r="E7" i="71"/>
  <c r="E6" i="71"/>
  <c r="E5" i="71"/>
  <c r="AH17" i="71"/>
  <c r="AG17" i="71"/>
  <c r="AE17" i="71"/>
  <c r="AF17" i="71"/>
  <c r="AD17" i="71"/>
  <c r="AH18" i="71"/>
  <c r="AG18" i="71"/>
  <c r="AE18" i="71"/>
  <c r="AF18" i="71"/>
  <c r="AD18" i="71"/>
  <c r="F24" i="12"/>
  <c r="F7" i="69"/>
  <c r="F7" i="68"/>
  <c r="AH19" i="71"/>
  <c r="AG19" i="71"/>
  <c r="AE19" i="71"/>
  <c r="AF19" i="71"/>
  <c r="AD19" i="71"/>
  <c r="AA18" i="71"/>
  <c r="Y18" i="71"/>
  <c r="X18" i="71"/>
  <c r="AD20" i="71"/>
  <c r="AH20" i="71"/>
  <c r="AG20" i="71"/>
  <c r="AE20" i="71"/>
  <c r="AF20" i="71"/>
  <c r="L3" i="71"/>
  <c r="AH3" i="71"/>
  <c r="K3" i="71"/>
  <c r="AG3" i="71"/>
  <c r="J3" i="71"/>
  <c r="AE3" i="71"/>
  <c r="I3" i="71"/>
  <c r="AH21" i="71"/>
  <c r="AG21" i="71"/>
  <c r="AE21" i="71"/>
  <c r="AF21" i="71"/>
  <c r="AD21" i="71"/>
  <c r="AA21" i="71"/>
  <c r="X21" i="71"/>
  <c r="AH22" i="71"/>
  <c r="AG22" i="71"/>
  <c r="AE22" i="71"/>
  <c r="AF22" i="71"/>
  <c r="AD22" i="71"/>
  <c r="AB21" i="71"/>
  <c r="AA22" i="71"/>
  <c r="Y21" i="71"/>
  <c r="Z21" i="71"/>
  <c r="D25" i="71"/>
  <c r="AH23" i="71"/>
  <c r="AG23" i="71"/>
  <c r="AE23" i="71"/>
  <c r="AF23" i="71"/>
  <c r="AD23" i="71"/>
  <c r="AD24" i="71"/>
  <c r="AG24" i="71"/>
  <c r="AH24" i="71"/>
  <c r="AE24" i="71"/>
  <c r="AF24" i="71"/>
  <c r="X22" i="71"/>
  <c r="AB23" i="71"/>
  <c r="AA23" i="71"/>
  <c r="Y22" i="71"/>
  <c r="Z22" i="71"/>
  <c r="Y23" i="71"/>
  <c r="Z23" i="71"/>
  <c r="V24" i="71"/>
  <c r="AB24" i="71"/>
  <c r="Y24" i="71"/>
  <c r="Z24" i="71"/>
  <c r="X24" i="71"/>
  <c r="AA24" i="71"/>
  <c r="A2" i="53"/>
  <c r="K59" i="67"/>
  <c r="P61" i="67"/>
  <c r="K59" i="15"/>
  <c r="P74" i="15"/>
  <c r="D115" i="39"/>
  <c r="E115" i="39"/>
  <c r="F115" i="39"/>
  <c r="G115" i="39"/>
  <c r="H115" i="39"/>
  <c r="I115" i="39"/>
  <c r="J115" i="39"/>
  <c r="K115" i="39"/>
  <c r="L115" i="39"/>
  <c r="M115" i="39"/>
  <c r="C115" i="39"/>
  <c r="A21" i="62"/>
  <c r="B67" i="72"/>
  <c r="A20" i="62"/>
  <c r="A22" i="51"/>
  <c r="A21" i="51"/>
  <c r="A20" i="51"/>
  <c r="A15" i="62"/>
  <c r="A14" i="62"/>
  <c r="A13" i="62"/>
  <c r="B59" i="72"/>
  <c r="A19" i="62"/>
  <c r="A12" i="62"/>
  <c r="B58" i="72"/>
  <c r="A120" i="9"/>
  <c r="H2" i="52"/>
  <c r="A1" i="52"/>
  <c r="A3" i="53"/>
  <c r="A15" i="51"/>
  <c r="B12" i="72"/>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c r="B74" i="72"/>
  <c r="K49" i="9"/>
  <c r="E107" i="9"/>
  <c r="A122" i="9"/>
  <c r="A8" i="52"/>
  <c r="B54" i="72"/>
  <c r="A126" i="9"/>
  <c r="A12" i="52"/>
  <c r="B56" i="72"/>
  <c r="A124" i="9"/>
  <c r="A10" i="52"/>
  <c r="B55" i="72"/>
  <c r="B44" i="72"/>
  <c r="B42" i="72"/>
  <c r="B69" i="72"/>
  <c r="B68" i="72"/>
  <c r="B63" i="72"/>
  <c r="B62" i="72"/>
  <c r="B16" i="72"/>
  <c r="B65" i="72"/>
  <c r="B60" i="72"/>
  <c r="B66" i="72"/>
  <c r="B10" i="72"/>
  <c r="C53" i="10"/>
  <c r="B51" i="10"/>
  <c r="B19" i="72"/>
  <c r="A18" i="51"/>
  <c r="B13" i="72"/>
  <c r="C8" i="68"/>
  <c r="B49" i="48"/>
  <c r="B5" i="72"/>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O53" i="71"/>
  <c r="C54" i="71"/>
  <c r="Q53" i="71"/>
  <c r="F54" i="71"/>
  <c r="F55" i="71"/>
  <c r="F56" i="71"/>
  <c r="V56" i="71"/>
  <c r="P53" i="71"/>
  <c r="E54"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Q45" i="71"/>
  <c r="F46" i="71"/>
  <c r="F47" i="71"/>
  <c r="F48" i="71"/>
  <c r="V48"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E43" i="71"/>
  <c r="E44" i="71"/>
  <c r="U44" i="71"/>
  <c r="O41" i="71"/>
  <c r="C42" i="71"/>
  <c r="N41" i="71"/>
  <c r="B42" i="71"/>
  <c r="B43" i="71"/>
  <c r="B44" i="71"/>
  <c r="S44" i="71"/>
  <c r="D41" i="71"/>
  <c r="Q40" i="71"/>
  <c r="P40" i="71"/>
  <c r="O40" i="71"/>
  <c r="N40" i="71"/>
  <c r="AB39" i="71"/>
  <c r="AA39" i="71"/>
  <c r="Y39" i="71"/>
  <c r="Z39" i="71"/>
  <c r="X39" i="71"/>
  <c r="AB38" i="71"/>
  <c r="Y38" i="71"/>
  <c r="Z38" i="71"/>
  <c r="F38" i="71"/>
  <c r="F39" i="71"/>
  <c r="F40" i="71"/>
  <c r="V40" i="71"/>
  <c r="D37" i="71"/>
  <c r="AB36" i="71"/>
  <c r="Y36" i="71"/>
  <c r="Z36" i="71"/>
  <c r="AB35" i="71"/>
  <c r="Y35" i="71"/>
  <c r="Z35" i="71"/>
  <c r="AB34" i="71"/>
  <c r="Y34" i="71"/>
  <c r="Z34" i="71"/>
  <c r="F34" i="71"/>
  <c r="F35" i="71"/>
  <c r="F36" i="71"/>
  <c r="V36" i="71"/>
  <c r="D33" i="71"/>
  <c r="AB32" i="71"/>
  <c r="Y32" i="71"/>
  <c r="Z32" i="71"/>
  <c r="AB31" i="71"/>
  <c r="Y31" i="71"/>
  <c r="Z31" i="71"/>
  <c r="AB30" i="71"/>
  <c r="Y30" i="71"/>
  <c r="Z30" i="71"/>
  <c r="F30" i="71"/>
  <c r="F31" i="71"/>
  <c r="F32" i="71"/>
  <c r="V32" i="71"/>
  <c r="D29"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E55" i="71"/>
  <c r="E56" i="71"/>
  <c r="U56" i="71"/>
  <c r="E59" i="71"/>
  <c r="E60" i="71"/>
  <c r="U60" i="71"/>
  <c r="E63" i="71"/>
  <c r="E64" i="71"/>
  <c r="U64" i="71"/>
  <c r="Q65" i="71"/>
  <c r="U68" i="71"/>
  <c r="E67"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c r="D102" i="39"/>
  <c r="E102" i="39"/>
  <c r="F102" i="39"/>
  <c r="G102"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8" i="43"/>
  <c r="B77" i="43"/>
  <c r="B57" i="43"/>
  <c r="B68" i="43"/>
  <c r="C25" i="40"/>
  <c r="C29" i="39"/>
  <c r="S25" i="40"/>
  <c r="S18" i="36"/>
  <c r="U18" i="36"/>
  <c r="S21" i="34"/>
  <c r="F94" i="40"/>
  <c r="H25" i="40"/>
  <c r="G94" i="40"/>
  <c r="J25" i="40"/>
  <c r="H29" i="39"/>
  <c r="AB29" i="39"/>
  <c r="J29" i="39"/>
  <c r="AC29"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40" i="69"/>
  <c r="F39" i="69"/>
  <c r="E10" i="69"/>
  <c r="E9" i="69"/>
  <c r="AC21" i="37"/>
  <c r="W21" i="37"/>
  <c r="AC21" i="34"/>
  <c r="W21" i="34"/>
  <c r="AC21" i="33"/>
  <c r="W21" i="33"/>
  <c r="AB21" i="21"/>
  <c r="U21" i="21"/>
  <c r="G83" i="21"/>
  <c r="J21" i="21"/>
  <c r="F38" i="68"/>
  <c r="E37" i="68"/>
  <c r="F36" i="68"/>
  <c r="F35" i="68"/>
  <c r="F21" i="68"/>
  <c r="F40" i="68"/>
  <c r="C21" i="68"/>
  <c r="F20" i="68"/>
  <c r="F39" i="68"/>
  <c r="E10" i="68"/>
  <c r="E9" i="68"/>
  <c r="C7" i="68"/>
  <c r="C5" i="68"/>
  <c r="W21" i="21"/>
  <c r="AC21" i="21"/>
  <c r="C40" i="68"/>
  <c r="Q72" i="67"/>
  <c r="Q59" i="67"/>
  <c r="Q58" i="67"/>
  <c r="Q51" i="67"/>
  <c r="J50" i="67"/>
  <c r="M47" i="67"/>
  <c r="D46" i="67"/>
  <c r="F33" i="67"/>
  <c r="F61" i="67"/>
  <c r="F23" i="67"/>
  <c r="D24" i="67"/>
  <c r="F21" i="67"/>
  <c r="F20" i="67"/>
  <c r="M19" i="67"/>
  <c r="F18" i="67"/>
  <c r="F17" i="67"/>
  <c r="F15" i="67"/>
  <c r="S2" i="4"/>
  <c r="C51" i="10"/>
  <c r="A13" i="51"/>
  <c r="B11" i="72"/>
  <c r="S1" i="4"/>
  <c r="B1" i="4"/>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M50" i="43"/>
  <c r="N50" i="43"/>
  <c r="K50" i="43"/>
  <c r="J50" i="43"/>
  <c r="Q72" i="15"/>
  <c r="Q58" i="15"/>
  <c r="Q51" i="15"/>
  <c r="Q59" i="15"/>
  <c r="AE13" i="1"/>
  <c r="M47" i="15"/>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c r="F3" i="35"/>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B487" i="3"/>
  <c r="BC487" i="3"/>
  <c r="BD487" i="3"/>
  <c r="BE487" i="3"/>
  <c r="BF487" i="3"/>
  <c r="BG487" i="3"/>
  <c r="BH487" i="3"/>
  <c r="BI487" i="3"/>
  <c r="BJ487" i="3"/>
  <c r="BK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B481" i="3"/>
  <c r="BC481" i="3"/>
  <c r="BD481" i="3"/>
  <c r="BE481" i="3"/>
  <c r="BF481" i="3"/>
  <c r="BG481" i="3"/>
  <c r="BH481" i="3"/>
  <c r="BI481" i="3"/>
  <c r="BJ481" i="3"/>
  <c r="BK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B477" i="3"/>
  <c r="BC477" i="3"/>
  <c r="BD477" i="3"/>
  <c r="BE477" i="3"/>
  <c r="BF477" i="3"/>
  <c r="BG477" i="3"/>
  <c r="BH477" i="3"/>
  <c r="BI477" i="3"/>
  <c r="BJ477" i="3"/>
  <c r="BK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B469" i="3"/>
  <c r="BC469" i="3"/>
  <c r="BD469" i="3"/>
  <c r="BE469" i="3"/>
  <c r="BF469" i="3"/>
  <c r="BG469" i="3"/>
  <c r="BH469" i="3"/>
  <c r="BI469" i="3"/>
  <c r="BJ469" i="3"/>
  <c r="BK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B462" i="3"/>
  <c r="BC462" i="3"/>
  <c r="BD462" i="3"/>
  <c r="BE462" i="3"/>
  <c r="BF462" i="3"/>
  <c r="BG462" i="3"/>
  <c r="BH462" i="3"/>
  <c r="BI462" i="3"/>
  <c r="BJ462" i="3"/>
  <c r="BK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B459" i="3"/>
  <c r="BC459" i="3"/>
  <c r="BD459" i="3"/>
  <c r="BE459" i="3"/>
  <c r="BF459" i="3"/>
  <c r="BG459" i="3"/>
  <c r="BH459" i="3"/>
  <c r="BI459" i="3"/>
  <c r="BJ459" i="3"/>
  <c r="BK459" i="3"/>
  <c r="BA459" i="3"/>
  <c r="AZ459" i="3"/>
  <c r="AX459" i="3"/>
  <c r="AW459" i="3"/>
  <c r="AV459" i="3"/>
  <c r="AC459" i="3"/>
  <c r="H459" i="3"/>
  <c r="G459" i="3"/>
  <c r="BT458" i="3"/>
  <c r="BS458" i="3"/>
  <c r="BR458" i="3"/>
  <c r="BQ458" i="3"/>
  <c r="BP458" i="3"/>
  <c r="BO458" i="3"/>
  <c r="BN458" i="3"/>
  <c r="BM458" i="3"/>
  <c r="BL458" i="3"/>
  <c r="BB458" i="3"/>
  <c r="BC458" i="3"/>
  <c r="BD458" i="3"/>
  <c r="BE458" i="3"/>
  <c r="BF458" i="3"/>
  <c r="BG458" i="3"/>
  <c r="BH458" i="3"/>
  <c r="BI458" i="3"/>
  <c r="BJ458" i="3"/>
  <c r="BK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B454" i="3"/>
  <c r="BC454" i="3"/>
  <c r="BD454" i="3"/>
  <c r="BE454" i="3"/>
  <c r="BF454" i="3"/>
  <c r="BG454" i="3"/>
  <c r="BH454" i="3"/>
  <c r="BI454" i="3"/>
  <c r="BJ454" i="3"/>
  <c r="BK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B451" i="3"/>
  <c r="BC451" i="3"/>
  <c r="BD451" i="3"/>
  <c r="BE451" i="3"/>
  <c r="BF451" i="3"/>
  <c r="BG451" i="3"/>
  <c r="BH451" i="3"/>
  <c r="BI451" i="3"/>
  <c r="BJ451" i="3"/>
  <c r="BK451" i="3"/>
  <c r="BA451" i="3"/>
  <c r="AZ451" i="3"/>
  <c r="AX451" i="3"/>
  <c r="AW451" i="3"/>
  <c r="AV451" i="3"/>
  <c r="AC451" i="3"/>
  <c r="H451" i="3"/>
  <c r="G451" i="3"/>
  <c r="BT450" i="3"/>
  <c r="BS450" i="3"/>
  <c r="BR450" i="3"/>
  <c r="BQ450" i="3"/>
  <c r="BP450" i="3"/>
  <c r="BO450" i="3"/>
  <c r="BN450" i="3"/>
  <c r="BM450" i="3"/>
  <c r="BL450" i="3"/>
  <c r="BB450" i="3"/>
  <c r="BC450" i="3"/>
  <c r="BD450" i="3"/>
  <c r="BE450" i="3"/>
  <c r="BF450" i="3"/>
  <c r="BG450" i="3"/>
  <c r="BH450" i="3"/>
  <c r="BI450" i="3"/>
  <c r="BJ450" i="3"/>
  <c r="BK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B446" i="3"/>
  <c r="BC446" i="3"/>
  <c r="BD446" i="3"/>
  <c r="BE446" i="3"/>
  <c r="BF446" i="3"/>
  <c r="BG446" i="3"/>
  <c r="BH446" i="3"/>
  <c r="BI446" i="3"/>
  <c r="BJ446" i="3"/>
  <c r="BK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B443" i="3"/>
  <c r="BC443" i="3"/>
  <c r="BD443" i="3"/>
  <c r="BE443" i="3"/>
  <c r="BF443" i="3"/>
  <c r="BG443" i="3"/>
  <c r="BH443" i="3"/>
  <c r="BI443" i="3"/>
  <c r="BJ443" i="3"/>
  <c r="BK443" i="3"/>
  <c r="BA443" i="3"/>
  <c r="AZ443" i="3"/>
  <c r="AX443" i="3"/>
  <c r="AW443" i="3"/>
  <c r="AV443" i="3"/>
  <c r="AC443" i="3"/>
  <c r="H443" i="3"/>
  <c r="G443" i="3"/>
  <c r="BT442" i="3"/>
  <c r="BS442" i="3"/>
  <c r="BR442" i="3"/>
  <c r="BQ442" i="3"/>
  <c r="BP442" i="3"/>
  <c r="BO442" i="3"/>
  <c r="BN442" i="3"/>
  <c r="BM442" i="3"/>
  <c r="BL442" i="3"/>
  <c r="BB442" i="3"/>
  <c r="BC442" i="3"/>
  <c r="BD442" i="3"/>
  <c r="BE442" i="3"/>
  <c r="BF442" i="3"/>
  <c r="BG442" i="3"/>
  <c r="BH442" i="3"/>
  <c r="BI442" i="3"/>
  <c r="BJ442" i="3"/>
  <c r="BK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B438" i="3"/>
  <c r="BC438" i="3"/>
  <c r="BD438" i="3"/>
  <c r="BE438" i="3"/>
  <c r="BF438" i="3"/>
  <c r="BG438" i="3"/>
  <c r="BH438" i="3"/>
  <c r="BI438" i="3"/>
  <c r="BJ438" i="3"/>
  <c r="BK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B435" i="3"/>
  <c r="BC435" i="3"/>
  <c r="BD435" i="3"/>
  <c r="BE435" i="3"/>
  <c r="BF435" i="3"/>
  <c r="BG435" i="3"/>
  <c r="BH435" i="3"/>
  <c r="BI435" i="3"/>
  <c r="BJ435" i="3"/>
  <c r="BK435" i="3"/>
  <c r="BA435" i="3"/>
  <c r="AZ435" i="3"/>
  <c r="AX435" i="3"/>
  <c r="AW435" i="3"/>
  <c r="AV435" i="3"/>
  <c r="AC435" i="3"/>
  <c r="H435" i="3"/>
  <c r="G435" i="3"/>
  <c r="BT434" i="3"/>
  <c r="BS434" i="3"/>
  <c r="BR434" i="3"/>
  <c r="BQ434" i="3"/>
  <c r="BP434" i="3"/>
  <c r="BO434" i="3"/>
  <c r="BN434" i="3"/>
  <c r="BM434" i="3"/>
  <c r="BL434" i="3"/>
  <c r="BB434" i="3"/>
  <c r="BC434" i="3"/>
  <c r="BD434" i="3"/>
  <c r="BE434" i="3"/>
  <c r="BF434" i="3"/>
  <c r="BG434" i="3"/>
  <c r="BH434" i="3"/>
  <c r="BI434" i="3"/>
  <c r="BJ434" i="3"/>
  <c r="BK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B422" i="3"/>
  <c r="BC422" i="3"/>
  <c r="BD422" i="3"/>
  <c r="BE422" i="3"/>
  <c r="BF422" i="3"/>
  <c r="BG422" i="3"/>
  <c r="BH422" i="3"/>
  <c r="BI422" i="3"/>
  <c r="BJ422" i="3"/>
  <c r="BK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B419" i="3"/>
  <c r="BC419" i="3"/>
  <c r="BD419" i="3"/>
  <c r="BE419" i="3"/>
  <c r="BF419" i="3"/>
  <c r="BG419" i="3"/>
  <c r="BH419" i="3"/>
  <c r="BI419" i="3"/>
  <c r="BJ419" i="3"/>
  <c r="BK419" i="3"/>
  <c r="BA419" i="3"/>
  <c r="AZ419" i="3"/>
  <c r="AX419" i="3"/>
  <c r="AW419" i="3"/>
  <c r="AV419" i="3"/>
  <c r="AC419" i="3"/>
  <c r="H419" i="3"/>
  <c r="G419" i="3"/>
  <c r="BT418" i="3"/>
  <c r="BS418" i="3"/>
  <c r="BR418" i="3"/>
  <c r="BQ418" i="3"/>
  <c r="BP418" i="3"/>
  <c r="BO418" i="3"/>
  <c r="BN418" i="3"/>
  <c r="BM418" i="3"/>
  <c r="BL418" i="3"/>
  <c r="BB418" i="3"/>
  <c r="BC418" i="3"/>
  <c r="BD418" i="3"/>
  <c r="BE418" i="3"/>
  <c r="BF418" i="3"/>
  <c r="BG418" i="3"/>
  <c r="BH418" i="3"/>
  <c r="BI418" i="3"/>
  <c r="BJ418" i="3"/>
  <c r="BK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B406" i="3"/>
  <c r="BC406" i="3"/>
  <c r="BD406" i="3"/>
  <c r="BE406" i="3"/>
  <c r="BF406" i="3"/>
  <c r="BG406" i="3"/>
  <c r="BH406" i="3"/>
  <c r="BI406" i="3"/>
  <c r="BJ406" i="3"/>
  <c r="BK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B403" i="3"/>
  <c r="BC403" i="3"/>
  <c r="BD403" i="3"/>
  <c r="BE403" i="3"/>
  <c r="BF403" i="3"/>
  <c r="BG403" i="3"/>
  <c r="BH403" i="3"/>
  <c r="BI403" i="3"/>
  <c r="BJ403" i="3"/>
  <c r="BK403" i="3"/>
  <c r="BA403" i="3"/>
  <c r="AZ403" i="3"/>
  <c r="AX403" i="3"/>
  <c r="AW403" i="3"/>
  <c r="AV403" i="3"/>
  <c r="AC403" i="3"/>
  <c r="H403" i="3"/>
  <c r="G403" i="3"/>
  <c r="BT402" i="3"/>
  <c r="BS402" i="3"/>
  <c r="BR402" i="3"/>
  <c r="BQ402" i="3"/>
  <c r="BP402" i="3"/>
  <c r="BO402" i="3"/>
  <c r="BN402" i="3"/>
  <c r="BM402" i="3"/>
  <c r="BL402" i="3"/>
  <c r="BB402" i="3"/>
  <c r="BC402" i="3"/>
  <c r="BD402" i="3"/>
  <c r="BE402" i="3"/>
  <c r="BF402" i="3"/>
  <c r="BG402" i="3"/>
  <c r="BH402" i="3"/>
  <c r="BI402" i="3"/>
  <c r="BJ402" i="3"/>
  <c r="BK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C145" i="21"/>
  <c r="K139" i="21"/>
  <c r="J142" i="21"/>
  <c r="J140" i="21"/>
  <c r="M87" i="21"/>
  <c r="L87" i="21"/>
  <c r="K87" i="21"/>
  <c r="J87" i="21"/>
  <c r="I87" i="21"/>
  <c r="H87" i="21"/>
  <c r="G87" i="21"/>
  <c r="F87" i="21"/>
  <c r="E87" i="21"/>
  <c r="D87" i="21"/>
  <c r="X7" i="43"/>
  <c r="E26" i="31"/>
  <c r="E27" i="31"/>
  <c r="E28" i="31"/>
  <c r="R29" i="31"/>
  <c r="R30" i="31"/>
  <c r="R31" i="31"/>
  <c r="R32" i="31"/>
  <c r="R33" i="31"/>
  <c r="R34" i="31"/>
  <c r="R35" i="31"/>
  <c r="R36"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E25"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K4" i="9"/>
  <c r="L22" i="4"/>
  <c r="B61" i="72"/>
  <c r="L20" i="4"/>
  <c r="A5" i="62"/>
  <c r="B72" i="72"/>
  <c r="A4" i="62"/>
  <c r="B70" i="72"/>
  <c r="F33" i="9"/>
  <c r="B37" i="48"/>
  <c r="B2" i="72"/>
  <c r="B13" i="53"/>
  <c r="B29" i="72"/>
  <c r="R35" i="4"/>
  <c r="Q35" i="4"/>
  <c r="P35" i="4"/>
  <c r="O35" i="4"/>
  <c r="N35" i="4"/>
  <c r="M35" i="4"/>
  <c r="L35" i="4"/>
  <c r="K34" i="4"/>
  <c r="T34" i="4"/>
  <c r="G13" i="1"/>
  <c r="H15" i="4"/>
  <c r="F9" i="1"/>
  <c r="G9" i="1"/>
  <c r="G15" i="4"/>
  <c r="F12" i="1"/>
  <c r="F15" i="4"/>
  <c r="F11" i="1"/>
  <c r="G11" i="1"/>
  <c r="D15" i="4"/>
  <c r="F7" i="1"/>
  <c r="G7" i="1"/>
  <c r="C15" i="4"/>
  <c r="G6" i="1"/>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33" i="15"/>
  <c r="F61" i="15"/>
  <c r="M19" i="15"/>
  <c r="B22" i="1"/>
  <c r="G41" i="69"/>
  <c r="B23" i="1"/>
  <c r="B24" i="1"/>
  <c r="F34" i="68"/>
  <c r="B43" i="1"/>
  <c r="D78" i="9"/>
  <c r="BQ14" i="3"/>
  <c r="BQ15" i="3"/>
  <c r="BQ16" i="3"/>
  <c r="BQ17" i="3"/>
  <c r="BS14" i="3"/>
  <c r="BS15" i="3"/>
  <c r="BS16" i="3"/>
  <c r="BS17" i="3"/>
  <c r="BR14" i="3"/>
  <c r="BR15" i="3"/>
  <c r="BR16" i="3"/>
  <c r="BR17" i="3"/>
  <c r="BT14" i="3"/>
  <c r="BT15" i="3"/>
  <c r="BT16" i="3"/>
  <c r="BT17" i="3"/>
  <c r="BM14" i="3"/>
  <c r="BM15" i="3"/>
  <c r="BN15" i="3"/>
  <c r="BO15" i="3"/>
  <c r="BP15" i="3"/>
  <c r="BL15" i="3"/>
  <c r="BM16" i="3"/>
  <c r="BM17" i="3"/>
  <c r="BO14" i="3"/>
  <c r="BO16" i="3"/>
  <c r="BO17" i="3"/>
  <c r="BN14" i="3"/>
  <c r="BN16" i="3"/>
  <c r="BN17" i="3"/>
  <c r="BP14" i="3"/>
  <c r="BP16" i="3"/>
  <c r="BP17" i="3"/>
  <c r="E20" i="6"/>
  <c r="E21" i="6"/>
  <c r="F23" i="15"/>
  <c r="D24" i="15"/>
  <c r="E22" i="6"/>
  <c r="E23" i="6"/>
  <c r="O10" i="1"/>
  <c r="P10" i="1"/>
  <c r="E24" i="6"/>
  <c r="E25" i="6"/>
  <c r="E26" i="6"/>
  <c r="BC14" i="3"/>
  <c r="BD14" i="3"/>
  <c r="BE14" i="3"/>
  <c r="BF14" i="3"/>
  <c r="BG14" i="3"/>
  <c r="BH14" i="3"/>
  <c r="BI14" i="3"/>
  <c r="BJ14" i="3"/>
  <c r="BK14" i="3"/>
  <c r="BC15" i="3"/>
  <c r="BD15" i="3"/>
  <c r="BE15" i="3"/>
  <c r="BF15" i="3"/>
  <c r="BG15" i="3"/>
  <c r="BH15" i="3"/>
  <c r="BI15" i="3"/>
  <c r="BJ15" i="3"/>
  <c r="BK15" i="3"/>
  <c r="BC16" i="3"/>
  <c r="BD16" i="3"/>
  <c r="BE16" i="3"/>
  <c r="BF16" i="3"/>
  <c r="BG16" i="3"/>
  <c r="BH16" i="3"/>
  <c r="BI16" i="3"/>
  <c r="BJ16" i="3"/>
  <c r="BK16"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Q25" i="31"/>
  <c r="O25" i="31"/>
  <c r="M25" i="31"/>
  <c r="K25" i="31"/>
  <c r="G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BL548" i="3"/>
  <c r="BA548" i="3"/>
  <c r="AZ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A550" i="3"/>
  <c r="BM550" i="3"/>
  <c r="BN550" i="3"/>
  <c r="BO550" i="3"/>
  <c r="BP550" i="3"/>
  <c r="BQ550" i="3"/>
  <c r="BR550" i="3"/>
  <c r="BS550" i="3"/>
  <c r="BT550" i="3"/>
  <c r="BL550" i="3"/>
  <c r="H551" i="3"/>
  <c r="AC551" i="3"/>
  <c r="G551" i="3"/>
  <c r="BB551" i="3"/>
  <c r="BC551" i="3"/>
  <c r="BD551" i="3"/>
  <c r="BE551" i="3"/>
  <c r="BF551" i="3"/>
  <c r="BG551" i="3"/>
  <c r="BH551" i="3"/>
  <c r="BI551" i="3"/>
  <c r="BJ551" i="3"/>
  <c r="BK551" i="3"/>
  <c r="BA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c r="F80" i="39"/>
  <c r="G80" i="39"/>
  <c r="H80" i="39"/>
  <c r="I80" i="39"/>
  <c r="J80" i="39"/>
  <c r="K80" i="39"/>
  <c r="L80" i="39"/>
  <c r="M80"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H45" i="39"/>
  <c r="B128" i="39"/>
  <c r="H44" i="39"/>
  <c r="B126" i="39"/>
  <c r="J43"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E124" i="34"/>
  <c r="F124" i="34"/>
  <c r="G124" i="34"/>
  <c r="H124" i="34"/>
  <c r="I124" i="34"/>
  <c r="J124" i="34"/>
  <c r="K124" i="34"/>
  <c r="L124" i="34"/>
  <c r="M124"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E80" i="34"/>
  <c r="F80" i="34"/>
  <c r="G80" i="34"/>
  <c r="F78" i="34"/>
  <c r="G78" i="34"/>
  <c r="D70" i="34"/>
  <c r="E70" i="34"/>
  <c r="M68" i="34"/>
  <c r="L68" i="34"/>
  <c r="K68" i="34"/>
  <c r="J68" i="34"/>
  <c r="I68" i="34"/>
  <c r="H68" i="34"/>
  <c r="G68" i="34"/>
  <c r="F68" i="34"/>
  <c r="E68" i="34"/>
  <c r="D68" i="34"/>
  <c r="C68" i="34"/>
  <c r="P50" i="34"/>
  <c r="P49" i="34"/>
  <c r="P48" i="34"/>
  <c r="Q47" i="34"/>
  <c r="Z47" i="34"/>
  <c r="Q46" i="34"/>
  <c r="Z46" i="34"/>
  <c r="Q45" i="34"/>
  <c r="Z45" i="34"/>
  <c r="Q44" i="34"/>
  <c r="Z44" i="34"/>
  <c r="Q43" i="34"/>
  <c r="Z43" i="34"/>
  <c r="Q42" i="34"/>
  <c r="Z42" i="34"/>
  <c r="Q41" i="34"/>
  <c r="Z41" i="34"/>
  <c r="Q40" i="34"/>
  <c r="Z40" i="34"/>
  <c r="Q39" i="34"/>
  <c r="Z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B75" i="43"/>
  <c r="B76" i="43"/>
  <c r="B79" i="43"/>
  <c r="B73" i="43"/>
  <c r="C17" i="20"/>
  <c r="B61" i="43"/>
  <c r="C16" i="20"/>
  <c r="C17" i="39"/>
  <c r="C15" i="20"/>
  <c r="B72"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c r="BA585" i="3"/>
  <c r="AZ585" i="3"/>
  <c r="BB586" i="3"/>
  <c r="BC586" i="3"/>
  <c r="BD586" i="3"/>
  <c r="BE586" i="3"/>
  <c r="BF586" i="3"/>
  <c r="BG586" i="3"/>
  <c r="BH586" i="3"/>
  <c r="BI586" i="3"/>
  <c r="BJ586" i="3"/>
  <c r="BK586" i="3"/>
  <c r="BM586" i="3"/>
  <c r="BN586" i="3"/>
  <c r="BO586" i="3"/>
  <c r="BP586" i="3"/>
  <c r="BQ586" i="3"/>
  <c r="BR586" i="3"/>
  <c r="BS586" i="3"/>
  <c r="BT586" i="3"/>
  <c r="BL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F16" i="36"/>
  <c r="AA16" i="36"/>
  <c r="U9" i="36"/>
  <c r="W28" i="36"/>
  <c r="U31" i="36"/>
  <c r="J33" i="36"/>
  <c r="AC33" i="36"/>
  <c r="H22" i="35"/>
  <c r="AB22" i="35"/>
  <c r="AC27" i="35"/>
  <c r="W28" i="35"/>
  <c r="U31" i="35"/>
  <c r="S34" i="35"/>
  <c r="W34" i="35"/>
  <c r="W36" i="35"/>
  <c r="W22" i="35"/>
  <c r="S31" i="35"/>
  <c r="U34" i="35"/>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8" i="39"/>
  <c r="H31" i="39"/>
  <c r="AB31" i="39"/>
  <c r="F31" i="39"/>
  <c r="AA31" i="39"/>
  <c r="E100" i="39"/>
  <c r="H19" i="39"/>
  <c r="AB19" i="39"/>
  <c r="F19" i="39"/>
  <c r="AA19" i="39"/>
  <c r="H17" i="39"/>
  <c r="AB17" i="39"/>
  <c r="F17" i="39"/>
  <c r="AA17" i="39"/>
  <c r="J23" i="40"/>
  <c r="AC23" i="40"/>
  <c r="F21" i="40"/>
  <c r="AA21" i="40"/>
  <c r="J21" i="40"/>
  <c r="W21" i="40"/>
  <c r="H42" i="39"/>
  <c r="AB42" i="39"/>
  <c r="J34" i="39"/>
  <c r="AC34" i="39"/>
  <c r="F108" i="39"/>
  <c r="G108" i="39"/>
  <c r="H108" i="39"/>
  <c r="I108" i="39"/>
  <c r="J108" i="39"/>
  <c r="K108" i="39"/>
  <c r="L108" i="39"/>
  <c r="M108" i="39"/>
  <c r="J31" i="39"/>
  <c r="F100"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F14" i="35"/>
  <c r="AA14" i="35"/>
  <c r="F23" i="35"/>
  <c r="AA23"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c r="U42" i="34"/>
  <c r="U40" i="34"/>
  <c r="E114" i="34"/>
  <c r="U36" i="34"/>
  <c r="S35" i="34"/>
  <c r="F28" i="34"/>
  <c r="AA28" i="34"/>
  <c r="F27" i="34"/>
  <c r="AA27" i="34"/>
  <c r="S25" i="34"/>
  <c r="U23" i="34"/>
  <c r="F19" i="34"/>
  <c r="U17" i="34"/>
  <c r="W8" i="34"/>
  <c r="J28" i="34"/>
  <c r="W28" i="34"/>
  <c r="F41" i="33"/>
  <c r="AA41" i="33"/>
  <c r="S38" i="33"/>
  <c r="E113" i="33"/>
  <c r="F32" i="33"/>
  <c r="AA32" i="33"/>
  <c r="J19" i="33"/>
  <c r="AC19" i="33"/>
  <c r="J15" i="33"/>
  <c r="AC15" i="33"/>
  <c r="F11" i="33"/>
  <c r="AA11" i="33"/>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c r="H29" i="35"/>
  <c r="AB29" i="35"/>
  <c r="H33" i="37"/>
  <c r="AB33" i="37"/>
  <c r="F33" i="37"/>
  <c r="AA33" i="37"/>
  <c r="U34" i="37"/>
  <c r="S34" i="37"/>
  <c r="AA34" i="37"/>
  <c r="AB42" i="34"/>
  <c r="F114" i="34"/>
  <c r="G114" i="34"/>
  <c r="H114" i="34"/>
  <c r="I114" i="34"/>
  <c r="J114" i="34"/>
  <c r="K114" i="34"/>
  <c r="L114" i="34"/>
  <c r="M114" i="34"/>
  <c r="H38" i="34"/>
  <c r="AB38" i="34"/>
  <c r="W36" i="34"/>
  <c r="U37" i="34"/>
  <c r="J19" i="34"/>
  <c r="AC19" i="34"/>
  <c r="W17" i="34"/>
  <c r="S15" i="34"/>
  <c r="S41" i="33"/>
  <c r="F113" i="33"/>
  <c r="G113" i="33"/>
  <c r="H113" i="33"/>
  <c r="I113" i="33"/>
  <c r="J113" i="33"/>
  <c r="K113" i="33"/>
  <c r="L113" i="33"/>
  <c r="M113" i="33"/>
  <c r="H37" i="33"/>
  <c r="AB37" i="33"/>
  <c r="H15" i="33"/>
  <c r="AB15" i="33"/>
  <c r="H11" i="33"/>
  <c r="AB11" i="33"/>
  <c r="F28" i="40"/>
  <c r="AA28" i="40"/>
  <c r="AA29" i="35"/>
  <c r="AA42" i="34"/>
  <c r="S42" i="34"/>
  <c r="AC38" i="34"/>
  <c r="AA38" i="34"/>
  <c r="J11" i="33"/>
  <c r="W11" i="33"/>
  <c r="S28" i="34"/>
  <c r="U23" i="40"/>
  <c r="G123" i="21"/>
  <c r="H123" i="21"/>
  <c r="I123" i="21"/>
  <c r="J123" i="21"/>
  <c r="K123" i="21"/>
  <c r="L123" i="21"/>
  <c r="M123" i="21"/>
  <c r="J42" i="21"/>
  <c r="AC42" i="21"/>
  <c r="H42" i="21"/>
  <c r="U42" i="21"/>
  <c r="J44" i="34"/>
  <c r="F44" i="34"/>
  <c r="AA44" i="34"/>
  <c r="J10" i="35"/>
  <c r="AC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U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W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S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J10" i="36"/>
  <c r="AC10" i="36"/>
  <c r="AB26" i="33"/>
  <c r="AB30" i="21"/>
  <c r="AA14" i="37"/>
  <c r="W31" i="34"/>
  <c r="AC13" i="36"/>
  <c r="W13" i="36"/>
  <c r="S11" i="36"/>
  <c r="AB46" i="34"/>
  <c r="AC30" i="34"/>
  <c r="AA14" i="34"/>
  <c r="S45" i="33"/>
  <c r="AB45" i="33"/>
  <c r="AB31" i="33"/>
  <c r="U31" i="33"/>
  <c r="W29" i="33"/>
  <c r="AC28" i="21"/>
  <c r="S44" i="34"/>
  <c r="BA586" i="3"/>
  <c r="F17" i="21"/>
  <c r="AA17" i="21"/>
  <c r="H17" i="21"/>
  <c r="AB17" i="21"/>
  <c r="F15" i="21"/>
  <c r="S15"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L558" i="3"/>
  <c r="AZ558" i="3"/>
  <c r="BA556" i="3"/>
  <c r="AZ556" i="3"/>
  <c r="BA554" i="3"/>
  <c r="AZ554" i="3"/>
  <c r="BA552" i="3"/>
  <c r="AZ552"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Q581" i="3"/>
  <c r="BL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A557" i="3"/>
  <c r="BQ557" i="3"/>
  <c r="BL557" i="3"/>
  <c r="AZ557" i="3"/>
  <c r="AC557" i="3"/>
  <c r="G557" i="3"/>
  <c r="BQ583" i="3"/>
  <c r="BL583" i="3"/>
  <c r="AZ583"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BQ521" i="3"/>
  <c r="BL521" i="3"/>
  <c r="AZ521" i="3"/>
  <c r="AC521" i="3"/>
  <c r="G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U35" i="34"/>
  <c r="S41" i="34"/>
  <c r="U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c r="S42" i="21"/>
  <c r="H19" i="34"/>
  <c r="AB19" i="34"/>
  <c r="F36" i="35"/>
  <c r="S36" i="35"/>
  <c r="J9" i="37"/>
  <c r="W9" i="37"/>
  <c r="H9" i="37"/>
  <c r="U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19" i="40"/>
  <c r="AC19" i="40"/>
  <c r="J50" i="40"/>
  <c r="H103" i="9"/>
  <c r="D8" i="53"/>
  <c r="B16" i="53"/>
  <c r="B33" i="72"/>
  <c r="C7" i="37"/>
  <c r="C7" i="34"/>
  <c r="C7" i="36"/>
  <c r="W35" i="40"/>
  <c r="A118" i="9"/>
  <c r="A4" i="52"/>
  <c r="B41" i="72"/>
  <c r="J11" i="39"/>
  <c r="W11" i="39"/>
  <c r="F11" i="39"/>
  <c r="AA11" i="39"/>
  <c r="S11" i="39"/>
  <c r="G4" i="4"/>
  <c r="I4" i="4"/>
  <c r="A2" i="9"/>
  <c r="F61" i="43"/>
  <c r="H64"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BL362" i="3"/>
  <c r="AZ362" i="3"/>
  <c r="G370" i="3"/>
  <c r="BL371" i="3"/>
  <c r="G372" i="3"/>
  <c r="BL373" i="3"/>
  <c r="BA375" i="3"/>
  <c r="AZ375" i="3"/>
  <c r="BA376" i="3"/>
  <c r="BL376" i="3"/>
  <c r="G377" i="3"/>
  <c r="BA378" i="3"/>
  <c r="BL378" i="3"/>
  <c r="AZ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c r="G306" i="3"/>
  <c r="G309" i="3"/>
  <c r="BL310" i="3"/>
  <c r="BA312" i="3"/>
  <c r="AZ312" i="3"/>
  <c r="BA313" i="3"/>
  <c r="BL313" i="3"/>
  <c r="AZ313" i="3"/>
  <c r="G314" i="3"/>
  <c r="G317" i="3"/>
  <c r="BL318" i="3"/>
  <c r="BA320" i="3"/>
  <c r="AZ320" i="3"/>
  <c r="BA321" i="3"/>
  <c r="BL321" i="3"/>
  <c r="AZ321" i="3"/>
  <c r="G322" i="3"/>
  <c r="G325" i="3"/>
  <c r="BL326" i="3"/>
  <c r="BA328" i="3"/>
  <c r="AZ328" i="3"/>
  <c r="BA329" i="3"/>
  <c r="BL329" i="3"/>
  <c r="AZ329" i="3"/>
  <c r="G330" i="3"/>
  <c r="G333" i="3"/>
  <c r="BL334" i="3"/>
  <c r="BA336" i="3"/>
  <c r="AZ336" i="3"/>
  <c r="BA337" i="3"/>
  <c r="BL337" i="3"/>
  <c r="AZ337" i="3"/>
  <c r="G338" i="3"/>
  <c r="G341" i="3"/>
  <c r="BA342" i="3"/>
  <c r="BL342" i="3"/>
  <c r="AZ342" i="3"/>
  <c r="BA344" i="3"/>
  <c r="BL344" i="3"/>
  <c r="AZ344" i="3"/>
  <c r="BA346" i="3"/>
  <c r="AZ346" i="3"/>
  <c r="BA347" i="3"/>
  <c r="BL347" i="3"/>
  <c r="AZ347" i="3"/>
  <c r="G350" i="3"/>
  <c r="BA351" i="3"/>
  <c r="BL351" i="3"/>
  <c r="AZ351" i="3"/>
  <c r="G352" i="3"/>
  <c r="G354" i="3"/>
  <c r="BA355" i="3"/>
  <c r="AZ355" i="3"/>
  <c r="BA356" i="3"/>
  <c r="BL356" i="3"/>
  <c r="G357" i="3"/>
  <c r="G360" i="3"/>
  <c r="BL361" i="3"/>
  <c r="BA363" i="3"/>
  <c r="AZ363" i="3"/>
  <c r="BA364" i="3"/>
  <c r="BL364" i="3"/>
  <c r="G365" i="3"/>
  <c r="G368" i="3"/>
  <c r="BL369" i="3"/>
  <c r="BA371" i="3"/>
  <c r="AZ371" i="3"/>
  <c r="BA372" i="3"/>
  <c r="BL372" i="3"/>
  <c r="AZ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T5" i="3"/>
  <c r="BR5" i="3"/>
  <c r="G28" i="6"/>
  <c r="AZ350" i="3"/>
  <c r="AZ352" i="3"/>
  <c r="AZ356" i="3"/>
  <c r="AZ360" i="3"/>
  <c r="AZ364" i="3"/>
  <c r="AZ368" i="3"/>
  <c r="BB5" i="3"/>
  <c r="AZ380" i="3"/>
  <c r="AZ384" i="3"/>
  <c r="AZ388" i="3"/>
  <c r="AZ392" i="3"/>
  <c r="AZ396" i="3"/>
  <c r="AZ394" i="3"/>
  <c r="AZ499" i="3"/>
  <c r="AZ509" i="3"/>
  <c r="G509" i="3"/>
  <c r="BL493" i="3"/>
  <c r="AZ491" i="3"/>
  <c r="AZ376" i="3"/>
  <c r="AZ390" i="3"/>
  <c r="AZ382" i="3"/>
  <c r="AZ493" i="3"/>
  <c r="U36" i="40"/>
  <c r="F83" i="43"/>
  <c r="H85" i="43"/>
  <c r="F50" i="43"/>
  <c r="H54" i="43"/>
  <c r="F72" i="43"/>
  <c r="H75" i="43"/>
  <c r="U17" i="39"/>
  <c r="S14" i="35"/>
  <c r="U43" i="21"/>
  <c r="U35" i="21"/>
  <c r="AC35" i="21"/>
  <c r="G8" i="1"/>
  <c r="G10" i="1"/>
  <c r="AC11" i="39"/>
  <c r="AZ563" i="3"/>
  <c r="AZ501" i="3"/>
  <c r="W37" i="37"/>
  <c r="W44" i="34"/>
  <c r="AC44" i="34"/>
  <c r="S15" i="37"/>
  <c r="U13" i="37"/>
  <c r="U12" i="40"/>
  <c r="AA12" i="40"/>
  <c r="J37" i="33"/>
  <c r="W37" i="33"/>
  <c r="F106" i="33"/>
  <c r="G106" i="33"/>
  <c r="H106" i="33"/>
  <c r="I106" i="33"/>
  <c r="J106" i="33"/>
  <c r="K106" i="33"/>
  <c r="L106" i="33"/>
  <c r="M106" i="33"/>
  <c r="J34" i="33"/>
  <c r="W34" i="33"/>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S39" i="34"/>
  <c r="W39" i="34"/>
  <c r="S40" i="34"/>
  <c r="H44" i="34"/>
  <c r="AB44" i="34"/>
  <c r="AC38" i="39"/>
  <c r="F39" i="39"/>
  <c r="S39" i="39"/>
  <c r="J39" i="39"/>
  <c r="AC39" i="39"/>
  <c r="E96" i="39"/>
  <c r="F96" i="39"/>
  <c r="G96"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U33" i="34"/>
  <c r="F32" i="37"/>
  <c r="AA32" i="37"/>
  <c r="G96" i="37"/>
  <c r="H96" i="37"/>
  <c r="I96" i="37"/>
  <c r="J96" i="37"/>
  <c r="K96" i="37"/>
  <c r="L96" i="37"/>
  <c r="M96" i="37"/>
  <c r="F20" i="36"/>
  <c r="AA20" i="36"/>
  <c r="H23" i="39"/>
  <c r="U23" i="39"/>
  <c r="D48" i="9"/>
  <c r="M52" i="9"/>
  <c r="D93" i="9"/>
  <c r="AP6" i="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AZ80" i="3"/>
  <c r="AZ84" i="3"/>
  <c r="AZ88" i="3"/>
  <c r="AZ107" i="3"/>
  <c r="AZ111" i="3"/>
  <c r="S13" i="1"/>
  <c r="AR13" i="1"/>
  <c r="R13" i="1"/>
  <c r="J51" i="67"/>
  <c r="C42" i="1"/>
  <c r="AC34" i="33"/>
  <c r="AA34" i="33"/>
  <c r="B41" i="1"/>
  <c r="F48" i="9"/>
  <c r="O52" i="9"/>
  <c r="AB37" i="40"/>
  <c r="S35" i="40"/>
  <c r="U35" i="40"/>
  <c r="AC36" i="40"/>
  <c r="W38" i="40"/>
  <c r="AA32" i="40"/>
  <c r="S17" i="40"/>
  <c r="S23" i="40"/>
  <c r="AC17" i="40"/>
  <c r="AC15" i="40"/>
  <c r="AB27" i="40"/>
  <c r="S30" i="40"/>
  <c r="AA19" i="40"/>
  <c r="S28" i="40"/>
  <c r="AA27" i="40"/>
  <c r="U21" i="40"/>
  <c r="AB19" i="40"/>
  <c r="U37" i="39"/>
  <c r="S43" i="39"/>
  <c r="S37" i="39"/>
  <c r="U35" i="39"/>
  <c r="F32" i="39"/>
  <c r="F106" i="39"/>
  <c r="G106" i="39"/>
  <c r="H106" i="39"/>
  <c r="I106" i="39"/>
  <c r="J106" i="39"/>
  <c r="K106" i="39"/>
  <c r="L106" i="39"/>
  <c r="M106" i="39"/>
  <c r="U25" i="39"/>
  <c r="AB27" i="39"/>
  <c r="U31" i="39"/>
  <c r="J21" i="39"/>
  <c r="W21" i="39"/>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c r="H9" i="35"/>
  <c r="U9" i="35"/>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c r="F63" i="37"/>
  <c r="F11" i="37"/>
  <c r="S11" i="37"/>
  <c r="S27" i="34"/>
  <c r="W25" i="34"/>
  <c r="AB8" i="34"/>
  <c r="U44" i="34"/>
  <c r="U43" i="34"/>
  <c r="W41" i="34"/>
  <c r="AC42" i="34"/>
  <c r="U39" i="34"/>
  <c r="S43" i="34"/>
  <c r="AA45" i="34"/>
  <c r="U28" i="34"/>
  <c r="S17" i="34"/>
  <c r="U27" i="34"/>
  <c r="S23" i="34"/>
  <c r="U15" i="34"/>
  <c r="S13"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AA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c r="H10" i="33"/>
  <c r="U10" i="33"/>
  <c r="AC11" i="33"/>
  <c r="AB14" i="33"/>
  <c r="W43" i="21"/>
  <c r="W36" i="21"/>
  <c r="W41" i="21"/>
  <c r="AB39" i="21"/>
  <c r="AA43" i="21"/>
  <c r="S39" i="21"/>
  <c r="AA38" i="21"/>
  <c r="AA36" i="21"/>
  <c r="AC40" i="21"/>
  <c r="J15" i="21"/>
  <c r="W15" i="21"/>
  <c r="F77" i="21"/>
  <c r="G77" i="21"/>
  <c r="F23" i="21"/>
  <c r="S23" i="21"/>
  <c r="E85" i="21"/>
  <c r="AA14" i="21"/>
  <c r="D120" i="9"/>
  <c r="D121" i="9"/>
  <c r="D7" i="52"/>
  <c r="C18" i="9"/>
  <c r="D18" i="9"/>
  <c r="F34" i="67"/>
  <c r="F62" i="67"/>
  <c r="M20" i="67"/>
  <c r="F34" i="15"/>
  <c r="F62" i="15"/>
  <c r="G13" i="3"/>
  <c r="G5" i="3"/>
  <c r="B3" i="3"/>
  <c r="E510" i="3"/>
  <c r="BL17" i="3"/>
  <c r="BL5" i="3"/>
  <c r="J56" i="9"/>
  <c r="J57" i="9"/>
  <c r="J59" i="9"/>
  <c r="J61" i="9"/>
  <c r="A24" i="51"/>
  <c r="B18" i="72"/>
  <c r="U29" i="34"/>
  <c r="E5" i="6"/>
  <c r="E32" i="6"/>
  <c r="G1" i="68"/>
  <c r="K1" i="12"/>
  <c r="E19" i="69"/>
  <c r="E19" i="68"/>
  <c r="E19" i="11"/>
  <c r="E1" i="73"/>
  <c r="G22" i="69"/>
  <c r="G22" i="68"/>
  <c r="G26" i="12"/>
  <c r="G22" i="11"/>
  <c r="C6" i="43"/>
  <c r="B19" i="53"/>
  <c r="B37" i="72"/>
  <c r="C7" i="39"/>
  <c r="C67" i="39"/>
  <c r="C7" i="35"/>
  <c r="C7" i="33"/>
  <c r="C7" i="21"/>
  <c r="C7" i="40"/>
  <c r="C63" i="40"/>
  <c r="M47" i="9"/>
  <c r="G23" i="43"/>
  <c r="C46" i="36"/>
  <c r="D46" i="36"/>
  <c r="E46" i="36"/>
  <c r="F46" i="36"/>
  <c r="G46" i="36"/>
  <c r="H46" i="36"/>
  <c r="I46" i="36"/>
  <c r="C52" i="37"/>
  <c r="D52" i="37"/>
  <c r="A4" i="51"/>
  <c r="B6" i="72"/>
  <c r="C48" i="35"/>
  <c r="D48" i="35"/>
  <c r="H67" i="43"/>
  <c r="L20" i="6"/>
  <c r="O11" i="1"/>
  <c r="O7" i="1"/>
  <c r="P7" i="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U19" i="34"/>
  <c r="W19" i="34"/>
  <c r="AC45" i="34"/>
  <c r="AA31" i="34"/>
  <c r="AA30" i="34"/>
  <c r="AB45" i="34"/>
  <c r="AB47" i="34"/>
  <c r="U25" i="34"/>
  <c r="W33" i="34"/>
  <c r="AC14" i="34"/>
  <c r="AC32" i="34"/>
  <c r="W29" i="34"/>
  <c r="W46" i="34"/>
  <c r="AC46" i="34"/>
  <c r="S32" i="34"/>
  <c r="AA32" i="34"/>
  <c r="U30" i="34"/>
  <c r="AB30" i="34"/>
  <c r="S37" i="34"/>
  <c r="U38" i="34"/>
  <c r="W40" i="34"/>
  <c r="AA19" i="34"/>
  <c r="S19" i="34"/>
  <c r="S36" i="34"/>
  <c r="AA8" i="34"/>
  <c r="S8" i="34"/>
  <c r="U9" i="34"/>
  <c r="S46" i="34"/>
  <c r="AA46" i="34"/>
  <c r="U32" i="34"/>
  <c r="AB32" i="34"/>
  <c r="U14" i="34"/>
  <c r="AB14" i="34"/>
  <c r="W43" i="34"/>
  <c r="W23"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c r="J33" i="21"/>
  <c r="AC33" i="21"/>
  <c r="H33" i="21"/>
  <c r="AB33" i="21"/>
  <c r="F37" i="21"/>
  <c r="AA37" i="21"/>
  <c r="AA26" i="21"/>
  <c r="AB14" i="21"/>
  <c r="AB46" i="21"/>
  <c r="U40" i="21"/>
  <c r="AB31" i="21"/>
  <c r="U31" i="21"/>
  <c r="AC15" i="21"/>
  <c r="U13" i="21"/>
  <c r="AB13" i="21"/>
  <c r="S35" i="21"/>
  <c r="J37" i="21"/>
  <c r="W37" i="21"/>
  <c r="H15" i="21"/>
  <c r="U15" i="21"/>
  <c r="J17" i="21"/>
  <c r="AC17" i="21"/>
  <c r="AC19" i="21"/>
  <c r="W39" i="21"/>
  <c r="AC14" i="21"/>
  <c r="W30" i="21"/>
  <c r="S46" i="21"/>
  <c r="H45" i="21"/>
  <c r="U45" i="21"/>
  <c r="F29" i="21"/>
  <c r="S29" i="21"/>
  <c r="F13" i="21"/>
  <c r="AA13" i="21"/>
  <c r="AC38" i="21"/>
  <c r="H32" i="21"/>
  <c r="H9" i="21"/>
  <c r="J9" i="21"/>
  <c r="J32" i="21"/>
  <c r="W32" i="21"/>
  <c r="F32" i="21"/>
  <c r="AA31" i="21"/>
  <c r="U17" i="21"/>
  <c r="W29" i="21"/>
  <c r="S19" i="21"/>
  <c r="S9" i="21"/>
  <c r="AA9" i="21"/>
  <c r="K141" i="21"/>
  <c r="K144" i="21"/>
  <c r="K143" i="21"/>
  <c r="U27" i="21"/>
  <c r="AB25" i="21"/>
  <c r="AB44" i="21"/>
  <c r="AA30" i="21"/>
  <c r="W13" i="21"/>
  <c r="W42" i="21"/>
  <c r="AC45" i="21"/>
  <c r="F10" i="21"/>
  <c r="AA10" i="2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c r="B73" i="72"/>
  <c r="C4" i="4"/>
  <c r="F30" i="68"/>
  <c r="F48" i="68"/>
  <c r="F30" i="11"/>
  <c r="C48" i="11"/>
  <c r="F28" i="67"/>
  <c r="C28" i="67"/>
  <c r="F31" i="12"/>
  <c r="F52" i="9"/>
  <c r="M18" i="67"/>
  <c r="F32" i="67"/>
  <c r="F60" i="67"/>
  <c r="F30" i="69"/>
  <c r="F48" i="69"/>
  <c r="F32" i="15"/>
  <c r="F60" i="15"/>
  <c r="M18" i="15"/>
  <c r="F28" i="15"/>
  <c r="AA39" i="40"/>
  <c r="S39" i="40"/>
  <c r="S12" i="33"/>
  <c r="AA12" i="33"/>
  <c r="D68" i="9"/>
  <c r="F54" i="9"/>
  <c r="J32" i="39"/>
  <c r="H32" i="39"/>
  <c r="AB32" i="39"/>
  <c r="AA32" i="39"/>
  <c r="S32" i="39"/>
  <c r="AB21" i="39"/>
  <c r="U21" i="39"/>
  <c r="AA21" i="39"/>
  <c r="S21" i="39"/>
  <c r="AC17" i="37"/>
  <c r="S17" i="37"/>
  <c r="J19" i="37"/>
  <c r="G75" i="37"/>
  <c r="S19" i="37"/>
  <c r="AA19" i="37"/>
  <c r="AA23" i="37"/>
  <c r="J23" i="37"/>
  <c r="G79" i="37"/>
  <c r="J10" i="37"/>
  <c r="W10" i="37"/>
  <c r="G63" i="37"/>
  <c r="H11" i="37"/>
  <c r="AB11" i="37"/>
  <c r="G70" i="34"/>
  <c r="H11" i="34"/>
  <c r="U11" i="34"/>
  <c r="J10" i="34"/>
  <c r="AC10" i="34"/>
  <c r="AB41" i="33"/>
  <c r="U41" i="33"/>
  <c r="W35" i="33"/>
  <c r="AC35" i="33"/>
  <c r="H111" i="33"/>
  <c r="I111" i="33"/>
  <c r="J111" i="33"/>
  <c r="K111" i="33"/>
  <c r="L111" i="33"/>
  <c r="M111" i="33"/>
  <c r="J36" i="33"/>
  <c r="W36" i="33"/>
  <c r="H36" i="33"/>
  <c r="U36" i="33"/>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c r="U32" i="39"/>
  <c r="AC32" i="39"/>
  <c r="W32" i="39"/>
  <c r="W19" i="37"/>
  <c r="AC19" i="37"/>
  <c r="W23" i="37"/>
  <c r="AC23" i="37"/>
  <c r="H63" i="37"/>
  <c r="I63" i="37"/>
  <c r="J63" i="37"/>
  <c r="K63" i="37"/>
  <c r="L63" i="37"/>
  <c r="M63" i="37"/>
  <c r="J11" i="37"/>
  <c r="AC11" i="37"/>
  <c r="H70" i="34"/>
  <c r="I70" i="34"/>
  <c r="J70" i="34"/>
  <c r="K70" i="34"/>
  <c r="L70" i="34"/>
  <c r="M70" i="34"/>
  <c r="J11" i="34"/>
  <c r="W11" i="34"/>
  <c r="AB36" i="33"/>
  <c r="W27" i="33"/>
  <c r="AC27" i="33"/>
  <c r="W25" i="33"/>
  <c r="AC25" i="33"/>
  <c r="AA23" i="33"/>
  <c r="S23" i="33"/>
  <c r="AB19" i="33"/>
  <c r="U19" i="33"/>
  <c r="AA17" i="33"/>
  <c r="S17" i="33"/>
  <c r="U17" i="33"/>
  <c r="AB17" i="33"/>
  <c r="U23" i="21"/>
  <c r="AB23" i="21"/>
  <c r="AC23" i="21"/>
  <c r="W23" i="21"/>
  <c r="M49" i="9"/>
  <c r="D16" i="53"/>
  <c r="B34" i="72"/>
  <c r="D21" i="53"/>
  <c r="B39" i="72"/>
  <c r="H111" i="9"/>
  <c r="D126" i="9"/>
  <c r="D19" i="53"/>
  <c r="B38" i="72"/>
  <c r="AD3" i="71"/>
  <c r="J1" i="73"/>
  <c r="H69" i="43"/>
  <c r="H50" i="43"/>
  <c r="C24" i="12"/>
  <c r="D22" i="71"/>
  <c r="D23" i="71"/>
  <c r="D24" i="71"/>
  <c r="U24" i="71"/>
  <c r="S24" i="71"/>
  <c r="T24" i="71"/>
  <c r="AB22" i="71"/>
  <c r="X20" i="71"/>
  <c r="X19" i="71"/>
  <c r="AA20" i="71"/>
  <c r="AA19" i="71"/>
  <c r="X23" i="71"/>
  <c r="Z18" i="71"/>
  <c r="Y19" i="71"/>
  <c r="Z19" i="71"/>
  <c r="AB20" i="71"/>
  <c r="AB19" i="71"/>
  <c r="S20" i="71"/>
  <c r="Y20" i="71"/>
  <c r="Z20" i="71"/>
  <c r="X3" i="71"/>
  <c r="V20" i="71"/>
  <c r="D21" i="71"/>
  <c r="D18" i="71"/>
  <c r="T20" i="71"/>
  <c r="D19" i="71"/>
  <c r="D20" i="71"/>
  <c r="U20" i="71"/>
  <c r="F37" i="67"/>
  <c r="F7" i="15"/>
  <c r="E7" i="76"/>
  <c r="F8" i="67"/>
  <c r="F43" i="15"/>
  <c r="B10" i="76"/>
  <c r="F37" i="15"/>
  <c r="D35" i="9"/>
  <c r="L47" i="15"/>
  <c r="E13" i="76"/>
  <c r="E9" i="76"/>
  <c r="L48" i="15"/>
  <c r="M6" i="67"/>
  <c r="M8" i="67"/>
  <c r="F9" i="67"/>
  <c r="B9" i="76"/>
  <c r="D19" i="9"/>
  <c r="F7" i="67"/>
  <c r="F8" i="15"/>
  <c r="B7" i="76"/>
  <c r="F9" i="15"/>
  <c r="M28" i="15"/>
  <c r="D3" i="73"/>
  <c r="F7" i="73"/>
  <c r="B12" i="76"/>
  <c r="M24" i="67"/>
  <c r="F40" i="15"/>
  <c r="F16" i="67"/>
  <c r="L48" i="67"/>
  <c r="M26" i="15"/>
  <c r="F36" i="15"/>
  <c r="F20" i="31"/>
  <c r="F6" i="73"/>
  <c r="D7" i="73"/>
  <c r="F6" i="15"/>
  <c r="M29" i="67"/>
  <c r="F13" i="67"/>
  <c r="M9" i="15"/>
  <c r="F13" i="15"/>
  <c r="E2" i="69"/>
  <c r="F38" i="67"/>
  <c r="F4" i="73"/>
  <c r="M22" i="67"/>
  <c r="F40" i="67"/>
  <c r="F43" i="67"/>
  <c r="M26" i="67"/>
  <c r="AO13" i="1"/>
  <c r="F6" i="67"/>
  <c r="M24" i="15"/>
  <c r="L47" i="67"/>
  <c r="F26" i="67"/>
  <c r="F42" i="67"/>
  <c r="M28" i="67"/>
  <c r="F5" i="73"/>
  <c r="D6" i="73"/>
  <c r="M6" i="15"/>
  <c r="C76" i="15"/>
  <c r="B8" i="76"/>
  <c r="M23" i="15"/>
  <c r="C19" i="9"/>
  <c r="F42" i="15"/>
  <c r="J15" i="67"/>
  <c r="E2" i="68"/>
  <c r="E8" i="76"/>
  <c r="J15" i="15"/>
  <c r="E11" i="76"/>
  <c r="F26" i="15"/>
  <c r="E10" i="76"/>
  <c r="M23" i="67"/>
  <c r="F36" i="67"/>
  <c r="M8" i="15"/>
  <c r="M29" i="15"/>
  <c r="B11" i="76"/>
  <c r="C20" i="9"/>
  <c r="F16" i="15"/>
  <c r="F3" i="73"/>
  <c r="E12" i="76"/>
  <c r="D20" i="9"/>
  <c r="D34" i="9"/>
  <c r="C76" i="67"/>
  <c r="M22" i="15"/>
  <c r="F38" i="15"/>
  <c r="M9" i="67"/>
  <c r="B13" i="76"/>
  <c r="H83" i="43"/>
  <c r="D102" i="9"/>
  <c r="C102" i="9"/>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c r="I4" i="6"/>
  <c r="G3" i="43"/>
  <c r="E29" i="6"/>
  <c r="K15" i="1"/>
  <c r="F30" i="6"/>
  <c r="G30" i="6"/>
  <c r="G31" i="6"/>
  <c r="E28" i="6"/>
  <c r="L19" i="6"/>
  <c r="L27" i="6"/>
  <c r="O6" i="1"/>
  <c r="T13" i="1"/>
  <c r="C58" i="21"/>
  <c r="C58" i="33"/>
  <c r="C59" i="34"/>
  <c r="D59" i="34"/>
  <c r="E59" i="34"/>
  <c r="F59" i="34"/>
  <c r="G59" i="34"/>
  <c r="H59" i="34"/>
  <c r="I59" i="34"/>
  <c r="J59" i="34"/>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c r="C30" i="11"/>
  <c r="J84" i="43"/>
  <c r="J85" i="43"/>
  <c r="J86" i="43"/>
  <c r="J87" i="43"/>
  <c r="J88" i="43"/>
  <c r="J89" i="43"/>
  <c r="J90" i="43"/>
  <c r="D83" i="43"/>
  <c r="E83" i="43"/>
  <c r="B81" i="43"/>
  <c r="D66" i="43"/>
  <c r="D64" i="43"/>
  <c r="D62" i="43"/>
  <c r="D67" i="43"/>
  <c r="D65" i="43"/>
  <c r="D63" i="43"/>
  <c r="D69" i="43"/>
  <c r="D73" i="43"/>
  <c r="D75" i="43"/>
  <c r="D79" i="43"/>
  <c r="D22" i="67"/>
  <c r="AQ13" i="1"/>
  <c r="Q16" i="1"/>
  <c r="E8" i="6"/>
  <c r="F27" i="6"/>
  <c r="E12" i="6"/>
  <c r="E57" i="40"/>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c r="E11" i="6"/>
  <c r="E60" i="39"/>
  <c r="E10" i="6"/>
  <c r="E13" i="6"/>
  <c r="H16" i="1"/>
  <c r="P6" i="1"/>
  <c r="C13" i="12"/>
  <c r="P11" i="1"/>
  <c r="E59" i="40"/>
  <c r="K16" i="1"/>
  <c r="D9" i="11"/>
  <c r="C9" i="11"/>
  <c r="D19" i="12"/>
  <c r="C19" i="12"/>
  <c r="O9" i="1"/>
  <c r="P9" i="1"/>
  <c r="O12" i="1"/>
  <c r="P12" i="1"/>
  <c r="O8" i="1"/>
  <c r="P8" i="1"/>
  <c r="H73" i="43"/>
  <c r="H90" i="43"/>
  <c r="O23" i="43"/>
  <c r="I18" i="43"/>
  <c r="E17" i="43"/>
  <c r="C17" i="43"/>
  <c r="C24" i="43"/>
  <c r="H26" i="43"/>
  <c r="F26" i="43"/>
  <c r="J26" i="43"/>
  <c r="G26" i="43"/>
  <c r="E26" i="43"/>
  <c r="A1" i="79"/>
  <c r="H55" i="43"/>
  <c r="H86" i="43"/>
  <c r="H87" i="43"/>
  <c r="N370" i="46"/>
  <c r="N94" i="46"/>
  <c r="H89" i="43"/>
  <c r="H88" i="43"/>
  <c r="H84" i="43"/>
  <c r="C69" i="39"/>
  <c r="D67" i="39"/>
  <c r="D69" i="39"/>
  <c r="T35" i="4"/>
  <c r="A19" i="51"/>
  <c r="B14" i="72"/>
  <c r="D18" i="53"/>
  <c r="B35" i="72"/>
  <c r="H52" i="43"/>
  <c r="K5" i="4"/>
  <c r="B47" i="48"/>
  <c r="Y8" i="71"/>
  <c r="Z8" i="71"/>
  <c r="X8" i="71"/>
  <c r="AB8" i="71"/>
  <c r="AA8" i="71"/>
  <c r="L68" i="9"/>
  <c r="M68" i="9"/>
  <c r="L65" i="9"/>
  <c r="M65" i="9"/>
  <c r="L66" i="9"/>
  <c r="M66" i="9"/>
  <c r="L64" i="9"/>
  <c r="M64" i="9"/>
  <c r="L63" i="9"/>
  <c r="M63" i="9"/>
  <c r="M69" i="9"/>
  <c r="N69" i="9"/>
  <c r="L67" i="9"/>
  <c r="M67" i="9"/>
  <c r="D127" i="9"/>
  <c r="D13" i="52"/>
  <c r="D12" i="52"/>
  <c r="D20" i="53"/>
  <c r="B40" i="72"/>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C20" i="43"/>
  <c r="E11" i="43"/>
  <c r="E9" i="43"/>
  <c r="E10" i="43"/>
  <c r="E8" i="43"/>
  <c r="G16" i="1"/>
  <c r="F10" i="39"/>
  <c r="D23" i="67"/>
  <c r="G25" i="12"/>
  <c r="G41" i="11"/>
  <c r="G27" i="12"/>
  <c r="G41" i="68"/>
  <c r="K59" i="34"/>
  <c r="L59" i="34"/>
  <c r="M59" i="34"/>
  <c r="N59" i="34"/>
  <c r="O59" i="34"/>
  <c r="J46" i="36"/>
  <c r="K46" i="36"/>
  <c r="L46" i="36"/>
  <c r="M46" i="36"/>
  <c r="N46" i="36"/>
  <c r="O46" i="36"/>
  <c r="H7" i="36"/>
  <c r="E52" i="37"/>
  <c r="F52" i="37"/>
  <c r="G52" i="37"/>
  <c r="H52" i="37"/>
  <c r="I52" i="37"/>
  <c r="J52" i="37"/>
  <c r="K52" i="37"/>
  <c r="L52" i="37"/>
  <c r="M52" i="37"/>
  <c r="N52" i="37"/>
  <c r="O52" i="37"/>
  <c r="J7" i="37"/>
  <c r="J7" i="36"/>
  <c r="F7" i="36"/>
  <c r="D58" i="21"/>
  <c r="E48" i="35"/>
  <c r="D63" i="40"/>
  <c r="C65" i="40"/>
  <c r="D58" i="33"/>
  <c r="E58" i="33"/>
  <c r="F58" i="33"/>
  <c r="G58" i="33"/>
  <c r="H58" i="33"/>
  <c r="I58" i="33"/>
  <c r="J58" i="33"/>
  <c r="K58" i="33"/>
  <c r="L58" i="33"/>
  <c r="M58" i="33"/>
  <c r="N58" i="33"/>
  <c r="O58" i="33"/>
  <c r="K4" i="4"/>
  <c r="B46" i="48"/>
  <c r="B4" i="72"/>
  <c r="B4" i="62"/>
  <c r="B71" i="72"/>
  <c r="D9" i="53"/>
  <c r="B25" i="72"/>
  <c r="B24" i="72"/>
  <c r="K120" i="9"/>
  <c r="D15" i="71"/>
  <c r="Y16" i="71"/>
  <c r="Z16" i="71"/>
  <c r="Y15" i="71"/>
  <c r="Z15" i="71"/>
  <c r="AA16" i="71"/>
  <c r="AB3" i="71"/>
  <c r="B11" i="71"/>
  <c r="B10" i="71"/>
  <c r="B9" i="71"/>
  <c r="B8" i="71"/>
  <c r="B7" i="71"/>
  <c r="B6" i="71"/>
  <c r="B5" i="71"/>
  <c r="X16" i="71"/>
  <c r="AB16" i="71"/>
  <c r="Y3" i="71"/>
  <c r="Z3" i="71"/>
  <c r="F16" i="71"/>
  <c r="F15" i="71"/>
  <c r="F14" i="71"/>
  <c r="F13" i="71"/>
  <c r="F12" i="71"/>
  <c r="F11" i="71"/>
  <c r="F10" i="71"/>
  <c r="F9" i="71"/>
  <c r="F8" i="71"/>
  <c r="F7" i="71"/>
  <c r="F6" i="71"/>
  <c r="F5" i="71"/>
  <c r="AF3" i="71"/>
  <c r="P26" i="43"/>
  <c r="C6" i="67"/>
  <c r="D22" i="9"/>
  <c r="G19" i="9"/>
  <c r="Q71" i="15"/>
  <c r="J53" i="15"/>
  <c r="L56" i="15"/>
  <c r="J57" i="15"/>
  <c r="J55" i="15"/>
  <c r="J58" i="15"/>
  <c r="Q50" i="15"/>
  <c r="I54" i="15"/>
  <c r="I1" i="73"/>
  <c r="B39" i="1"/>
  <c r="F51" i="67"/>
  <c r="F65" i="67"/>
  <c r="J53" i="67"/>
  <c r="J57" i="67"/>
  <c r="J55" i="67"/>
  <c r="J58" i="67"/>
  <c r="Q50" i="67"/>
  <c r="L56" i="67"/>
  <c r="I54" i="67"/>
  <c r="M7" i="15"/>
  <c r="J6" i="15"/>
  <c r="F50" i="15"/>
  <c r="F51" i="15"/>
  <c r="F71" i="15"/>
  <c r="C6" i="15"/>
  <c r="F66" i="67"/>
  <c r="L59" i="15"/>
  <c r="N59" i="15"/>
  <c r="L58" i="15"/>
  <c r="M59" i="15"/>
  <c r="F66" i="15"/>
  <c r="Q71" i="67"/>
  <c r="F64" i="15"/>
  <c r="D103" i="9"/>
  <c r="C27" i="67"/>
  <c r="F71" i="67"/>
  <c r="C27" i="15"/>
  <c r="F65" i="15"/>
  <c r="G20" i="9"/>
  <c r="C103" i="9"/>
  <c r="N59" i="67"/>
  <c r="L59" i="67"/>
  <c r="L58" i="67"/>
  <c r="M59" i="67"/>
  <c r="B13" i="70"/>
  <c r="M7" i="67"/>
  <c r="J6" i="67"/>
  <c r="F50" i="67"/>
  <c r="F68" i="67"/>
  <c r="F64" i="67"/>
  <c r="F68" i="15"/>
  <c r="C36" i="68"/>
  <c r="D9" i="68"/>
  <c r="C16" i="15"/>
  <c r="C16" i="67"/>
  <c r="E61" i="43"/>
  <c r="B59" i="43"/>
  <c r="B116" i="43"/>
  <c r="Z7" i="43"/>
  <c r="E30" i="6"/>
  <c r="E56" i="39"/>
  <c r="H7" i="34"/>
  <c r="AB7" i="34"/>
  <c r="G49" i="34"/>
  <c r="E67" i="39"/>
  <c r="J7" i="34"/>
  <c r="W7" i="34"/>
  <c r="F7" i="34"/>
  <c r="S7" i="34"/>
  <c r="AA26" i="35"/>
  <c r="S26" i="35"/>
  <c r="AC26" i="35"/>
  <c r="W26" i="35"/>
  <c r="AB26" i="35"/>
  <c r="U26" i="35"/>
  <c r="E61" i="39"/>
  <c r="E56" i="40"/>
  <c r="C9" i="68"/>
  <c r="E72" i="43"/>
  <c r="B70" i="43"/>
  <c r="F45" i="69"/>
  <c r="F27" i="11"/>
  <c r="C29" i="11"/>
  <c r="D27" i="11"/>
  <c r="F28" i="12"/>
  <c r="C29" i="12"/>
  <c r="D28" i="12"/>
  <c r="E60" i="40"/>
  <c r="K26" i="6"/>
  <c r="M26" i="6"/>
  <c r="I26" i="6"/>
  <c r="S26" i="6"/>
  <c r="F31" i="6"/>
  <c r="E51" i="40"/>
  <c r="E16" i="6"/>
  <c r="AC6" i="3"/>
  <c r="H6" i="3"/>
  <c r="E58" i="40"/>
  <c r="E62" i="39"/>
  <c r="E65" i="39"/>
  <c r="AY6" i="3"/>
  <c r="D5" i="43"/>
  <c r="J10" i="40"/>
  <c r="AC10" i="40"/>
  <c r="H10" i="39"/>
  <c r="U10" i="39"/>
  <c r="F10" i="40"/>
  <c r="S10" i="40"/>
  <c r="J10" i="39"/>
  <c r="W10" i="39"/>
  <c r="H10" i="40"/>
  <c r="AB10" i="40"/>
  <c r="D26" i="43"/>
  <c r="C7" i="43"/>
  <c r="C5" i="43"/>
  <c r="D10" i="52"/>
  <c r="D125" i="9"/>
  <c r="D11" i="52"/>
  <c r="F67" i="39"/>
  <c r="E69" i="39"/>
  <c r="F59" i="67"/>
  <c r="H7" i="37"/>
  <c r="AB7" i="37"/>
  <c r="T42" i="37"/>
  <c r="G42" i="37"/>
  <c r="L36" i="43"/>
  <c r="S10" i="39"/>
  <c r="AA10" i="39"/>
  <c r="H7" i="33"/>
  <c r="J7" i="33"/>
  <c r="D65" i="40"/>
  <c r="E63" i="40"/>
  <c r="F48" i="35"/>
  <c r="S7" i="36"/>
  <c r="AA7" i="36"/>
  <c r="R36" i="36"/>
  <c r="AC7" i="37"/>
  <c r="V42" i="37"/>
  <c r="I42" i="37"/>
  <c r="W7" i="37"/>
  <c r="AB7" i="36"/>
  <c r="T36" i="36"/>
  <c r="G36" i="36"/>
  <c r="U7" i="36"/>
  <c r="F7" i="33"/>
  <c r="E58" i="21"/>
  <c r="AC7" i="36"/>
  <c r="V36" i="36"/>
  <c r="I36" i="36"/>
  <c r="W7" i="36"/>
  <c r="F7" i="37"/>
  <c r="D14" i="71"/>
  <c r="M17" i="67"/>
  <c r="M17" i="15"/>
  <c r="F59" i="15"/>
  <c r="P28" i="43"/>
  <c r="B66" i="40"/>
  <c r="P25" i="43"/>
  <c r="C49" i="67"/>
  <c r="P29" i="43"/>
  <c r="P27" i="43"/>
  <c r="B70" i="39"/>
  <c r="C49" i="15"/>
  <c r="J18" i="15"/>
  <c r="C32" i="67"/>
  <c r="C32" i="9"/>
  <c r="Q60" i="67"/>
  <c r="Q73" i="67"/>
  <c r="M11" i="67"/>
  <c r="J10" i="67"/>
  <c r="J5" i="67"/>
  <c r="F11" i="15"/>
  <c r="M11" i="15"/>
  <c r="J10" i="15"/>
  <c r="J5" i="15"/>
  <c r="J24" i="15"/>
  <c r="F11" i="67"/>
  <c r="F1" i="15"/>
  <c r="Q52" i="15"/>
  <c r="J18" i="67"/>
  <c r="C32" i="15"/>
  <c r="F1" i="67"/>
  <c r="Q52" i="67"/>
  <c r="Q60" i="15"/>
  <c r="Q73" i="15"/>
  <c r="Q61" i="67"/>
  <c r="Q74" i="67"/>
  <c r="Q74" i="15"/>
  <c r="Q61" i="15"/>
  <c r="AE11" i="1"/>
  <c r="AE6" i="1"/>
  <c r="AE9" i="1"/>
  <c r="F27" i="68"/>
  <c r="AE7" i="1"/>
  <c r="AE8" i="1"/>
  <c r="AE12" i="1"/>
  <c r="AE10" i="1"/>
  <c r="F41" i="67"/>
  <c r="L37" i="43"/>
  <c r="P36" i="43"/>
  <c r="N36" i="43"/>
  <c r="Q36" i="43"/>
  <c r="O36" i="43"/>
  <c r="M36" i="43"/>
  <c r="AC7" i="34"/>
  <c r="I49" i="34"/>
  <c r="U7" i="34"/>
  <c r="AA7" i="34"/>
  <c r="I122" i="43"/>
  <c r="J122" i="43"/>
  <c r="K122" i="43"/>
  <c r="L122" i="43"/>
  <c r="M122" i="43"/>
  <c r="I121" i="43"/>
  <c r="J121" i="43"/>
  <c r="K121" i="43"/>
  <c r="L121" i="43"/>
  <c r="M121" i="43"/>
  <c r="D119" i="43"/>
  <c r="E119" i="43"/>
  <c r="F119" i="43"/>
  <c r="G119" i="43"/>
  <c r="H119" i="43"/>
  <c r="B119" i="43"/>
  <c r="C119" i="43"/>
  <c r="G121" i="43"/>
  <c r="H121" i="43"/>
  <c r="I120" i="43"/>
  <c r="J120" i="43"/>
  <c r="K120" i="43"/>
  <c r="L120" i="43"/>
  <c r="M120" i="43"/>
  <c r="D120" i="43"/>
  <c r="E120" i="43"/>
  <c r="F120" i="43"/>
  <c r="G120" i="43"/>
  <c r="H120" i="43"/>
  <c r="B120" i="43"/>
  <c r="C120" i="43"/>
  <c r="I119" i="43"/>
  <c r="J119" i="43"/>
  <c r="K119" i="43"/>
  <c r="L119" i="43"/>
  <c r="M119" i="43"/>
  <c r="I118" i="43"/>
  <c r="J118" i="43"/>
  <c r="K118" i="43"/>
  <c r="L118" i="43"/>
  <c r="M118" i="43"/>
  <c r="D121" i="43"/>
  <c r="E121" i="43"/>
  <c r="F121" i="43"/>
  <c r="B121" i="43"/>
  <c r="C121" i="43"/>
  <c r="D122" i="43"/>
  <c r="E122" i="43"/>
  <c r="F122" i="43"/>
  <c r="G122" i="43"/>
  <c r="H122" i="43"/>
  <c r="D118" i="43"/>
  <c r="E118" i="43"/>
  <c r="F118" i="43"/>
  <c r="G118" i="43"/>
  <c r="H118" i="43"/>
  <c r="B118" i="43"/>
  <c r="C118" i="43"/>
  <c r="B122" i="43"/>
  <c r="C122" i="43"/>
  <c r="D116" i="43"/>
  <c r="AG11" i="1"/>
  <c r="AG9" i="1"/>
  <c r="AG10" i="1"/>
  <c r="AG8" i="1"/>
  <c r="AG12" i="1"/>
  <c r="AG7" i="1"/>
  <c r="AG6" i="1"/>
  <c r="F69" i="67"/>
  <c r="C47" i="11"/>
  <c r="D45" i="11"/>
  <c r="E6" i="3"/>
  <c r="T15" i="43"/>
  <c r="V15" i="43"/>
  <c r="T13" i="43"/>
  <c r="V13" i="43"/>
  <c r="T11" i="43"/>
  <c r="V11" i="43"/>
  <c r="T9" i="43"/>
  <c r="V9" i="43"/>
  <c r="T7" i="43"/>
  <c r="V7" i="43"/>
  <c r="T16" i="43"/>
  <c r="V16" i="43"/>
  <c r="T14" i="43"/>
  <c r="V14" i="43"/>
  <c r="T12" i="43"/>
  <c r="V12" i="43"/>
  <c r="T10" i="43"/>
  <c r="V10" i="43"/>
  <c r="T8" i="43"/>
  <c r="V8" i="43"/>
  <c r="T4" i="43"/>
  <c r="V4" i="43"/>
  <c r="T3" i="43"/>
  <c r="V3" i="43"/>
  <c r="T2" i="43"/>
  <c r="V2" i="43"/>
  <c r="T6" i="43"/>
  <c r="V6" i="43"/>
  <c r="T5" i="43"/>
  <c r="V5" i="43"/>
  <c r="C40" i="43"/>
  <c r="C37" i="43"/>
  <c r="C41" i="43"/>
  <c r="K21" i="6"/>
  <c r="S8" i="1"/>
  <c r="E8" i="70"/>
  <c r="F45" i="68"/>
  <c r="C47" i="68"/>
  <c r="D45" i="68"/>
  <c r="C29" i="68"/>
  <c r="D27" i="68"/>
  <c r="K25" i="6"/>
  <c r="K20" i="6"/>
  <c r="K23" i="6"/>
  <c r="K22" i="6"/>
  <c r="E31" i="6"/>
  <c r="K24" i="6"/>
  <c r="O14" i="1"/>
  <c r="O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c r="B1" i="74"/>
  <c r="D3" i="34"/>
  <c r="D19" i="11"/>
  <c r="C19" i="11"/>
  <c r="L18" i="9"/>
  <c r="C17" i="4"/>
  <c r="B4" i="52"/>
  <c r="B43" i="72"/>
  <c r="D3" i="33"/>
  <c r="D3" i="37"/>
  <c r="C39" i="43"/>
  <c r="C42" i="43"/>
  <c r="E42" i="43"/>
  <c r="C38" i="43"/>
  <c r="AB10" i="39"/>
  <c r="AA10" i="40"/>
  <c r="U10" i="40"/>
  <c r="W10" i="40"/>
  <c r="AC10" i="39"/>
  <c r="U7" i="37"/>
  <c r="G67" i="39"/>
  <c r="F69" i="39"/>
  <c r="I53" i="34"/>
  <c r="J53" i="34"/>
  <c r="F58" i="21"/>
  <c r="R37" i="36"/>
  <c r="E36" i="36"/>
  <c r="F63" i="40"/>
  <c r="E65" i="40"/>
  <c r="W7" i="33"/>
  <c r="AC7" i="33"/>
  <c r="V48" i="33"/>
  <c r="I48" i="33"/>
  <c r="AA7" i="37"/>
  <c r="R42" i="37"/>
  <c r="S7" i="37"/>
  <c r="I40" i="36"/>
  <c r="J40" i="36"/>
  <c r="S7" i="33"/>
  <c r="AA7" i="33"/>
  <c r="R48" i="33"/>
  <c r="E49" i="34"/>
  <c r="G53" i="34"/>
  <c r="H53" i="34"/>
  <c r="G54" i="34"/>
  <c r="H54" i="34"/>
  <c r="G40" i="36"/>
  <c r="H40" i="36"/>
  <c r="G41" i="36"/>
  <c r="H41" i="36"/>
  <c r="G46" i="37"/>
  <c r="H46" i="37"/>
  <c r="G47" i="37"/>
  <c r="H47" i="37"/>
  <c r="I46" i="37"/>
  <c r="J46" i="37"/>
  <c r="G48" i="35"/>
  <c r="U7" i="33"/>
  <c r="AB7" i="33"/>
  <c r="T48" i="33"/>
  <c r="G48" i="33"/>
  <c r="C11" i="71"/>
  <c r="J24" i="67"/>
  <c r="C53" i="67"/>
  <c r="C48" i="67"/>
  <c r="C10" i="67"/>
  <c r="C5" i="67"/>
  <c r="C38" i="67"/>
  <c r="C53" i="15"/>
  <c r="C48" i="15"/>
  <c r="C66" i="15"/>
  <c r="C10" i="15"/>
  <c r="C5" i="15"/>
  <c r="C38" i="15"/>
  <c r="F25" i="12"/>
  <c r="F41" i="69"/>
  <c r="F24" i="67"/>
  <c r="C24" i="67"/>
  <c r="F22" i="11"/>
  <c r="F22" i="68"/>
  <c r="F24" i="15"/>
  <c r="C24" i="15"/>
  <c r="C35" i="9"/>
  <c r="M27" i="67"/>
  <c r="M27" i="15"/>
  <c r="F41" i="15"/>
  <c r="P37" i="43"/>
  <c r="M37" i="43"/>
  <c r="Q37" i="43"/>
  <c r="O37" i="43"/>
  <c r="N37" i="43"/>
  <c r="M21" i="6"/>
  <c r="I21" i="6"/>
  <c r="S21" i="6"/>
  <c r="E6" i="70"/>
  <c r="C34" i="43"/>
  <c r="E34" i="43"/>
  <c r="F69" i="15"/>
  <c r="E33" i="43"/>
  <c r="M24" i="6"/>
  <c r="I24" i="6"/>
  <c r="S24" i="6"/>
  <c r="S11" i="1"/>
  <c r="E11" i="70"/>
  <c r="M22" i="6"/>
  <c r="I22" i="6"/>
  <c r="S22" i="6"/>
  <c r="S9" i="1"/>
  <c r="AQ8" i="1"/>
  <c r="T8" i="1"/>
  <c r="AR8" i="1"/>
  <c r="M20" i="6"/>
  <c r="I20" i="6"/>
  <c r="S20" i="6"/>
  <c r="S7" i="1"/>
  <c r="E7" i="70"/>
  <c r="AQ6" i="1"/>
  <c r="AR6" i="1"/>
  <c r="T6" i="1"/>
  <c r="M23" i="6"/>
  <c r="I23" i="6"/>
  <c r="S23" i="6"/>
  <c r="S10" i="1"/>
  <c r="E10" i="70"/>
  <c r="M25" i="6"/>
  <c r="I25" i="6"/>
  <c r="S25" i="6"/>
  <c r="S12" i="1"/>
  <c r="K27" i="6"/>
  <c r="M19" i="6"/>
  <c r="C20" i="11"/>
  <c r="C28" i="11"/>
  <c r="C27" i="11"/>
  <c r="D17" i="12"/>
  <c r="C17" i="12"/>
  <c r="D10" i="11"/>
  <c r="C10" i="11"/>
  <c r="D20" i="12"/>
  <c r="C20" i="12"/>
  <c r="C18" i="12"/>
  <c r="D25" i="6"/>
  <c r="D15" i="6"/>
  <c r="D22" i="6"/>
  <c r="D21" i="6"/>
  <c r="D24" i="6"/>
  <c r="D20" i="6"/>
  <c r="M19" i="9"/>
  <c r="C118" i="9"/>
  <c r="B2" i="74"/>
  <c r="D26" i="6"/>
  <c r="D8" i="6"/>
  <c r="D14" i="6"/>
  <c r="D6" i="6"/>
  <c r="D9" i="6"/>
  <c r="D10" i="6"/>
  <c r="L19" i="9"/>
  <c r="D29" i="6"/>
  <c r="H25" i="6"/>
  <c r="H22" i="6"/>
  <c r="H21" i="6"/>
  <c r="H24" i="6"/>
  <c r="D19" i="6"/>
  <c r="C18" i="4"/>
  <c r="D23" i="6"/>
  <c r="D5" i="6"/>
  <c r="D12" i="6"/>
  <c r="D11" i="6"/>
  <c r="D13" i="6"/>
  <c r="D28" i="6"/>
  <c r="D30" i="6"/>
  <c r="E61" i="40"/>
  <c r="H26" i="6"/>
  <c r="P14" i="1"/>
  <c r="P16" i="1"/>
  <c r="C11" i="12"/>
  <c r="L16" i="1"/>
  <c r="G42" i="43"/>
  <c r="I42" i="43"/>
  <c r="H67" i="39"/>
  <c r="G69" i="39"/>
  <c r="E41" i="43"/>
  <c r="G41" i="43"/>
  <c r="I41" i="43"/>
  <c r="E37" i="43"/>
  <c r="G37" i="43"/>
  <c r="I37" i="43"/>
  <c r="G38" i="43"/>
  <c r="I38" i="43"/>
  <c r="E38" i="43"/>
  <c r="E40" i="43"/>
  <c r="G40" i="43"/>
  <c r="I40" i="43"/>
  <c r="E39" i="43"/>
  <c r="G39" i="43"/>
  <c r="I39" i="43"/>
  <c r="D11" i="71"/>
  <c r="C10" i="71"/>
  <c r="E54" i="34"/>
  <c r="F54" i="34"/>
  <c r="E53" i="34"/>
  <c r="F53" i="34"/>
  <c r="R49" i="33"/>
  <c r="E48" i="33"/>
  <c r="I53" i="33"/>
  <c r="J53" i="33"/>
  <c r="I52" i="33"/>
  <c r="J52" i="33"/>
  <c r="E40" i="36"/>
  <c r="F40" i="36"/>
  <c r="E41" i="36"/>
  <c r="F41" i="36"/>
  <c r="I54" i="34"/>
  <c r="J54" i="34"/>
  <c r="G52" i="33"/>
  <c r="H52" i="33"/>
  <c r="G53" i="33"/>
  <c r="H53" i="33"/>
  <c r="H48" i="35"/>
  <c r="C50" i="34"/>
  <c r="I41" i="36"/>
  <c r="J41" i="36"/>
  <c r="R43" i="37"/>
  <c r="E42" i="37"/>
  <c r="G63" i="40"/>
  <c r="F65" i="40"/>
  <c r="C37" i="36"/>
  <c r="C36" i="36"/>
  <c r="G58" i="21"/>
  <c r="F41" i="68"/>
  <c r="C60" i="15"/>
  <c r="C44" i="68"/>
  <c r="D41" i="68"/>
  <c r="C23" i="68"/>
  <c r="C26" i="68"/>
  <c r="D22" i="68"/>
  <c r="C26" i="12"/>
  <c r="D25" i="12"/>
  <c r="C44" i="11"/>
  <c r="D41" i="11"/>
  <c r="C23" i="11"/>
  <c r="C24" i="11"/>
  <c r="C25" i="11"/>
  <c r="C26" i="11"/>
  <c r="D22" i="11"/>
  <c r="C34" i="9"/>
  <c r="C66" i="67"/>
  <c r="C60" i="67"/>
  <c r="D10" i="68"/>
  <c r="C14" i="67"/>
  <c r="C17" i="15"/>
  <c r="C17" i="67"/>
  <c r="C18" i="67"/>
  <c r="C15" i="67"/>
  <c r="H23" i="6"/>
  <c r="C30" i="43"/>
  <c r="C31" i="43"/>
  <c r="H20" i="6"/>
  <c r="R20" i="6"/>
  <c r="R7" i="1"/>
  <c r="E12" i="70"/>
  <c r="F34" i="11"/>
  <c r="F11" i="12"/>
  <c r="S16" i="1"/>
  <c r="E9" i="70"/>
  <c r="E2" i="70"/>
  <c r="AR9" i="1"/>
  <c r="AQ9" i="1"/>
  <c r="T9" i="1"/>
  <c r="AQ11" i="1"/>
  <c r="AR11" i="1"/>
  <c r="T11" i="1"/>
  <c r="AR12" i="1"/>
  <c r="T12" i="1"/>
  <c r="AQ12" i="1"/>
  <c r="AQ10" i="1"/>
  <c r="T10" i="1"/>
  <c r="AR10" i="1"/>
  <c r="AR7" i="1"/>
  <c r="AQ7" i="1"/>
  <c r="T7" i="1"/>
  <c r="M27" i="6"/>
  <c r="I19" i="6"/>
  <c r="D16" i="6"/>
  <c r="R26" i="6"/>
  <c r="R24" i="6"/>
  <c r="R11" i="1"/>
  <c r="R22" i="6"/>
  <c r="R9" i="1"/>
  <c r="C15" i="12"/>
  <c r="C12" i="12"/>
  <c r="R23" i="6"/>
  <c r="R10" i="1"/>
  <c r="D27" i="6"/>
  <c r="D31" i="6"/>
  <c r="D8" i="74"/>
  <c r="D7" i="74"/>
  <c r="R21" i="6"/>
  <c r="R8" i="1"/>
  <c r="C4" i="52"/>
  <c r="B45" i="72"/>
  <c r="A10" i="51"/>
  <c r="B9" i="72"/>
  <c r="A7" i="51"/>
  <c r="B7" i="72"/>
  <c r="C21" i="9"/>
  <c r="D21" i="9"/>
  <c r="G21" i="9"/>
  <c r="R25" i="6"/>
  <c r="R12" i="1"/>
  <c r="C10" i="68"/>
  <c r="D19" i="68"/>
  <c r="B2" i="43"/>
  <c r="B3" i="43"/>
  <c r="H69" i="39"/>
  <c r="I67" i="39"/>
  <c r="D10" i="71"/>
  <c r="C9" i="71"/>
  <c r="C8" i="71"/>
  <c r="G65" i="40"/>
  <c r="H63" i="40"/>
  <c r="C43" i="37"/>
  <c r="C42" i="37"/>
  <c r="I48" i="35"/>
  <c r="C48" i="33"/>
  <c r="C49" i="33"/>
  <c r="H58" i="21"/>
  <c r="E47" i="37"/>
  <c r="F47" i="37"/>
  <c r="E46" i="37"/>
  <c r="F46" i="37"/>
  <c r="I47" i="37"/>
  <c r="J47" i="37"/>
  <c r="E53" i="33"/>
  <c r="F53" i="33"/>
  <c r="E52" i="33"/>
  <c r="F52" i="33"/>
  <c r="C33" i="15"/>
  <c r="C22" i="11"/>
  <c r="C31" i="11"/>
  <c r="C33" i="67"/>
  <c r="J19" i="67"/>
  <c r="C34" i="68"/>
  <c r="B6" i="76"/>
  <c r="E6" i="76"/>
  <c r="C14" i="15"/>
  <c r="D8" i="71"/>
  <c r="C7" i="71"/>
  <c r="C19" i="67"/>
  <c r="C20" i="67"/>
  <c r="C26" i="67"/>
  <c r="T16" i="1"/>
  <c r="C18" i="15"/>
  <c r="C15" i="15"/>
  <c r="C38" i="68"/>
  <c r="C35" i="68"/>
  <c r="C36" i="11"/>
  <c r="C37" i="11"/>
  <c r="C34" i="11"/>
  <c r="C23" i="12"/>
  <c r="C14" i="12"/>
  <c r="C16" i="12"/>
  <c r="C21" i="12"/>
  <c r="C22" i="12"/>
  <c r="H19" i="6"/>
  <c r="S19" i="6"/>
  <c r="S27" i="6"/>
  <c r="I27" i="6"/>
  <c r="C19" i="68"/>
  <c r="D37" i="68"/>
  <c r="C37" i="68"/>
  <c r="C19" i="69"/>
  <c r="I5" i="6"/>
  <c r="I6" i="6"/>
  <c r="E2" i="76"/>
  <c r="B2" i="76"/>
  <c r="I69" i="39"/>
  <c r="J67" i="39"/>
  <c r="D9" i="71"/>
  <c r="I63" i="40"/>
  <c r="H65" i="40"/>
  <c r="I58" i="21"/>
  <c r="J58" i="21"/>
  <c r="K58" i="21"/>
  <c r="L58" i="21"/>
  <c r="M58" i="21"/>
  <c r="N58" i="21"/>
  <c r="O58" i="21"/>
  <c r="H7" i="21"/>
  <c r="J7" i="21"/>
  <c r="F7" i="21"/>
  <c r="J48" i="35"/>
  <c r="D7" i="71"/>
  <c r="C6" i="71"/>
  <c r="C23" i="67"/>
  <c r="C29" i="67"/>
  <c r="J59" i="67"/>
  <c r="J60" i="67"/>
  <c r="Q48" i="67"/>
  <c r="C19" i="15"/>
  <c r="C20" i="15"/>
  <c r="C26" i="15"/>
  <c r="C33" i="68"/>
  <c r="C39" i="68"/>
  <c r="C30" i="12"/>
  <c r="C28" i="12"/>
  <c r="C38" i="11"/>
  <c r="C35" i="11"/>
  <c r="H27" i="6"/>
  <c r="R19" i="6"/>
  <c r="C27" i="12"/>
  <c r="C25" i="12"/>
  <c r="C20" i="68"/>
  <c r="C28" i="68"/>
  <c r="C27" i="68"/>
  <c r="C24" i="68"/>
  <c r="B3" i="76"/>
  <c r="J69" i="39"/>
  <c r="K67" i="39"/>
  <c r="U7" i="21"/>
  <c r="AB7" i="21"/>
  <c r="T48" i="21"/>
  <c r="G48" i="21"/>
  <c r="S7" i="21"/>
  <c r="AA7" i="21"/>
  <c r="R48" i="21"/>
  <c r="J63" i="40"/>
  <c r="I65" i="40"/>
  <c r="K48" i="35"/>
  <c r="L48" i="35"/>
  <c r="M48" i="35"/>
  <c r="N48" i="35"/>
  <c r="O48" i="35"/>
  <c r="H7" i="35"/>
  <c r="J7" i="35"/>
  <c r="AC7" i="21"/>
  <c r="V48" i="21"/>
  <c r="I48" i="21"/>
  <c r="W7" i="21"/>
  <c r="D6" i="71"/>
  <c r="C5" i="71"/>
  <c r="Q49" i="67"/>
  <c r="J14" i="67"/>
  <c r="J13" i="67"/>
  <c r="J23" i="67"/>
  <c r="C36" i="67"/>
  <c r="C57" i="67"/>
  <c r="C64" i="67"/>
  <c r="C13" i="67"/>
  <c r="Q70" i="67"/>
  <c r="C33" i="11"/>
  <c r="C39" i="11"/>
  <c r="C61" i="67"/>
  <c r="C42" i="68"/>
  <c r="C32" i="12"/>
  <c r="B2" i="12"/>
  <c r="B3" i="12"/>
  <c r="C23" i="15"/>
  <c r="C29" i="15"/>
  <c r="R27" i="6"/>
  <c r="R6" i="1"/>
  <c r="C25" i="68"/>
  <c r="C22" i="68"/>
  <c r="C31" i="68"/>
  <c r="C46" i="68"/>
  <c r="C45" i="68"/>
  <c r="C43" i="68"/>
  <c r="L67" i="39"/>
  <c r="K69" i="39"/>
  <c r="W7" i="35"/>
  <c r="AC7" i="35"/>
  <c r="V38" i="35"/>
  <c r="I38" i="35"/>
  <c r="J65" i="40"/>
  <c r="K63" i="40"/>
  <c r="I52" i="21"/>
  <c r="J52" i="21"/>
  <c r="U7" i="35"/>
  <c r="AB7" i="35"/>
  <c r="T38" i="35"/>
  <c r="G38" i="35"/>
  <c r="R49" i="21"/>
  <c r="E48" i="21"/>
  <c r="G52" i="21"/>
  <c r="H52" i="21"/>
  <c r="G53" i="21"/>
  <c r="H53" i="21"/>
  <c r="F7" i="35"/>
  <c r="F35" i="67"/>
  <c r="M21" i="67"/>
  <c r="M21" i="15"/>
  <c r="F35" i="15"/>
  <c r="D5" i="71"/>
  <c r="M24" i="43"/>
  <c r="C56" i="67"/>
  <c r="C65" i="67"/>
  <c r="J22" i="67"/>
  <c r="C37" i="67"/>
  <c r="C75" i="67"/>
  <c r="C36" i="15"/>
  <c r="J59" i="15"/>
  <c r="J60" i="15"/>
  <c r="Q48" i="15"/>
  <c r="C46" i="11"/>
  <c r="C45" i="11"/>
  <c r="C43" i="11"/>
  <c r="C42" i="11"/>
  <c r="C34" i="67"/>
  <c r="C31" i="67"/>
  <c r="F63" i="67"/>
  <c r="C62" i="67"/>
  <c r="C59" i="67"/>
  <c r="J20" i="67"/>
  <c r="J17" i="67"/>
  <c r="J19" i="15"/>
  <c r="C41" i="68"/>
  <c r="C49" i="68"/>
  <c r="Q49" i="15"/>
  <c r="C57" i="15"/>
  <c r="J14" i="15"/>
  <c r="J13" i="15"/>
  <c r="J23" i="15"/>
  <c r="C13" i="15"/>
  <c r="Q70" i="15"/>
  <c r="F63" i="15"/>
  <c r="C62" i="15"/>
  <c r="C34" i="15"/>
  <c r="J20" i="15"/>
  <c r="R16" i="1"/>
  <c r="L69" i="39"/>
  <c r="M67" i="39"/>
  <c r="S7" i="35"/>
  <c r="AA7" i="35"/>
  <c r="R38" i="35"/>
  <c r="C49" i="21"/>
  <c r="C48" i="21"/>
  <c r="E52" i="21"/>
  <c r="F52" i="21"/>
  <c r="E53" i="21"/>
  <c r="F53" i="21"/>
  <c r="G42" i="35"/>
  <c r="H42" i="35"/>
  <c r="G43" i="35"/>
  <c r="H43" i="35"/>
  <c r="I53" i="21"/>
  <c r="J53" i="21"/>
  <c r="K65" i="40"/>
  <c r="L63" i="40"/>
  <c r="I42" i="35"/>
  <c r="J42" i="35"/>
  <c r="C58" i="67"/>
  <c r="C67" i="67"/>
  <c r="C68" i="67"/>
  <c r="C71" i="67"/>
  <c r="J16" i="67"/>
  <c r="J25" i="67"/>
  <c r="J26" i="67"/>
  <c r="J29" i="67"/>
  <c r="C30" i="67"/>
  <c r="C39" i="67"/>
  <c r="Q69" i="67"/>
  <c r="Q68" i="67"/>
  <c r="C41" i="11"/>
  <c r="C49" i="11"/>
  <c r="J22" i="15"/>
  <c r="C61" i="15"/>
  <c r="C59" i="15"/>
  <c r="C64" i="15"/>
  <c r="C37" i="15"/>
  <c r="C56" i="15"/>
  <c r="C65" i="15"/>
  <c r="C75" i="15"/>
  <c r="J17" i="15"/>
  <c r="C31" i="15"/>
  <c r="M69" i="39"/>
  <c r="N67" i="39"/>
  <c r="R39" i="35"/>
  <c r="E38" i="35"/>
  <c r="M63" i="40"/>
  <c r="L65" i="40"/>
  <c r="D2" i="21"/>
  <c r="L51" i="67"/>
  <c r="L57" i="67"/>
  <c r="L60" i="67"/>
  <c r="L46" i="67"/>
  <c r="Q67" i="67"/>
  <c r="C80" i="67"/>
  <c r="C79" i="67"/>
  <c r="C40" i="67"/>
  <c r="C45" i="67"/>
  <c r="B2" i="21"/>
  <c r="B3" i="21"/>
  <c r="J16" i="15"/>
  <c r="J25" i="15"/>
  <c r="J26" i="15"/>
  <c r="J29" i="15"/>
  <c r="C58" i="15"/>
  <c r="C67" i="15"/>
  <c r="C68" i="15"/>
  <c r="C71" i="15"/>
  <c r="C30" i="15"/>
  <c r="C39" i="15"/>
  <c r="Q69" i="15"/>
  <c r="Q68" i="15"/>
  <c r="O67" i="39"/>
  <c r="O69" i="39"/>
  <c r="N69" i="39"/>
  <c r="F7" i="39"/>
  <c r="C39" i="35"/>
  <c r="C38" i="35"/>
  <c r="N63" i="40"/>
  <c r="M65" i="40"/>
  <c r="E43" i="35"/>
  <c r="F43" i="35"/>
  <c r="E42" i="35"/>
  <c r="F42" i="35"/>
  <c r="I43" i="35"/>
  <c r="J43" i="35"/>
  <c r="D2" i="33"/>
  <c r="Q65" i="67"/>
  <c r="Q66" i="67"/>
  <c r="Q57" i="67"/>
  <c r="B2" i="33"/>
  <c r="B3" i="33"/>
  <c r="C83" i="67"/>
  <c r="C82" i="67"/>
  <c r="Q47" i="67"/>
  <c r="Q53" i="67"/>
  <c r="C46" i="67"/>
  <c r="Q56" i="67"/>
  <c r="C43" i="67"/>
  <c r="D2" i="67"/>
  <c r="B2" i="67"/>
  <c r="C80" i="15"/>
  <c r="C79" i="15"/>
  <c r="C40" i="15"/>
  <c r="C46" i="15"/>
  <c r="H7" i="39"/>
  <c r="J7" i="39"/>
  <c r="S7" i="39"/>
  <c r="AA7" i="39"/>
  <c r="R47" i="39"/>
  <c r="O63" i="40"/>
  <c r="O65" i="40"/>
  <c r="N65" i="40"/>
  <c r="D2" i="37"/>
  <c r="D2" i="34"/>
  <c r="D2" i="36"/>
  <c r="D2" i="35"/>
  <c r="L51" i="15"/>
  <c r="Q75" i="67"/>
  <c r="Q62" i="67"/>
  <c r="B3" i="67"/>
  <c r="L57" i="15"/>
  <c r="L60" i="15"/>
  <c r="Q57" i="15"/>
  <c r="Q67" i="15"/>
  <c r="B2" i="36"/>
  <c r="B3" i="36"/>
  <c r="B2" i="35"/>
  <c r="B3" i="35"/>
  <c r="M3" i="35"/>
  <c r="B2" i="37"/>
  <c r="B3" i="37"/>
  <c r="B2" i="34"/>
  <c r="B3" i="34"/>
  <c r="L46" i="15"/>
  <c r="B2" i="15"/>
  <c r="Q47" i="15"/>
  <c r="Q53" i="15"/>
  <c r="C43" i="15"/>
  <c r="Q65" i="15"/>
  <c r="C83" i="15"/>
  <c r="C82" i="15"/>
  <c r="Q56" i="15"/>
  <c r="W7" i="39"/>
  <c r="AC7" i="39"/>
  <c r="V47" i="39"/>
  <c r="I47" i="39"/>
  <c r="E47" i="39"/>
  <c r="R48" i="39"/>
  <c r="U7" i="39"/>
  <c r="AB7" i="39"/>
  <c r="T47" i="39"/>
  <c r="G47" i="39"/>
  <c r="J7" i="40"/>
  <c r="F7" i="40"/>
  <c r="H7" i="40"/>
  <c r="AO9" i="1"/>
  <c r="AO12" i="1"/>
  <c r="AO10" i="1"/>
  <c r="AO7" i="1"/>
  <c r="AO11" i="1"/>
  <c r="AO6" i="1"/>
  <c r="AO8" i="1"/>
  <c r="Q66" i="15"/>
  <c r="Q75" i="15"/>
  <c r="Q62" i="15"/>
  <c r="B9" i="70"/>
  <c r="B11" i="70"/>
  <c r="B7" i="70"/>
  <c r="B10" i="70"/>
  <c r="B12" i="70"/>
  <c r="B6" i="70"/>
  <c r="B8" i="70"/>
  <c r="B3" i="15"/>
  <c r="G51" i="39"/>
  <c r="H51" i="39"/>
  <c r="G52" i="39"/>
  <c r="H52" i="39"/>
  <c r="I51" i="39"/>
  <c r="J51" i="39"/>
  <c r="I52" i="39"/>
  <c r="J52" i="39"/>
  <c r="C48" i="39"/>
  <c r="C47" i="39"/>
  <c r="E52" i="39"/>
  <c r="F52" i="39"/>
  <c r="E51" i="39"/>
  <c r="F51" i="39"/>
  <c r="U7" i="40"/>
  <c r="AB7" i="40"/>
  <c r="T42" i="40"/>
  <c r="G42" i="40"/>
  <c r="AA7" i="40"/>
  <c r="R42" i="40"/>
  <c r="S7" i="40"/>
  <c r="AC7" i="40"/>
  <c r="V42" i="40"/>
  <c r="I42" i="40"/>
  <c r="W7" i="40"/>
  <c r="B2" i="70"/>
  <c r="B3" i="70"/>
  <c r="B56" i="39"/>
  <c r="F56" i="39"/>
  <c r="F65" i="39"/>
  <c r="B2" i="39"/>
  <c r="B3" i="39"/>
  <c r="B63" i="39"/>
  <c r="F63" i="39"/>
  <c r="B64" i="39"/>
  <c r="F64" i="39"/>
  <c r="B60" i="39"/>
  <c r="F60" i="39"/>
  <c r="B61" i="39"/>
  <c r="F61" i="39"/>
  <c r="B57" i="39"/>
  <c r="F57" i="39"/>
  <c r="B58" i="39"/>
  <c r="F58" i="39"/>
  <c r="B62" i="39"/>
  <c r="F62" i="39"/>
  <c r="B59" i="39"/>
  <c r="F59" i="39"/>
  <c r="I46" i="40"/>
  <c r="J46" i="40"/>
  <c r="R43" i="40"/>
  <c r="E42" i="40"/>
  <c r="G47" i="40"/>
  <c r="H47" i="40"/>
  <c r="G46" i="40"/>
  <c r="H46" i="40"/>
  <c r="C42" i="40"/>
  <c r="C43" i="40"/>
  <c r="E47" i="40"/>
  <c r="F47" i="40"/>
  <c r="E46" i="40"/>
  <c r="F46" i="40"/>
  <c r="I47" i="40"/>
  <c r="J47" i="40"/>
  <c r="B58" i="40"/>
  <c r="F58" i="40"/>
  <c r="B54" i="40"/>
  <c r="F54" i="40"/>
  <c r="B53" i="40"/>
  <c r="F53" i="40"/>
  <c r="B59" i="40"/>
  <c r="F59" i="40"/>
  <c r="B52" i="40"/>
  <c r="F52" i="40"/>
  <c r="B56" i="40"/>
  <c r="F56" i="40"/>
  <c r="B60" i="40"/>
  <c r="F60" i="40"/>
  <c r="B57" i="40"/>
  <c r="F57" i="40"/>
  <c r="B51" i="40"/>
  <c r="F51" i="40"/>
  <c r="F61" i="40"/>
  <c r="B2" i="40"/>
  <c r="B3" i="40"/>
  <c r="B6" i="74"/>
  <c r="D6" i="74"/>
  <c r="N16" i="1"/>
  <c r="F50" i="69"/>
  <c r="B5" i="74"/>
  <c r="C3" i="82"/>
  <c r="C4" i="82"/>
  <c r="C7" i="82"/>
  <c r="C27" i="82"/>
  <c r="C24" i="82"/>
  <c r="C29" i="82"/>
  <c r="C30" i="82"/>
  <c r="D36" i="82"/>
  <c r="D37" i="82"/>
  <c r="R24" i="31"/>
  <c r="R25" i="31"/>
  <c r="J4" i="81"/>
  <c r="R26" i="31"/>
  <c r="J5" i="81"/>
  <c r="R27" i="31"/>
  <c r="J6" i="81"/>
  <c r="R28" i="31"/>
  <c r="J7" i="81"/>
  <c r="J3" i="81"/>
  <c r="E38" i="82"/>
  <c r="E39" i="82"/>
  <c r="C38" i="82"/>
  <c r="C39" i="82"/>
  <c r="G37" i="82"/>
  <c r="G35" i="82"/>
  <c r="J10" i="82"/>
  <c r="J9" i="82"/>
  <c r="S24" i="31"/>
  <c r="S25" i="31"/>
  <c r="S26" i="31"/>
  <c r="S27" i="31"/>
  <c r="S28" i="31"/>
  <c r="S22" i="31"/>
  <c r="R22" i="31"/>
  <c r="B20" i="31"/>
  <c r="B21" i="31"/>
  <c r="F50" i="68"/>
  <c r="C51" i="68"/>
  <c r="C52" i="68"/>
  <c r="B2" i="68"/>
  <c r="B3" i="68"/>
  <c r="F50" i="11"/>
  <c r="C51" i="11"/>
  <c r="C52" i="11"/>
  <c r="B2" i="11"/>
  <c r="B3" i="11"/>
  <c r="C57" i="69"/>
  <c r="C56" i="69"/>
  <c r="C57" i="68"/>
  <c r="C56" i="68"/>
  <c r="C56" i="11"/>
  <c r="C57" i="11"/>
  <c r="D5" i="74"/>
  <c r="F14" i="74"/>
  <c r="L8" i="81"/>
  <c r="J8" i="81"/>
  <c r="C73" i="9"/>
  <c r="C78" i="9"/>
  <c r="D59" i="9"/>
  <c r="M55" i="9"/>
  <c r="M54" i="9"/>
  <c r="D56" i="9"/>
  <c r="D58" i="9"/>
  <c r="C97" i="9"/>
  <c r="B31" i="72"/>
  <c r="D15" i="53"/>
  <c r="C86" i="9"/>
  <c r="C93" i="9"/>
  <c r="C85" i="9"/>
  <c r="C95" i="9"/>
  <c r="C96" i="9"/>
  <c r="E96" i="9"/>
  <c r="E97" i="9"/>
  <c r="B48" i="72"/>
  <c r="E4" i="52"/>
  <c r="C5" i="74"/>
  <c r="C64" i="9"/>
  <c r="C63" i="9"/>
  <c r="C67" i="9"/>
  <c r="C68" i="9"/>
  <c r="D54" i="9"/>
  <c r="D9" i="52"/>
  <c r="D123" i="9"/>
  <c r="H5" i="52"/>
  <c r="H119" i="9"/>
  <c r="H102" i="9"/>
  <c r="D7" i="53"/>
  <c r="B21" i="72"/>
  <c r="B53" i="72"/>
  <c r="F5" i="52"/>
  <c r="F119" i="9"/>
  <c r="B20" i="72"/>
  <c r="D119" i="9"/>
  <c r="D5" i="52"/>
  <c r="B49" i="72"/>
  <c r="C80" i="9"/>
  <c r="E80" i="9"/>
  <c r="E81" i="9"/>
  <c r="H108" i="9"/>
  <c r="C6" i="74"/>
  <c r="D5" i="53"/>
  <c r="D6" i="53"/>
  <c r="B22" i="72"/>
  <c r="E118" i="9"/>
  <c r="D118" i="9"/>
  <c r="D4" i="52"/>
  <c r="B47" i="72"/>
  <c r="M48" i="9"/>
  <c r="G4" i="52"/>
  <c r="B52" i="72"/>
  <c r="B30" i="72"/>
  <c r="D13" i="53"/>
  <c r="D14" i="53"/>
  <c r="B32" i="72"/>
  <c r="H107" i="9"/>
  <c r="D122" i="9"/>
  <c r="D8" i="52"/>
  <c r="C72" i="9"/>
  <c r="C79" i="9"/>
  <c r="C81" i="9"/>
  <c r="P57" i="9"/>
  <c r="N58" i="9"/>
  <c r="C104" i="9"/>
  <c r="H4" i="52"/>
  <c r="C105" i="9"/>
  <c r="I4" i="52"/>
  <c r="G118" i="9"/>
  <c r="F118" i="9"/>
  <c r="F4" i="52"/>
  <c r="B51" i="72"/>
  <c r="N61" i="9"/>
  <c r="D55" i="9"/>
  <c r="M53" i="9"/>
  <c r="N57" i="9"/>
  <c r="N59" i="9"/>
  <c r="N60" i="9"/>
  <c r="D52" i="9"/>
  <c r="I118" i="9"/>
  <c r="H118" i="9"/>
  <c r="H101" i="9"/>
  <c r="D45" i="9"/>
  <c r="D5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4245234E-B7D9-4AEE-9A3B-EC1D1EE6C6EA}">
      <text>
        <r>
          <rPr>
            <b/>
            <sz val="9"/>
            <color indexed="81"/>
            <rFont val="宋体"/>
            <family val="3"/>
            <charset val="134"/>
          </rPr>
          <t>权重验证</t>
        </r>
        <r>
          <rPr>
            <sz val="9"/>
            <color indexed="81"/>
            <rFont val="宋体"/>
            <family val="3"/>
            <charset val="134"/>
          </rPr>
          <t xml:space="preserve">
</t>
        </r>
      </text>
    </comment>
    <comment ref="C59" authorId="1" shapeId="0" xr:uid="{ED650081-5137-464B-9F33-CE8367575207}">
      <text>
        <r>
          <rPr>
            <b/>
            <sz val="12"/>
            <color indexed="81"/>
            <rFont val="宋体"/>
            <family val="3"/>
            <charset val="134"/>
          </rPr>
          <t>价值时点所在月度</t>
        </r>
        <r>
          <rPr>
            <sz val="12"/>
            <color indexed="81"/>
            <rFont val="宋体"/>
            <family val="3"/>
            <charset val="134"/>
          </rPr>
          <t xml:space="preserve">
</t>
        </r>
      </text>
    </comment>
    <comment ref="B103" authorId="1" shapeId="0" xr:uid="{48861B5C-7E33-4025-848D-3DE7B720DEEB}">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<sst xmlns="http://schemas.openxmlformats.org/spreadsheetml/2006/main" count="8341" uniqueCount="3595">
  <si>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</si>
  <si>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</si>
  <si>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</si>
  <si>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</si>
  <si>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</si>
  <si>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</si>
  <si>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</si>
  <si>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</si>
  <si>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</si>
  <si>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</si>
  <si>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</si>
  <si>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</si>
  <si>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</si>
  <si>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</si>
  <si>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</si>
  <si>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</si>
  <si>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</si>
  <si>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</si>
  <si>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</si>
  <si>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</si>
  <si>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</si>
  <si>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</si>
  <si>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</si>
  <si>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</si>
  <si>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</si>
  <si>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</si>
  <si>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</si>
  <si>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</si>
  <si>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</si>
  <si>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</si>
  <si>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</si>
  <si>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</si>
  <si>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</si>
  <si>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</si>
  <si>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</si>
  <si>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</si>
  <si>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</si>
  <si>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</si>
  <si>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</si>
  <si>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</si>
  <si>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</si>
  <si>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</si>
  <si>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</si>
  <si>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</si>
  <si>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</si>
  <si>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</si>
  <si>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</si>
  <si>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</si>
  <si>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</si>
  <si>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</si>
  <si>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</si>
  <si>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</si>
  <si>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</si>
  <si>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</si>
  <si>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</si>
  <si>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</si>
  <si>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</si>
  <si>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</si>
  <si>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</si>
  <si>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</si>
  <si>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</si>
  <si>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</si>
  <si>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</si>
  <si>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</si>
  <si>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</si>
  <si>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</si>
  <si>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</si>
  <si>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</si>
  <si>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</si>
  <si>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</si>
  <si>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</si>
  <si>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</si>
  <si>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</si>
  <si>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</si>
  <si>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</si>
  <si>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</si>
  <si>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</si>
  <si>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</si>
  <si>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</si>
  <si>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</si>
  <si>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</si>
  <si>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</si>
  <si>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</si>
  <si>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</si>
  <si>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</si>
  <si>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</si>
  <si>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</si>
  <si>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</si>
  <si>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</si>
  <si>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</si>
  <si>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</si>
  <si>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</si>
  <si>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</si>
  <si>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</si>
  <si>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</si>
  <si>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</si>
  <si>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</si>
  <si>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</si>
  <si>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</si>
  <si>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</si>
  <si>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</si>
  <si>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</si>
  <si>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</si>
  <si>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</si>
  <si>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</si>
  <si>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</si>
  <si>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</si>
  <si>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</si>
  <si>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</si>
  <si>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</si>
  <si>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</si>
  <si>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</si>
  <si>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</si>
  <si>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</si>
  <si>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</si>
  <si>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</si>
  <si>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</si>
  <si>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</si>
  <si>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</si>
  <si>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</si>
  <si>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</si>
  <si>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</si>
  <si>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</si>
  <si>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</si>
  <si>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</si>
  <si>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</si>
  <si>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</si>
  <si>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</si>
  <si>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</si>
  <si>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</si>
  <si>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</si>
  <si>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</si>
  <si>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</si>
  <si>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</si>
  <si>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</si>
  <si>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</si>
  <si>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</si>
  <si>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</si>
  <si>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</si>
  <si>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</si>
  <si>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</si>
  <si>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</si>
  <si>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</si>
  <si>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</si>
  <si>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</si>
  <si>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</si>
  <si>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</si>
  <si>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</si>
  <si>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</si>
  <si>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</si>
  <si>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</si>
  <si>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</si>
  <si>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</si>
  <si>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</si>
  <si>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</si>
  <si>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</si>
  <si>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</si>
  <si>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</si>
  <si>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</si>
  <si>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</si>
  <si>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</si>
  <si>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</si>
  <si>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</si>
  <si>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</si>
  <si>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</si>
  <si>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</si>
  <si>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</si>
  <si>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</si>
  <si>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</si>
  <si>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</si>
  <si>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</si>
  <si>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</si>
  <si>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</si>
  <si>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</si>
  <si>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</si>
  <si>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</si>
  <si>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</si>
  <si>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</si>
  <si>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</si>
  <si>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</si>
  <si>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</si>
  <si>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</si>
  <si>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</si>
  <si>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</si>
  <si>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</si>
  <si>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</si>
  <si>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</si>
  <si>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</si>
  <si>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</si>
  <si>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</si>
  <si>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</si>
  <si>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</si>
  <si>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</si>
  <si>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</si>
  <si>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</si>
  <si>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</si>
  <si>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</si>
  <si>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</si>
  <si>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</si>
  <si>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</si>
  <si>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</si>
  <si>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</si>
  <si>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</si>
  <si>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</si>
  <si>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</si>
  <si>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</si>
  <si>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</si>
  <si>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</si>
  <si>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</si>
  <si>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</si>
  <si>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</si>
  <si>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</si>
  <si>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</si>
  <si>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</si>
  <si>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</si>
  <si>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</si>
  <si>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</si>
  <si>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</si>
  <si>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</si>
  <si>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</si>
  <si>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</si>
  <si>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</si>
  <si>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</si>
  <si>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</si>
  <si>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</si>
  <si>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</si>
  <si>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</si>
  <si>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</si>
  <si>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</si>
  <si>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</si>
  <si>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</si>
  <si>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</si>
  <si>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</si>
  <si>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</si>
  <si>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</si>
  <si>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</si>
  <si>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</si>
  <si>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</si>
  <si>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</si>
  <si>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</si>
  <si>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</si>
  <si>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</si>
  <si>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</si>
  <si>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</si>
  <si>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</si>
  <si>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</si>
  <si>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</si>
  <si>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</si>
  <si>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</si>
  <si>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</si>
  <si>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</si>
  <si>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</si>
  <si>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</si>
  <si>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</si>
  <si>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</si>
  <si>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</si>
  <si>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</si>
  <si>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</si>
  <si>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</si>
  <si>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</si>
  <si>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</si>
  <si>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</si>
  <si>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</si>
  <si>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</si>
  <si>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</si>
  <si>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</si>
  <si>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</si>
  <si>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</si>
  <si>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</si>
  <si>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</si>
  <si>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</si>
  <si>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</si>
  <si>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</si>
  <si>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</si>
  <si>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</si>
  <si>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</si>
  <si>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</si>
  <si>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</si>
  <si>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</si>
  <si>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</si>
  <si>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</si>
  <si>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</si>
  <si>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</si>
  <si>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</si>
  <si>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</si>
  <si>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</si>
  <si>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</si>
  <si>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</si>
  <si>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</si>
  <si>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</si>
  <si>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</si>
  <si>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</si>
  <si>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</si>
  <si>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</si>
  <si>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</si>
  <si>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</si>
  <si>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</si>
  <si>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</si>
  <si>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</si>
  <si>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</si>
  <si>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</si>
  <si>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</si>
  <si>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</si>
  <si>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</si>
  <si>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</si>
  <si>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</si>
  <si>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</si>
  <si>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</si>
  <si>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</si>
  <si>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</si>
  <si>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</si>
  <si>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</si>
  <si>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</si>
  <si>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</si>
  <si>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</si>
  <si>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</si>
  <si>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</si>
  <si>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</si>
  <si>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</si>
  <si>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</si>
  <si>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</si>
  <si>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</si>
  <si>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</si>
  <si>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</si>
  <si>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</si>
  <si>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</si>
  <si>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</si>
  <si>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</si>
  <si>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</si>
  <si>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</si>
  <si>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</si>
  <si>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</si>
  <si>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</si>
  <si>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</si>
  <si>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</si>
  <si>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</si>
  <si>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</si>
  <si>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</si>
  <si>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</si>
  <si>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</si>
  <si>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</si>
  <si>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</si>
  <si>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</si>
  <si>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</si>
  <si>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</si>
  <si>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</si>
  <si>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</si>
  <si>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</si>
  <si>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</si>
  <si>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</si>
  <si>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</si>
  <si>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</si>
  <si>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</si>
  <si>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</si>
  <si>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</si>
  <si>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</si>
  <si>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</si>
  <si>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</si>
  <si>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</si>
  <si>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</si>
  <si>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</si>
  <si>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</si>
  <si>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</si>
  <si>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</si>
  <si>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</si>
  <si>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</si>
  <si>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</si>
  <si>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</si>
  <si>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</si>
  <si>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</si>
  <si>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</si>
  <si>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</si>
  <si>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</si>
  <si>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</si>
  <si>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</si>
  <si>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</si>
  <si>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</si>
  <si>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</si>
  <si>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</si>
  <si>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</si>
  <si>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</si>
  <si>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</si>
  <si>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</si>
  <si>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</si>
  <si>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</si>
  <si>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</si>
  <si>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</si>
  <si>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</si>
  <si>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</si>
  <si>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</si>
  <si>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</si>
  <si>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</si>
  <si>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</si>
  <si>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</si>
  <si>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</si>
  <si>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</si>
  <si>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</si>
  <si>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</si>
  <si>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</si>
  <si>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</si>
  <si>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</si>
  <si>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</si>
  <si>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</si>
  <si>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</si>
  <si>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</si>
  <si>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</si>
  <si>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</si>
  <si>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</si>
  <si>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</si>
  <si>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</si>
  <si>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</si>
  <si>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</si>
  <si>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</si>
  <si>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</si>
  <si>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</si>
  <si>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</si>
  <si>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</si>
  <si>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</si>
  <si>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</si>
  <si>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</si>
  <si>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</si>
  <si>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</si>
  <si>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</si>
  <si>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</si>
  <si>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</si>
  <si>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</si>
  <si>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</si>
  <si>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</si>
  <si>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</si>
  <si>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</si>
  <si>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</si>
  <si>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</si>
  <si>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</si>
  <si>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</si>
  <si>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</si>
  <si>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</si>
  <si>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</si>
  <si>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</si>
  <si>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</si>
  <si>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</si>
  <si>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</si>
  <si>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</si>
  <si>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</si>
  <si>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</si>
  <si>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</si>
  <si>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</si>
  <si>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</si>
  <si>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</si>
  <si>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</si>
  <si>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</si>
  <si>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</si>
  <si>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</si>
  <si>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</si>
  <si>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</si>
  <si>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</si>
  <si>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</si>
  <si>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</si>
  <si>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</si>
  <si>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</si>
  <si>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</si>
  <si>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</si>
  <si>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</si>
  <si>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</si>
  <si>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</si>
  <si>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</si>
  <si>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</si>
  <si>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</si>
  <si>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</si>
  <si>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</si>
  <si>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</si>
  <si>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</si>
  <si>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</si>
  <si>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</si>
  <si>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</si>
  <si>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</si>
  <si>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</si>
  <si>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</si>
  <si>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</si>
  <si>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</si>
  <si>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</si>
  <si>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</si>
  <si>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</si>
  <si>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</si>
  <si>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</si>
  <si>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</si>
  <si>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</si>
  <si>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</si>
  <si>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</si>
  <si>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</si>
  <si>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</si>
  <si>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</si>
  <si>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</si>
  <si>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</si>
  <si>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</si>
  <si>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</si>
  <si>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</si>
  <si>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</si>
  <si>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</si>
  <si>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</si>
  <si>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</si>
  <si>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</si>
  <si>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</si>
  <si>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</si>
  <si>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</si>
  <si>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</si>
  <si>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</si>
  <si>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</si>
  <si>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</si>
  <si>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</si>
  <si>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</si>
  <si>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</si>
  <si>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</si>
  <si>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</si>
  <si>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</si>
  <si>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</si>
  <si>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</si>
  <si>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</si>
  <si>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</si>
  <si>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</si>
  <si>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</si>
  <si>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</si>
  <si>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</si>
  <si>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</si>
  <si>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</si>
  <si>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</si>
  <si>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</si>
  <si>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</si>
  <si>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</si>
  <si>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</si>
  <si>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</si>
  <si>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</si>
  <si>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</si>
  <si>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</si>
  <si>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</si>
  <si>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</si>
  <si>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</si>
  <si>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</si>
  <si>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</si>
  <si>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</si>
  <si>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</si>
  <si>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</si>
  <si>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</si>
  <si>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</si>
  <si>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</si>
  <si>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</si>
  <si>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</si>
  <si>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</si>
  <si>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</si>
  <si>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</si>
  <si>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</si>
  <si>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</si>
  <si>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</si>
  <si>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</si>
  <si>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</si>
  <si>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</si>
  <si>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</si>
  <si>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</si>
  <si>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</si>
  <si>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</si>
  <si>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</si>
  <si>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</si>
  <si>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</si>
  <si>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</si>
  <si>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</si>
  <si>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</si>
  <si>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</si>
  <si>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</si>
  <si>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</si>
  <si>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</si>
  <si>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</si>
  <si>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</si>
  <si>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</si>
  <si>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</si>
  <si>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</si>
  <si>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</si>
  <si>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</si>
  <si>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</si>
  <si>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</si>
  <si>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</si>
  <si>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</si>
  <si>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</si>
  <si>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</si>
  <si>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</si>
  <si>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</si>
  <si>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</si>
  <si>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</si>
  <si>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</si>
  <si>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</si>
  <si>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</si>
  <si>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</si>
  <si>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</si>
  <si>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</si>
  <si>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</si>
  <si>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</si>
  <si>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</si>
  <si>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</si>
  <si>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</si>
  <si>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</si>
  <si>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</si>
  <si>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</si>
  <si>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</si>
  <si>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</si>
  <si>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</si>
  <si>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</si>
  <si>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</si>
  <si>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</si>
  <si>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</si>
  <si>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</si>
  <si>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</si>
  <si>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</si>
  <si>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</si>
  <si>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</si>
  <si>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</si>
  <si>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</si>
  <si>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</si>
  <si>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</si>
  <si>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</si>
  <si>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</si>
  <si>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</si>
  <si>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</si>
  <si>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</si>
  <si>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</si>
  <si>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</si>
  <si>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</si>
  <si>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</si>
  <si>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</si>
  <si>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</si>
  <si>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</si>
  <si>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</si>
  <si>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</si>
  <si>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</si>
  <si>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</si>
  <si>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</si>
  <si>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</si>
  <si>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</si>
  <si>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</si>
  <si>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</si>
  <si>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</si>
  <si>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</si>
  <si>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</si>
  <si>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</si>
  <si>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</si>
  <si>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</si>
  <si>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</si>
  <si>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</si>
  <si>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</si>
  <si>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</si>
  <si>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</si>
  <si>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</si>
  <si>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</si>
  <si>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</si>
  <si>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</si>
  <si>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</si>
  <si>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</si>
  <si>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</si>
  <si>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</si>
  <si>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</si>
  <si>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</si>
  <si>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</si>
  <si>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</si>
  <si>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</si>
  <si>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</si>
  <si>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</si>
  <si>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</si>
  <si>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</si>
  <si>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</si>
  <si>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</si>
  <si>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</si>
  <si>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</si>
  <si>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</si>
  <si>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</si>
  <si>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</si>
  <si>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</si>
  <si>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</si>
  <si>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</si>
  <si>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</si>
  <si>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</si>
  <si>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</si>
  <si>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</si>
  <si>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</si>
  <si>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</si>
  <si>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</si>
  <si>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</si>
  <si>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</si>
  <si>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</si>
  <si>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</si>
  <si>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</si>
  <si>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</si>
  <si>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</si>
  <si>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</si>
  <si>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</si>
  <si>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</si>
  <si>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</si>
  <si>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</si>
  <si>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</si>
  <si>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</si>
  <si>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</si>
  <si>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</si>
  <si>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</si>
  <si>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</si>
  <si>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</si>
  <si>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</si>
  <si>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</si>
  <si>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</si>
  <si>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</si>
  <si>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</si>
  <si>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</si>
  <si>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</si>
  <si>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</si>
  <si>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</si>
  <si>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</si>
  <si>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</si>
  <si>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</si>
  <si>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</si>
  <si>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</si>
  <si>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</si>
  <si>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</si>
  <si>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</si>
  <si>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</si>
  <si>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</si>
  <si>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</si>
  <si>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</si>
  <si>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</si>
  <si>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</si>
  <si>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</si>
  <si>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</si>
  <si>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</si>
  <si>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</si>
  <si>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</si>
  <si>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</si>
  <si>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</si>
  <si>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</si>
  <si>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</si>
  <si>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</si>
  <si>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</si>
  <si>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</si>
  <si>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</si>
  <si>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</si>
  <si>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</si>
  <si>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</si>
  <si>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</si>
  <si>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</si>
  <si>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</si>
  <si>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</si>
  <si>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</si>
  <si>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</si>
  <si>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</si>
  <si>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</si>
  <si>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</si>
  <si>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</si>
  <si>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</si>
  <si>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</si>
  <si>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</si>
  <si>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</si>
  <si>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</si>
  <si>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</si>
  <si>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</si>
  <si>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</si>
  <si>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</si>
  <si>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</si>
  <si>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</si>
  <si>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</si>
  <si>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</si>
  <si>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</si>
  <si>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</si>
  <si>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</si>
  <si>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</si>
  <si>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</si>
  <si>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</si>
  <si>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</si>
  <si>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</si>
  <si>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</si>
  <si>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</si>
  <si>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</si>
  <si>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</si>
  <si>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</si>
  <si>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</si>
  <si>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</si>
  <si>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</si>
  <si>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</si>
  <si>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</si>
  <si>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</si>
  <si>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</si>
  <si>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</si>
  <si>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</si>
  <si>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</si>
  <si>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</si>
  <si>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</si>
  <si>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</si>
  <si>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</si>
  <si>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</si>
  <si>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</si>
  <si>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</si>
  <si>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</si>
  <si>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</si>
  <si>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</si>
  <si>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</si>
  <si>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</si>
  <si>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</si>
  <si>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</si>
  <si>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</si>
  <si>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</si>
  <si>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</si>
  <si>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</si>
  <si>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</si>
  <si>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</si>
  <si>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</si>
  <si>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</si>
  <si>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</si>
  <si>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</si>
  <si>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</si>
  <si>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</si>
  <si>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</si>
  <si>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</si>
  <si>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</si>
  <si>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</si>
  <si>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</si>
  <si>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</si>
  <si>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</si>
  <si>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</si>
  <si>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</si>
  <si>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</si>
  <si>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</si>
  <si>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</si>
  <si>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</si>
  <si>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</si>
  <si>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</si>
  <si>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</si>
  <si>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</si>
  <si>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</si>
  <si>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</si>
  <si>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</si>
  <si>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</si>
  <si>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</si>
  <si>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</si>
  <si>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</si>
  <si>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</si>
  <si>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</si>
  <si>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</si>
  <si>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</si>
  <si>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</si>
  <si>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</si>
  <si>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</si>
  <si>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</si>
  <si>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</si>
  <si>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</si>
  <si>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</si>
  <si>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</si>
  <si>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</si>
  <si>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</si>
  <si>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</si>
  <si>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</si>
  <si>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</si>
  <si>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</si>
  <si>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</si>
  <si>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</si>
  <si>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</si>
  <si>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</si>
  <si>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</si>
  <si>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</si>
  <si>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</si>
  <si>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</si>
  <si>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</si>
  <si>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</si>
  <si>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</si>
  <si>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</si>
  <si>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</si>
  <si>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</si>
  <si>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</si>
  <si>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</si>
  <si>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</si>
  <si>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</si>
  <si>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</si>
  <si>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</si>
  <si>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</si>
  <si>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</si>
  <si>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</si>
  <si>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</si>
  <si>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</si>
  <si>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</si>
  <si>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</si>
  <si>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</si>
  <si>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</si>
  <si>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</si>
  <si>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</si>
  <si>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</si>
  <si>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</si>
  <si>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</si>
  <si>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</si>
  <si>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</si>
  <si>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</si>
  <si>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</si>
  <si>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</si>
  <si>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</si>
  <si>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</si>
  <si>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</si>
  <si>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</si>
  <si>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</si>
  <si>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</si>
  <si>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</si>
  <si>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</si>
  <si>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</si>
  <si>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</si>
  <si>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</si>
  <si>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</si>
  <si>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</si>
  <si>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</si>
  <si>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</si>
  <si>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</si>
  <si>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</si>
  <si>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</si>
  <si>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</si>
  <si>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</si>
  <si>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</si>
  <si>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</si>
  <si>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</si>
  <si>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</si>
  <si>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</si>
  <si>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</si>
  <si>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</si>
  <si>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</si>
  <si>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</si>
  <si>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</si>
  <si>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</si>
  <si>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</si>
  <si>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</si>
  <si>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</si>
  <si>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</si>
  <si>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</si>
  <si>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</si>
  <si>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</si>
  <si>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</si>
  <si>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</si>
  <si>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</si>
  <si>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</si>
  <si>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</si>
  <si>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</si>
  <si>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</si>
  <si>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</si>
  <si>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</si>
  <si>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</si>
  <si>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</si>
  <si>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</si>
  <si>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</si>
  <si>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</si>
  <si>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</si>
  <si>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</si>
  <si>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</si>
  <si>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</si>
  <si>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</si>
  <si>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</si>
  <si>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</si>
  <si>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</si>
  <si>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</si>
  <si>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</si>
  <si>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</si>
  <si>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</si>
  <si>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</si>
  <si>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</si>
  <si>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</si>
  <si>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</si>
  <si>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</si>
  <si>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</si>
  <si>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</si>
  <si>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</si>
  <si>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</si>
  <si>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</si>
  <si>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</si>
  <si>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</si>
  <si>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</si>
  <si>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</si>
  <si>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</si>
  <si>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</si>
  <si>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</si>
  <si>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</si>
  <si>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</si>
  <si>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</si>
  <si>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</si>
  <si>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</si>
  <si>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</si>
  <si>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</si>
  <si>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</si>
  <si>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</si>
  <si>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</si>
  <si>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</si>
  <si>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</si>
  <si>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</si>
  <si>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</si>
  <si>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</si>
  <si>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</si>
  <si>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</si>
  <si>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</si>
  <si>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</si>
  <si>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</si>
  <si>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</si>
  <si>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</si>
  <si>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</si>
  <si>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</si>
  <si>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</si>
  <si>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</si>
  <si>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</si>
  <si>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</si>
  <si>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</si>
  <si>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</si>
  <si>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</si>
  <si>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</si>
  <si>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</si>
  <si>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</si>
  <si>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</si>
  <si>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</si>
  <si>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</si>
  <si>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</si>
  <si>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</si>
  <si>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</si>
  <si>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</si>
  <si>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</si>
  <si>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</si>
  <si>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</si>
  <si>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</si>
  <si>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</si>
  <si>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</si>
  <si>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</si>
  <si>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</si>
  <si>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</si>
  <si>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</si>
  <si>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</si>
  <si>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</si>
  <si>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</si>
  <si>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</si>
  <si>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</si>
  <si>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</si>
  <si>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</si>
  <si>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</si>
  <si>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</si>
  <si>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</si>
  <si>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</si>
  <si>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</si>
  <si>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</si>
  <si>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</si>
  <si>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</si>
  <si>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</si>
  <si>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</si>
  <si>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</si>
  <si>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</si>
  <si>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</si>
  <si>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</si>
  <si>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</si>
  <si>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</si>
  <si>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</si>
  <si>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</si>
  <si>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</si>
  <si>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</si>
  <si>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</si>
  <si>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</si>
  <si>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</si>
  <si>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</si>
  <si>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</si>
  <si>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</si>
  <si>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</si>
  <si>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</si>
  <si>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</si>
  <si>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</si>
  <si>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</si>
  <si>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</si>
  <si>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</si>
  <si>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</si>
  <si>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</si>
  <si>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</si>
  <si>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</si>
  <si>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</si>
  <si>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</si>
  <si>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</si>
  <si>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</si>
  <si>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</si>
  <si>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</si>
  <si>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</si>
  <si>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</si>
  <si>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</si>
  <si>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</si>
  <si>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</si>
  <si>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</si>
  <si>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</si>
  <si>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</si>
  <si>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</si>
  <si>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</si>
  <si>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</si>
  <si>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</si>
  <si>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</si>
  <si>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</si>
  <si>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</si>
  <si>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</si>
  <si>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</si>
  <si>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</si>
  <si>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</si>
  <si>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</si>
  <si>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</si>
  <si>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</si>
  <si>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</si>
  <si>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</si>
  <si>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</si>
  <si>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</si>
  <si>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</si>
  <si>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</si>
  <si>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</si>
  <si>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</si>
  <si>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</si>
  <si>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</si>
  <si>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</si>
  <si>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</si>
  <si>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</si>
  <si>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</si>
  <si>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</si>
  <si>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</si>
  <si>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</si>
  <si>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</si>
  <si>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</si>
  <si>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</si>
  <si>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</si>
  <si>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</si>
  <si>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</si>
  <si>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</si>
  <si>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</si>
  <si>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</si>
  <si>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</si>
  <si>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</si>
  <si>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</si>
  <si>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</si>
  <si>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</si>
  <si>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</si>
  <si>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</si>
  <si>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</si>
  <si>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</si>
  <si>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</si>
  <si>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</si>
  <si>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</si>
  <si>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</si>
  <si>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</si>
  <si>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</si>
  <si>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</si>
  <si>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</si>
  <si>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</si>
  <si>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</si>
  <si>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</si>
  <si>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</si>
  <si>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</si>
  <si>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</si>
  <si>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</si>
  <si>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</si>
  <si>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</si>
  <si>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</si>
  <si>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</si>
  <si>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</si>
  <si>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</si>
  <si>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</si>
  <si>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</si>
  <si>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</si>
  <si>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</si>
  <si>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</si>
  <si>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</si>
  <si>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</si>
  <si>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</si>
  <si>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</si>
  <si>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</si>
  <si>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</si>
  <si>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</si>
  <si>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</si>
  <si>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</si>
  <si>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</si>
  <si>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</si>
  <si>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</si>
  <si>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</si>
  <si>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</si>
  <si>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</si>
  <si>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</si>
  <si>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</si>
  <si>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</si>
  <si>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</si>
  <si>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</si>
  <si>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</si>
  <si>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</si>
  <si>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</si>
  <si>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</si>
  <si>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</si>
  <si>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</si>
  <si>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</si>
  <si>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</si>
  <si>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</si>
  <si>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</si>
  <si>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</si>
  <si>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</si>
  <si>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</si>
  <si>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</si>
  <si>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</si>
  <si>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</si>
  <si>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</si>
  <si>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</si>
  <si>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</si>
  <si>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</si>
  <si>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</si>
  <si>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</si>
  <si>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</si>
  <si>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</si>
  <si>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</si>
  <si>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</si>
  <si>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</si>
  <si>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</si>
  <si>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</si>
  <si>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</si>
  <si>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</si>
  <si>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</si>
  <si>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</si>
  <si>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</si>
  <si>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</si>
  <si>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</si>
  <si>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</si>
  <si>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</si>
  <si>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</si>
  <si>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</si>
  <si>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</si>
  <si>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</si>
  <si>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</si>
  <si>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</si>
  <si>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</si>
  <si>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</si>
  <si>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</si>
  <si>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</si>
  <si>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</si>
  <si>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</si>
  <si>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</si>
  <si>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</si>
  <si>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</si>
  <si>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</si>
  <si>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</si>
  <si>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</si>
  <si>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</si>
  <si>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</si>
  <si>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</si>
  <si>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</si>
  <si>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</si>
  <si>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</si>
  <si>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</si>
  <si>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</si>
  <si>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</si>
  <si>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</si>
  <si>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</si>
  <si>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</si>
  <si>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</si>
  <si>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</si>
  <si>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</si>
  <si>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</si>
  <si>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</si>
  <si>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</si>
  <si>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</si>
  <si>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</si>
  <si>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</si>
  <si>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</si>
  <si>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</si>
  <si>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</si>
  <si>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</si>
  <si>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</si>
  <si>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</si>
  <si>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</si>
  <si>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</si>
  <si>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</si>
  <si>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</si>
  <si>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</si>
  <si>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</si>
  <si>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</si>
  <si>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</si>
  <si>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</si>
  <si>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</si>
  <si>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</si>
  <si>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</si>
  <si>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</si>
  <si>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</si>
  <si>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</si>
  <si>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</si>
  <si>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</si>
  <si>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</si>
  <si>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</si>
  <si>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</si>
  <si>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</si>
  <si>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</si>
  <si>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</si>
  <si>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</si>
  <si>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</si>
  <si>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</si>
  <si>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</si>
  <si>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</si>
  <si>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</si>
  <si>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</si>
  <si>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</si>
  <si>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</si>
  <si>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</si>
  <si>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</si>
  <si>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</si>
  <si>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</si>
  <si>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</si>
  <si>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</si>
  <si>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</si>
  <si>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</si>
  <si>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</si>
  <si>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</si>
  <si>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</si>
  <si>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</si>
  <si>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</si>
  <si>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</si>
  <si>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</si>
  <si>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</si>
  <si>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</si>
  <si>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</si>
  <si>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</si>
  <si>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</si>
  <si>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</si>
  <si>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</si>
  <si>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</si>
  <si>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</si>
  <si>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</si>
  <si>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</si>
  <si>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</si>
  <si>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</si>
  <si>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</si>
  <si>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</si>
  <si>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</si>
  <si>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</si>
  <si>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</si>
  <si>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</si>
  <si>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</si>
  <si>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</si>
  <si>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</si>
  <si>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</si>
  <si>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</si>
  <si>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</si>
  <si>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</si>
  <si>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</si>
  <si>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</si>
  <si>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</si>
  <si>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</si>
  <si>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</si>
  <si>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</si>
  <si>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</si>
  <si>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</si>
  <si>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</si>
  <si>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</si>
  <si>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</si>
  <si>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</si>
  <si>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</si>
  <si>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</si>
  <si>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</si>
  <si>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</si>
  <si>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</si>
  <si>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</si>
  <si>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</si>
  <si>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</si>
  <si>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</si>
  <si>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</si>
  <si>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</si>
  <si>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</si>
  <si>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</si>
  <si>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</si>
  <si>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</si>
  <si>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</si>
  <si>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</si>
  <si>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</si>
  <si>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</si>
  <si>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</si>
  <si>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</si>
  <si>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</si>
  <si>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</si>
  <si>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</si>
  <si>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</si>
  <si>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</si>
  <si>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</si>
  <si>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</si>
  <si>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</si>
  <si>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</si>
  <si>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</si>
  <si>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</si>
  <si>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</si>
  <si>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</si>
  <si>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</si>
  <si>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</si>
  <si>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</si>
  <si>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</si>
  <si>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</si>
  <si>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</si>
  <si>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</si>
  <si>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</si>
  <si>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</si>
  <si>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</si>
  <si>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</si>
  <si>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</si>
  <si>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</si>
  <si>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</si>
  <si>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</si>
  <si>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</si>
  <si>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</si>
  <si>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</si>
  <si>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</si>
  <si>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</si>
  <si>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</si>
  <si>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</si>
  <si>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</si>
  <si>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</si>
  <si>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</si>
  <si>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</si>
  <si>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</si>
  <si>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</si>
  <si>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</si>
  <si>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</si>
  <si>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</si>
  <si>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</si>
  <si>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</si>
  <si>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</si>
  <si>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</si>
  <si>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</si>
  <si>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</si>
  <si>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</si>
  <si>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</si>
  <si>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</si>
  <si>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</si>
  <si>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</si>
  <si>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</si>
  <si>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</si>
  <si>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</si>
  <si>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</si>
  <si>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</si>
  <si>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</si>
  <si>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</si>
  <si>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</si>
  <si>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</si>
  <si>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</si>
  <si>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</si>
  <si>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</si>
  <si>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</si>
  <si>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</si>
  <si>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</si>
  <si>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</si>
  <si>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</si>
  <si>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</si>
  <si>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</si>
  <si>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</si>
  <si>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</si>
  <si>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</si>
  <si>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</si>
  <si>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</si>
  <si>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</si>
  <si>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</si>
  <si>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</si>
  <si>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</si>
  <si>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</si>
  <si>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</si>
  <si>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</si>
  <si>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</si>
  <si>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</si>
  <si>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</si>
  <si>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</si>
  <si>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</si>
  <si>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</si>
  <si>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</si>
  <si>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</si>
  <si>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</si>
  <si>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</si>
  <si>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</si>
  <si>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</si>
  <si>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</si>
  <si>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</si>
  <si>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</si>
  <si>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</si>
  <si>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</si>
  <si>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</si>
  <si>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</si>
  <si>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</si>
  <si>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</si>
  <si>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</si>
  <si>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</si>
  <si>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</si>
  <si>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</si>
  <si>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</si>
  <si>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</si>
  <si>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</si>
  <si>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</si>
  <si>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</si>
  <si>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</si>
  <si>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</si>
  <si>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</si>
  <si>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</si>
  <si>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</si>
  <si>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</si>
  <si>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</si>
  <si>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</si>
  <si>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</si>
  <si>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</si>
  <si>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</si>
  <si>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</si>
  <si>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</si>
  <si>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</si>
  <si>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</si>
  <si>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</si>
  <si>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</si>
  <si>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</si>
  <si>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</si>
  <si>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</si>
  <si>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</si>
  <si>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</si>
  <si>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</si>
  <si>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</si>
  <si>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</si>
  <si>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</si>
  <si>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</si>
  <si>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</si>
  <si>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</si>
  <si>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</si>
  <si>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</si>
  <si>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</si>
  <si>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</si>
  <si>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</si>
  <si>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</si>
  <si>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</si>
  <si>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</si>
  <si>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</si>
  <si>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</si>
  <si>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</si>
  <si>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</si>
  <si>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</si>
  <si>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</si>
  <si>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</si>
  <si>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</si>
  <si>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</si>
  <si>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</si>
  <si>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</si>
  <si>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</si>
  <si>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</si>
  <si>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</si>
  <si>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</si>
  <si>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</si>
  <si>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</si>
  <si>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</si>
  <si>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</si>
  <si>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</si>
  <si>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</si>
  <si>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</si>
  <si>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</si>
  <si>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</si>
  <si>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</si>
  <si>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</si>
  <si>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</si>
  <si>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</si>
  <si>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</si>
  <si>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</si>
  <si>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</si>
  <si>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</si>
  <si>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</si>
  <si>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</si>
  <si>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</si>
  <si>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</si>
  <si>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</si>
  <si>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</si>
  <si>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</si>
  <si>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</si>
  <si>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</si>
  <si>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</si>
  <si>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</si>
  <si>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</si>
  <si>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</si>
  <si>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</si>
  <si>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</si>
  <si>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</si>
  <si>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</si>
  <si>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</si>
  <si>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</si>
  <si>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</si>
  <si>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</si>
  <si>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</si>
  <si>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</si>
  <si>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</si>
  <si>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</si>
  <si>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</si>
  <si>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</si>
  <si>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</si>
  <si>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</si>
  <si>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</si>
  <si>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</si>
  <si>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</si>
  <si>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</si>
  <si>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</si>
  <si>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</si>
  <si>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</si>
  <si>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</si>
  <si>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</si>
  <si>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</si>
  <si>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</si>
  <si>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</si>
  <si>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</si>
  <si>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</si>
  <si>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</si>
  <si>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</si>
  <si>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</si>
  <si>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</si>
  <si>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</si>
  <si>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</si>
  <si>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</si>
  <si>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</si>
  <si>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</si>
  <si>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</si>
  <si>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</si>
  <si>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</si>
  <si>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</si>
  <si>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</si>
  <si>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</si>
  <si>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</si>
  <si>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</si>
  <si>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</si>
  <si>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</si>
  <si>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</si>
  <si>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</si>
  <si>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</si>
  <si>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</si>
  <si>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</si>
  <si>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</si>
  <si>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</si>
  <si>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</si>
  <si>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</si>
  <si>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</si>
  <si>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</si>
  <si>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</si>
  <si>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</si>
  <si>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</si>
  <si>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</si>
  <si>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</si>
  <si>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</si>
  <si>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</si>
  <si>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</si>
  <si>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</si>
  <si>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</si>
  <si>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</si>
  <si>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</si>
  <si>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</si>
  <si>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</si>
  <si>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</si>
  <si>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</si>
  <si>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</si>
  <si>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</si>
  <si>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</si>
  <si>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</si>
  <si>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</si>
  <si>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</si>
  <si>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</si>
  <si>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</si>
  <si>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</si>
  <si>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</si>
  <si>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</si>
  <si>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</si>
  <si>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</si>
  <si>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</si>
  <si>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</si>
  <si>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</si>
  <si>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</si>
  <si>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</si>
  <si>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</si>
  <si>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</si>
  <si>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</si>
  <si>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</si>
  <si>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</si>
  <si>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</si>
  <si>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</si>
  <si>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</si>
  <si>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</si>
  <si>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</si>
  <si>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</si>
  <si>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</si>
  <si>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</si>
  <si>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</si>
  <si>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</si>
  <si>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</si>
  <si>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</si>
  <si>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</si>
  <si>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</si>
  <si>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</si>
  <si>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</si>
  <si>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</si>
  <si>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</si>
  <si>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</si>
  <si>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</si>
  <si>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</si>
  <si>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</si>
  <si>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</si>
  <si>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</si>
  <si>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</si>
  <si>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</si>
  <si>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</si>
  <si>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</si>
  <si>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</si>
  <si>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</si>
  <si>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</si>
  <si>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</si>
  <si>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</si>
  <si>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</si>
  <si>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</si>
  <si>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</si>
  <si>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</si>
  <si>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</si>
  <si>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</si>
  <si>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</si>
  <si>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</si>
  <si>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</si>
  <si>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</si>
  <si>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</si>
  <si>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</si>
  <si>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</si>
  <si>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</si>
  <si>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</si>
  <si>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</si>
  <si>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</si>
  <si>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</si>
  <si>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</si>
  <si>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</si>
  <si>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</si>
  <si>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</si>
  <si>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</si>
  <si>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</si>
  <si>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</si>
  <si>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</si>
  <si>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</si>
  <si>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</si>
  <si>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</si>
  <si>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</si>
  <si>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</si>
  <si>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</si>
  <si>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</si>
  <si>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</si>
  <si>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</si>
  <si>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</si>
  <si>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</si>
  <si>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</si>
  <si>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</si>
  <si>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</si>
  <si>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</si>
  <si>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</si>
  <si>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</si>
  <si>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</si>
  <si>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</si>
  <si>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</si>
  <si>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</si>
  <si>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</si>
  <si>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</si>
  <si>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</si>
  <si>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</si>
  <si>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</si>
  <si>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</si>
  <si>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</si>
  <si>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</si>
  <si>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</si>
  <si>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</si>
  <si>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</si>
  <si>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</si>
  <si>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</si>
  <si>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</si>
  <si>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</si>
  <si>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</si>
  <si>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</si>
  <si>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</si>
  <si>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</si>
  <si>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</si>
  <si>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</si>
  <si>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</si>
  <si>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</si>
  <si>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</si>
  <si>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</si>
  <si>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</si>
  <si>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</si>
  <si>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</si>
  <si>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</si>
  <si>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</si>
  <si>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</si>
  <si>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</si>
  <si>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</si>
  <si>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</si>
  <si>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</si>
  <si>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</si>
  <si>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</si>
  <si>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</si>
  <si>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</si>
  <si>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</si>
  <si>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</si>
  <si>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</si>
  <si>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</si>
  <si>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</si>
  <si>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</si>
  <si>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</si>
  <si>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</si>
  <si>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</si>
  <si>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</si>
  <si>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</si>
  <si>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</si>
  <si>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</si>
  <si>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</si>
  <si>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</si>
  <si>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</si>
  <si>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</si>
  <si>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</si>
  <si>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</si>
  <si>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</si>
  <si>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</si>
  <si>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</si>
  <si>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</si>
  <si>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</si>
  <si>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</si>
  <si>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</si>
  <si>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</si>
  <si>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</si>
  <si>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</si>
  <si>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</si>
  <si>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</si>
  <si>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</si>
  <si>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</si>
  <si>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</si>
  <si>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</si>
  <si>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</si>
  <si>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</si>
  <si>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</si>
  <si>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</si>
  <si>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</si>
  <si>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</si>
  <si>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</si>
  <si>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</si>
  <si>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</si>
  <si>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</si>
  <si>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</si>
  <si>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</si>
  <si>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</si>
  <si>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</si>
  <si>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</si>
  <si>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</si>
  <si>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</si>
  <si>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</si>
  <si>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</si>
  <si>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</si>
  <si>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</si>
  <si>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</si>
  <si>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</si>
  <si>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</si>
  <si>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</si>
  <si>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</si>
  <si>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</si>
  <si>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</si>
  <si>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</si>
  <si>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</si>
  <si>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</si>
  <si>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</si>
  <si>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</si>
  <si>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</si>
  <si>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</si>
  <si>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</si>
  <si>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</si>
  <si>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</si>
  <si>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</si>
  <si>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</si>
  <si>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</si>
  <si>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</si>
  <si>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</si>
  <si>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</si>
  <si>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</si>
  <si>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</si>
  <si>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</si>
  <si>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</si>
  <si>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</si>
  <si>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</si>
  <si>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</si>
  <si>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</si>
  <si>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</si>
  <si>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</si>
  <si>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</si>
  <si>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</si>
  <si>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</si>
  <si>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</si>
  <si>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</si>
  <si>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</si>
  <si>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</si>
  <si>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</si>
  <si>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</si>
  <si>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</si>
  <si>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</si>
  <si>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</si>
  <si>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</si>
  <si>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</si>
  <si>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</si>
  <si>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</si>
  <si>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</si>
  <si>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</si>
  <si>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</si>
  <si>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</si>
  <si>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</si>
  <si>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</si>
  <si>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</si>
  <si>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</si>
  <si>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</si>
  <si>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</si>
  <si>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</si>
  <si>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</si>
  <si>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</si>
  <si>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</si>
  <si>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</si>
  <si>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</si>
  <si>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</si>
  <si>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</si>
  <si>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</si>
  <si>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</si>
  <si>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</si>
  <si>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</si>
  <si>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</si>
  <si>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</si>
  <si>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</si>
  <si>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</si>
  <si>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</si>
  <si>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</si>
  <si>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</si>
  <si>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</si>
  <si>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</si>
  <si>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</si>
  <si>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</si>
  <si>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</si>
  <si>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</si>
  <si>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</si>
  <si>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</si>
  <si>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</si>
  <si>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</si>
  <si>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</si>
  <si>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</si>
  <si>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</si>
  <si>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</si>
  <si>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</si>
  <si>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</si>
  <si>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</si>
  <si>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</si>
  <si>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</si>
  <si>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</si>
  <si>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</si>
  <si>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</si>
  <si>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</si>
  <si>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</si>
  <si>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</si>
  <si>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</si>
  <si>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</si>
  <si>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</si>
  <si>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</si>
  <si>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</si>
  <si>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</si>
  <si>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</si>
  <si>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</si>
  <si>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</si>
  <si>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</si>
  <si>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</si>
  <si>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</si>
  <si>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</si>
  <si>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</si>
  <si>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</si>
  <si>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</si>
  <si>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</si>
  <si>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</si>
  <si>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</si>
  <si>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</si>
  <si>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</si>
  <si>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</si>
  <si>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</si>
  <si>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</si>
  <si>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</si>
  <si>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</si>
  <si>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</si>
  <si>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</si>
  <si>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</si>
  <si>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</si>
  <si>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</si>
  <si>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</si>
  <si>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</si>
  <si>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</si>
  <si>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</si>
  <si>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</si>
  <si>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</si>
  <si>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</si>
  <si>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</si>
  <si>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</si>
  <si>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</si>
  <si>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</si>
  <si>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</si>
  <si>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</si>
  <si>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</si>
  <si>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</si>
  <si>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</si>
  <si>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</si>
  <si>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</si>
  <si>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</si>
  <si>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</si>
  <si>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</si>
  <si>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</si>
  <si>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</si>
  <si>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</si>
  <si>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</si>
  <si>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</si>
  <si>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</si>
  <si>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</si>
  <si>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</si>
  <si>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</si>
  <si>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</si>
  <si>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</si>
  <si>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</si>
  <si>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</si>
  <si>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</si>
  <si>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</si>
  <si>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</si>
  <si>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</si>
  <si>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</si>
  <si>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</si>
  <si>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</si>
  <si>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</si>
  <si>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</si>
  <si>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</si>
  <si>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</si>
  <si>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</si>
  <si>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</si>
  <si>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</si>
  <si>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</si>
  <si>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</si>
  <si>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</si>
  <si>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</si>
  <si>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</si>
  <si>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</si>
  <si>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</si>
  <si>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</si>
  <si>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</si>
  <si>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</si>
  <si>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</si>
  <si>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</si>
  <si>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</si>
  <si>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</si>
  <si>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</si>
  <si>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</si>
  <si>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</si>
  <si>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</si>
  <si>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</si>
  <si>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</si>
  <si>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</si>
  <si>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</si>
  <si>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</si>
  <si>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</si>
  <si>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</si>
  <si>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</si>
  <si>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</si>
  <si>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</si>
  <si>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</si>
  <si>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</si>
  <si>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</si>
  <si>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</si>
  <si>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</si>
  <si>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</si>
  <si>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</si>
  <si>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</si>
  <si>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</si>
  <si>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</si>
  <si>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</si>
  <si>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</si>
  <si>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</si>
  <si>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</si>
  <si>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</si>
  <si>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</si>
  <si>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</si>
  <si>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</si>
  <si>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</si>
  <si>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</si>
  <si>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</si>
  <si>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</si>
  <si>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</si>
  <si>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</si>
  <si>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</si>
  <si>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</si>
  <si>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</si>
  <si>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</si>
  <si>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</si>
  <si>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</si>
  <si>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</si>
  <si>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</si>
  <si>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</si>
  <si>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</si>
  <si>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</si>
  <si>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</si>
  <si>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</si>
  <si>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</si>
  <si>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</si>
  <si>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</si>
  <si>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</si>
  <si>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</si>
  <si>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</si>
  <si>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</si>
  <si>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</si>
  <si>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</si>
  <si>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</si>
  <si>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</si>
  <si>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</si>
  <si>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</si>
  <si>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</si>
  <si>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</si>
  <si>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</si>
  <si>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</si>
  <si>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</si>
  <si>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</si>
  <si>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</si>
  <si>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</si>
  <si>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</si>
  <si>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</si>
  <si>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</si>
  <si>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</si>
  <si>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</si>
  <si>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</si>
  <si>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</si>
  <si>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</si>
  <si>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</si>
  <si>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</si>
  <si>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</si>
  <si>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</si>
  <si>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</si>
  <si>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</si>
  <si>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</si>
  <si>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</si>
  <si>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</si>
  <si>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</si>
  <si>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</si>
  <si>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</si>
  <si>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</si>
  <si>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</si>
  <si>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</si>
  <si>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</si>
  <si>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</si>
  <si>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</si>
  <si>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</si>
  <si>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</si>
  <si>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</si>
  <si>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</si>
  <si>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</si>
  <si>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</si>
  <si>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</si>
  <si>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</si>
  <si>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</si>
  <si>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</si>
  <si>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</si>
  <si>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</si>
  <si>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</si>
  <si>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</si>
  <si>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</si>
  <si>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</si>
  <si>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</si>
  <si>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</si>
  <si>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</si>
  <si>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</si>
  <si>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</si>
  <si>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</si>
  <si>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</si>
  <si>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</si>
  <si>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</si>
  <si>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</si>
  <si>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</si>
  <si>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</si>
  <si>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</si>
  <si>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</si>
  <si>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</si>
  <si>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</si>
  <si>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</si>
  <si>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</si>
  <si>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</si>
  <si>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</si>
  <si>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</si>
  <si>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</si>
  <si>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</si>
  <si>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</si>
  <si>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</si>
  <si>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</si>
  <si>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</si>
  <si>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</si>
  <si>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</si>
  <si>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</si>
  <si>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</si>
  <si>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</si>
  <si>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</si>
  <si>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</si>
  <si>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</si>
  <si>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</si>
  <si>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</si>
  <si>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</si>
  <si>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</si>
  <si>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</si>
  <si>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</si>
  <si>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</si>
  <si>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</si>
  <si>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</si>
  <si>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</si>
  <si>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</si>
  <si>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</si>
  <si>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</si>
  <si>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</si>
  <si>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</si>
  <si>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</si>
  <si>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</si>
  <si>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</si>
  <si>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</si>
  <si>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</si>
  <si>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</si>
  <si>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</si>
  <si>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</si>
  <si>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</si>
  <si>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</si>
  <si>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</si>
  <si>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</si>
  <si>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</si>
  <si>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</si>
  <si>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</si>
  <si>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</si>
  <si>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</si>
  <si>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</si>
  <si>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</si>
  <si>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</si>
  <si>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</si>
  <si>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</si>
  <si>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</si>
  <si>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</si>
  <si>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</si>
  <si>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</si>
  <si>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</si>
  <si>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</si>
  <si>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</si>
  <si>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</si>
  <si>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</si>
  <si>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</si>
  <si>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</si>
  <si>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</si>
  <si>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</si>
  <si>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</si>
  <si>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</si>
  <si>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</si>
  <si>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</si>
  <si>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</si>
  <si>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</si>
  <si>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</si>
  <si>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</si>
  <si>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</si>
  <si>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</si>
  <si>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</si>
  <si>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</si>
  <si>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</si>
  <si>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</si>
  <si>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</si>
  <si>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</si>
  <si>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</si>
  <si>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</si>
  <si>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</si>
  <si>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</si>
  <si>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</si>
  <si>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</si>
  <si>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</si>
  <si>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</si>
  <si>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</si>
  <si>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</si>
  <si>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</si>
  <si>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</si>
  <si>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</si>
  <si>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</si>
  <si>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</si>
  <si>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</si>
  <si>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</si>
  <si>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</si>
  <si>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</si>
  <si>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</si>
  <si>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</si>
  <si>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</si>
  <si>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</si>
  <si>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</si>
  <si>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</si>
  <si>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</si>
  <si>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</si>
  <si>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</si>
  <si>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</si>
  <si>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</si>
  <si>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</si>
  <si>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</si>
  <si>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</si>
  <si>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</si>
  <si>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</si>
  <si>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</si>
  <si>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</si>
  <si>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</si>
  <si>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</si>
  <si>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</si>
  <si>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</si>
  <si>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</si>
  <si>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</si>
  <si>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</si>
  <si>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</si>
  <si>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</si>
  <si>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</si>
  <si>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</si>
  <si>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</si>
  <si>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</si>
  <si>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</si>
  <si>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</si>
  <si>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</si>
  <si>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</si>
  <si>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</si>
  <si>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</si>
  <si>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</si>
  <si>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</si>
  <si>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</si>
  <si>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</si>
  <si>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</si>
  <si>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</si>
  <si>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</si>
  <si>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</si>
  <si>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</si>
  <si>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</si>
  <si>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</si>
  <si>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</si>
  <si>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</si>
  <si>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</si>
  <si>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</si>
  <si>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</si>
  <si>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</si>
  <si>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</si>
  <si>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</si>
  <si>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</si>
  <si>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</si>
  <si>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</si>
  <si>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</si>
  <si>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</si>
  <si>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</si>
  <si>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</si>
  <si>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</si>
  <si>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</si>
  <si>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</si>
  <si>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</si>
  <si>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</si>
  <si>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</si>
  <si>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</si>
  <si>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</si>
  <si>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</si>
  <si>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</si>
  <si>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</si>
  <si>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</si>
  <si>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</si>
  <si>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</si>
  <si>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</si>
  <si>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</si>
  <si>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</si>
  <si>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</si>
  <si>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</si>
  <si>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</si>
  <si>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</si>
  <si>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</si>
  <si>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</si>
  <si>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</si>
  <si>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</si>
  <si>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</si>
  <si>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</si>
  <si>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</si>
  <si>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</si>
  <si>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</si>
  <si>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</si>
  <si>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</si>
  <si>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</si>
  <si>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</si>
  <si>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</si>
  <si>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</si>
  <si>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</si>
  <si>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</si>
  <si>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</si>
  <si>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</si>
  <si>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</si>
  <si>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</si>
  <si>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</si>
  <si>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</si>
  <si>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</si>
  <si>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</si>
  <si>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</si>
  <si>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</si>
  <si>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</si>
  <si>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</si>
  <si>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</si>
  <si>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</si>
  <si>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</si>
  <si>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</si>
  <si>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</si>
  <si>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</si>
  <si>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</si>
  <si>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</si>
  <si>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</si>
  <si>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</si>
  <si>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</si>
  <si>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</si>
  <si>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</si>
  <si>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</si>
  <si>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</si>
  <si>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</si>
  <si>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</si>
  <si>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</si>
  <si>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</si>
  <si>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</si>
  <si>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</si>
  <si>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</si>
  <si>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</si>
  <si>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</si>
  <si>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</si>
  <si>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</si>
  <si>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</si>
  <si>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</si>
  <si>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</si>
  <si>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</si>
  <si>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</si>
  <si>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</si>
  <si>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</si>
  <si>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</si>
  <si>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</si>
  <si>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</si>
  <si>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</si>
  <si>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</si>
  <si>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</si>
  <si>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</si>
  <si>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</si>
  <si>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</si>
  <si>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</si>
  <si>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</si>
  <si>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</si>
  <si>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</si>
  <si>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</si>
  <si>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</si>
  <si>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</si>
  <si>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</si>
  <si>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</si>
  <si>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</si>
  <si>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</si>
  <si>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</si>
  <si>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</si>
  <si>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</si>
  <si>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</si>
  <si>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</si>
  <si>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</si>
  <si>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</si>
  <si>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</si>
  <si>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</si>
  <si>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</si>
  <si>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</si>
  <si>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</si>
  <si>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</si>
  <si>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</si>
  <si>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</si>
  <si>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</si>
  <si>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</si>
  <si>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</si>
  <si>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</si>
  <si>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</si>
  <si>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</si>
  <si>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</si>
  <si>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</si>
  <si>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</si>
  <si>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</si>
  <si>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</si>
  <si>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</si>
  <si>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</si>
  <si>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</si>
  <si>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</si>
  <si>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</si>
  <si>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</si>
  <si>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</si>
  <si>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</si>
  <si>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</si>
  <si>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</si>
  <si>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</si>
  <si>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</si>
  <si>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</si>
  <si>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</si>
  <si>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</si>
  <si>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</si>
  <si>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</si>
  <si>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</si>
  <si>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</si>
  <si>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</si>
  <si>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</si>
  <si>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</si>
  <si>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</si>
  <si>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</si>
  <si>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</si>
  <si>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</si>
  <si>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</si>
  <si>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</si>
  <si>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</si>
  <si>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</si>
  <si>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</si>
  <si>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</si>
  <si>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</si>
  <si>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</si>
  <si>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</si>
  <si>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</si>
  <si>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</si>
  <si>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</si>
  <si>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</si>
  <si>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</si>
  <si>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</si>
  <si>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</si>
  <si>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</si>
  <si>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</si>
  <si>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</si>
  <si>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</si>
  <si>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</si>
  <si>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</si>
  <si>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</si>
  <si>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</si>
  <si>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</si>
  <si>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</si>
  <si>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</si>
  <si>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</si>
  <si>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</si>
  <si>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</si>
  <si>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</si>
  <si>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</si>
  <si>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</si>
  <si>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</si>
  <si>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</si>
  <si>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</si>
  <si>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</si>
  <si>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</si>
  <si>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</si>
  <si>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</si>
  <si>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</si>
  <si>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</si>
  <si>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</si>
  <si>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</si>
  <si>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</si>
  <si>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</si>
  <si>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</si>
  <si>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</si>
  <si>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</si>
  <si>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</si>
  <si>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</si>
  <si>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</si>
  <si>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</si>
  <si>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</si>
  <si>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</si>
  <si>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</si>
  <si>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</si>
  <si>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</si>
  <si>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</si>
  <si>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</si>
  <si>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</si>
  <si>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</si>
  <si>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</si>
  <si>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</si>
  <si>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</si>
  <si>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</si>
  <si>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</si>
  <si>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</si>
  <si>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</si>
  <si>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</si>
  <si>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</si>
  <si>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</si>
  <si>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</si>
  <si>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</si>
  <si>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</si>
  <si>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</si>
  <si>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</si>
  <si>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</si>
  <si>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</si>
  <si>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</si>
  <si>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</si>
  <si>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</si>
  <si>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</si>
  <si>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</si>
  <si>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</si>
  <si>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</si>
  <si>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</si>
  <si>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</si>
  <si>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</si>
  <si>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</si>
  <si>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</si>
  <si>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</si>
  <si>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</si>
  <si>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</si>
  <si>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</si>
  <si>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</si>
  <si>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</si>
  <si>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</si>
  <si>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</si>
  <si>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</si>
  <si>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</si>
  <si>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</si>
  <si>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</si>
  <si>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</si>
  <si>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</si>
  <si>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</si>
  <si>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</si>
  <si>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</si>
  <si>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</si>
  <si>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</si>
  <si>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</si>
  <si>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</si>
  <si>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</si>
  <si>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</si>
  <si>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</si>
  <si>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</si>
  <si>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</si>
  <si>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</si>
  <si>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</si>
  <si>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</si>
  <si>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</si>
  <si>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</si>
  <si>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</si>
  <si>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</si>
  <si>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</si>
  <si>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</si>
  <si>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</si>
  <si>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</si>
  <si>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</si>
  <si>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</si>
  <si>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</si>
  <si>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</si>
  <si>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</si>
  <si>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</si>
  <si>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</si>
  <si>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</si>
  <si>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</si>
  <si>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</si>
  <si>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</si>
  <si>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</si>
  <si>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</si>
  <si>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</si>
  <si>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</si>
  <si>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</si>
  <si>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</si>
  <si>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</si>
  <si>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</si>
  <si>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</si>
  <si>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</si>
  <si>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</si>
  <si>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</si>
  <si>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</si>
  <si>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</si>
  <si>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</si>
  <si>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</si>
  <si>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</si>
  <si>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</si>
  <si>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</si>
  <si>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</si>
  <si>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</si>
  <si>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</si>
  <si>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</si>
  <si>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</si>
  <si>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</si>
  <si>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</si>
  <si>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</si>
  <si>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</si>
  <si>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</si>
  <si>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</si>
  <si>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</si>
  <si>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</si>
  <si>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</si>
  <si>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</si>
  <si>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</si>
  <si>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</si>
  <si>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</si>
  <si>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</si>
  <si>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</si>
  <si>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</si>
  <si>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</si>
  <si>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</si>
  <si>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</si>
  <si>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</si>
  <si>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</si>
  <si>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</si>
  <si>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</si>
  <si>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</si>
  <si>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</si>
  <si>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</si>
  <si>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</si>
  <si>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</si>
  <si>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</si>
  <si>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</si>
  <si>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</si>
  <si>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</si>
  <si>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</si>
  <si>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</si>
  <si>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</si>
  <si>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</si>
  <si>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</si>
  <si>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</si>
  <si>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</si>
  <si>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</si>
  <si>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</si>
  <si>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</si>
  <si>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</si>
  <si>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</si>
  <si>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</si>
  <si>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</si>
  <si>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</si>
  <si>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</si>
  <si>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</si>
  <si>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</si>
  <si>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</si>
  <si>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</si>
  <si>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</si>
  <si>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</si>
  <si>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</si>
  <si>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</si>
  <si>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</si>
  <si>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</si>
  <si>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</si>
  <si>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</si>
  <si>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</si>
  <si>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</si>
  <si>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</si>
  <si>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</si>
  <si>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</si>
  <si>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</si>
  <si>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</si>
  <si>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</si>
  <si>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</si>
  <si>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</si>
  <si>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</si>
  <si>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</si>
  <si>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</si>
  <si>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</si>
  <si>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</si>
  <si>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</si>
  <si>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</si>
  <si>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</si>
  <si>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</si>
  <si>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</si>
  <si>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</si>
  <si>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</si>
  <si>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</si>
  <si>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</si>
  <si>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</si>
  <si>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</si>
  <si>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</si>
  <si>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</si>
  <si>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</si>
  <si>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</si>
  <si>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</si>
  <si>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</si>
  <si>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</si>
  <si>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</si>
  <si>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</si>
  <si>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</si>
  <si>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</si>
  <si>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</si>
  <si>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</si>
  <si>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</si>
  <si>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</si>
  <si>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</si>
  <si>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</si>
  <si>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</si>
  <si>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</si>
  <si>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</si>
  <si>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</si>
  <si>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</si>
  <si>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</si>
  <si>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</si>
  <si>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</si>
  <si>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</si>
  <si>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</si>
  <si>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</si>
  <si>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</si>
  <si>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</si>
  <si>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</si>
  <si>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</si>
  <si>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</si>
  <si>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</si>
  <si>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</si>
  <si>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</si>
  <si>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</si>
  <si>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</si>
  <si>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</si>
  <si>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</si>
  <si>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</si>
  <si>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</si>
  <si>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</si>
  <si>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</si>
  <si>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</si>
  <si>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</si>
  <si>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</si>
  <si>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</si>
  <si>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</si>
  <si>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</si>
  <si>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</si>
  <si>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</si>
  <si>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</si>
  <si>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</si>
  <si>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</si>
  <si>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</si>
  <si>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</si>
  <si>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</si>
  <si>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</si>
  <si>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</si>
  <si>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</si>
  <si>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</si>
  <si>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</si>
  <si>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</si>
  <si>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</si>
  <si>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</si>
  <si>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</si>
  <si>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</si>
  <si>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</si>
  <si>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</si>
  <si>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</si>
  <si>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</si>
  <si>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</si>
  <si>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</si>
  <si>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</si>
  <si>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</si>
  <si>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</si>
  <si>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</si>
  <si>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</si>
  <si>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</si>
  <si>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</si>
  <si>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</si>
  <si>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</si>
  <si>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</si>
  <si>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</si>
  <si>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</si>
  <si>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</si>
  <si>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</si>
  <si>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</si>
  <si>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</si>
  <si>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</si>
  <si>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</si>
  <si>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</si>
  <si>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</si>
  <si>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</si>
  <si>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</si>
  <si>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</si>
  <si>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</si>
  <si>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</si>
  <si>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</si>
  <si>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</si>
  <si>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</si>
  <si>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</si>
  <si>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</si>
  <si>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</si>
  <si>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</si>
  <si>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</si>
  <si>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</si>
  <si>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</si>
  <si>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</si>
  <si>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</si>
  <si>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</si>
  <si>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</si>
  <si>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</si>
  <si>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</si>
  <si>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</si>
  <si>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</si>
  <si>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</si>
  <si>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</si>
  <si>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</si>
  <si>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</si>
  <si>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</si>
  <si>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</si>
  <si>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</si>
  <si>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</si>
  <si>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</si>
  <si>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</si>
  <si>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</si>
  <si>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</si>
  <si>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</si>
  <si>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</si>
  <si>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</si>
  <si>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</si>
  <si>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</si>
  <si>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</si>
  <si>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</si>
  <si>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</si>
  <si>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</si>
  <si>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</si>
  <si>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</si>
  <si>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</si>
  <si>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</si>
  <si>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</si>
  <si>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</si>
  <si>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</si>
  <si>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</si>
  <si>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</si>
  <si>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</si>
  <si>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</si>
  <si>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</si>
  <si>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</si>
  <si>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</si>
  <si>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</si>
  <si>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</si>
  <si>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</si>
  <si>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</si>
  <si>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</si>
  <si>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</si>
  <si>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</si>
  <si>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</si>
  <si>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</si>
  <si>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</si>
  <si>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</si>
  <si>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</si>
  <si>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</si>
  <si>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</si>
  <si>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</si>
  <si>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</si>
  <si>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</si>
  <si>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</si>
  <si>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</si>
  <si>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</si>
  <si>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</si>
  <si>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</si>
  <si>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</si>
  <si>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</si>
  <si>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</si>
  <si>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</si>
  <si>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</si>
  <si>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</si>
  <si>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</si>
  <si>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</si>
  <si>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</si>
  <si>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</si>
  <si>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</si>
  <si>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</si>
  <si>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</si>
  <si>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</si>
  <si>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</si>
  <si>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</si>
  <si>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</si>
  <si>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</si>
  <si>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</si>
  <si>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</si>
  <si>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</si>
  <si>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</si>
  <si>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</si>
  <si>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</si>
  <si>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</si>
  <si>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</si>
  <si>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</si>
  <si>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</si>
  <si>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</si>
  <si>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</si>
  <si>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</si>
  <si>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</si>
  <si>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</si>
  <si>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</si>
  <si>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</si>
  <si>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</si>
  <si>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</si>
  <si>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</si>
  <si>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</si>
  <si>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</si>
  <si>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</si>
  <si>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</si>
  <si>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</si>
  <si>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</si>
  <si>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</si>
  <si>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</si>
  <si>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</si>
  <si>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</si>
  <si>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</si>
  <si>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</si>
  <si>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</si>
  <si>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</si>
  <si>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</si>
  <si>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</si>
  <si>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</si>
  <si>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</si>
  <si>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</si>
  <si>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</si>
  <si>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</si>
  <si>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</si>
  <si>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</si>
  <si>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</si>
  <si>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</si>
  <si>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</si>
  <si>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</si>
  <si>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</si>
  <si>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</si>
  <si>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</si>
  <si>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</si>
  <si>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</si>
  <si>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</si>
  <si>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</si>
  <si>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</si>
  <si>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</si>
  <si>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</si>
  <si>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</si>
  <si>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</si>
  <si>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</si>
  <si>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</si>
  <si>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</si>
  <si>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</si>
  <si>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</si>
  <si>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</si>
  <si>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</si>
  <si>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</si>
  <si>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</si>
  <si>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</si>
  <si>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</si>
  <si>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</si>
  <si>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</si>
  <si>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</si>
  <si>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</si>
  <si>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</si>
  <si>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</si>
  <si>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</si>
  <si>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</si>
  <si>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</si>
  <si>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</si>
  <si>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</si>
  <si>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</si>
  <si>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</si>
  <si>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</si>
  <si>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</si>
  <si>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</si>
  <si>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</si>
  <si>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</si>
  <si>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</si>
  <si>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</si>
  <si>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</si>
  <si>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</si>
  <si>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</si>
  <si>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</si>
  <si>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</si>
  <si>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</si>
  <si>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</si>
  <si>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</si>
  <si>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</si>
  <si>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</si>
  <si>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</si>
  <si>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</si>
  <si>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</si>
  <si>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</si>
  <si>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</si>
  <si>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</si>
  <si>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</si>
  <si>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</si>
  <si>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</si>
  <si>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</si>
  <si>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</si>
  <si>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</si>
  <si>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</si>
  <si>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</si>
  <si>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</si>
  <si>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</si>
  <si>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</si>
  <si>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</si>
  <si>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</si>
  <si>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</si>
  <si>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</si>
  <si>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</si>
  <si>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</si>
  <si>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</si>
  <si>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</si>
  <si>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</si>
  <si>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</si>
  <si>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</si>
  <si>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</si>
  <si>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</si>
  <si>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</si>
  <si>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</si>
  <si>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</si>
  <si>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</si>
  <si>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</si>
  <si>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</si>
  <si>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</si>
  <si>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</si>
  <si>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</si>
  <si>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</si>
  <si>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</si>
  <si>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</si>
  <si>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</si>
  <si>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</si>
  <si>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</si>
  <si>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</si>
  <si>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</si>
  <si>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</si>
  <si>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</si>
  <si>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</si>
  <si>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</si>
  <si>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</si>
  <si>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</si>
  <si>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</si>
  <si>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</si>
  <si>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</si>
  <si>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</si>
  <si>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</si>
  <si>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</si>
  <si>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</si>
  <si>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</si>
  <si>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</si>
  <si>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</si>
  <si>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</si>
  <si>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</si>
  <si>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</si>
  <si>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</si>
  <si>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</si>
  <si>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</si>
  <si>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</si>
  <si>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</si>
  <si>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</si>
  <si>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</si>
  <si>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</si>
  <si>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</si>
  <si>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</si>
  <si>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</si>
  <si>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</si>
  <si>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</si>
  <si>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</si>
  <si>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</si>
  <si>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</si>
  <si>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</si>
  <si>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</si>
  <si>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</si>
  <si>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</si>
  <si>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</si>
  <si>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</si>
  <si>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</si>
  <si>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</si>
  <si>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</si>
  <si>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</si>
  <si>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</si>
  <si>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</si>
  <si>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</si>
  <si>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</si>
  <si>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</si>
  <si>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</si>
  <si>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</si>
  <si>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</si>
  <si>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</si>
  <si>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</si>
  <si>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</si>
  <si>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</si>
  <si>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</si>
  <si>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</si>
  <si>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</si>
  <si>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</si>
  <si>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</si>
  <si>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</si>
  <si>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</si>
  <si>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</si>
  <si>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</si>
  <si>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</si>
  <si>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</si>
  <si>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</si>
  <si>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</si>
  <si>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</si>
  <si>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</si>
  <si>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</si>
  <si>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</si>
  <si>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</si>
  <si>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</si>
  <si>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</si>
  <si>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</si>
  <si>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</si>
  <si>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</si>
  <si>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</si>
  <si>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</si>
  <si>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</si>
  <si>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</si>
  <si>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</si>
  <si>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</si>
  <si>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</si>
  <si>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</si>
  <si>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</si>
  <si>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</si>
  <si>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</si>
  <si>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</si>
  <si>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</si>
  <si>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</si>
  <si>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</si>
  <si>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</si>
  <si>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</si>
  <si>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</si>
  <si>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</si>
  <si>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</si>
  <si>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</si>
  <si>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</si>
  <si>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</si>
  <si>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</si>
  <si>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</si>
  <si>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</si>
  <si>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</si>
  <si>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</si>
  <si>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</si>
  <si>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</si>
  <si>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</si>
  <si>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</si>
  <si>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</si>
  <si>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</si>
  <si>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</si>
  <si>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</si>
  <si>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</si>
  <si>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</si>
  <si>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</si>
  <si>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</si>
  <si>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</si>
  <si>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</si>
  <si>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</si>
  <si>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</si>
  <si>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</si>
  <si>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</si>
  <si>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</si>
  <si>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</si>
  <si>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</si>
  <si>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</si>
  <si>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</si>
  <si>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</si>
  <si>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</si>
  <si>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</si>
  <si>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</si>
  <si>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</si>
  <si>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</si>
  <si>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</si>
  <si>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</si>
  <si>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</si>
  <si>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</si>
  <si>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</si>
  <si>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</si>
  <si>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</si>
  <si>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</si>
  <si>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</si>
  <si>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</si>
  <si>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</si>
  <si>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</si>
  <si>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</si>
  <si>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</si>
  <si>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</si>
  <si>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</si>
  <si>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</si>
  <si>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</si>
  <si>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</si>
  <si>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</si>
  <si>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</si>
  <si>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</si>
  <si>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</si>
  <si>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</si>
  <si>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</si>
  <si>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</si>
  <si>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</si>
  <si>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</si>
  <si>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</si>
  <si>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</si>
  <si>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</si>
  <si>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</si>
  <si>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</si>
  <si>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</si>
  <si>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</si>
  <si>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</si>
  <si>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</si>
  <si>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</si>
  <si>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</si>
  <si>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</si>
  <si>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</si>
  <si>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</si>
  <si>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</si>
  <si>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</si>
  <si>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</si>
  <si>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</si>
  <si>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</si>
  <si>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</si>
  <si>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</si>
  <si>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</si>
  <si>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</si>
  <si>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</si>
  <si>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</si>
  <si>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</si>
  <si>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</si>
  <si>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</si>
  <si>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</si>
  <si>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</si>
  <si>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</si>
  <si>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</si>
  <si>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</si>
  <si>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</si>
  <si>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</si>
  <si>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</si>
  <si>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</si>
  <si>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</si>
  <si>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</si>
  <si>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</si>
  <si>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</si>
  <si>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</si>
  <si>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</si>
  <si>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</si>
  <si>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</si>
  <si>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</si>
  <si>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</si>
  <si>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</si>
  <si>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</si>
  <si>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</si>
  <si>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</si>
  <si>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</si>
  <si>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</si>
  <si>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</si>
  <si>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</si>
  <si>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</si>
  <si>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</si>
  <si>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</si>
  <si>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</si>
  <si>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</si>
  <si>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</si>
  <si>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</si>
  <si>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</si>
  <si>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</si>
  <si>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</si>
  <si>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</si>
  <si>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</si>
  <si>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</si>
  <si>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</si>
  <si>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</si>
  <si>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</si>
  <si>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</si>
  <si>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</si>
  <si>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</si>
  <si>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</si>
  <si>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</si>
  <si>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</si>
  <si>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</si>
  <si>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</si>
  <si>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</si>
  <si>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</si>
  <si>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</si>
  <si>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</si>
  <si>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</si>
  <si>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</si>
  <si>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</si>
  <si>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</si>
  <si>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</si>
  <si>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</si>
  <si>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</si>
  <si>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</si>
  <si>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</si>
  <si>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</si>
  <si>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</si>
  <si>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</si>
  <si>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</si>
  <si>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</si>
  <si>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</si>
  <si>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</si>
  <si>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</si>
  <si>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</si>
  <si>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</si>
  <si>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</si>
  <si>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</si>
  <si>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</si>
  <si>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</si>
  <si>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</si>
  <si>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</si>
  <si>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</si>
  <si>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</si>
  <si>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</si>
  <si>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</si>
  <si>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</si>
  <si>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</si>
  <si>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</si>
  <si>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</si>
  <si>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</si>
  <si>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</si>
  <si>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</si>
  <si>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</si>
  <si>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</si>
  <si>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</si>
  <si>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</si>
  <si>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</si>
  <si>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</si>
  <si>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</si>
  <si>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</si>
  <si>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</si>
  <si>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</si>
  <si>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</si>
  <si>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</si>
  <si>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</si>
  <si>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</si>
  <si>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售价</t>
    <phoneticPr fontId="134" type="noConversion"/>
  </si>
  <si>
    <r>
      <t>望京S</t>
    </r>
    <r>
      <rPr>
        <sz val="11"/>
        <color theme="1"/>
        <rFont val="宋体"/>
        <family val="3"/>
        <charset val="134"/>
        <scheme val="minor"/>
      </rPr>
      <t>OHO</t>
    </r>
    <phoneticPr fontId="134" type="noConversion"/>
  </si>
  <si>
    <r>
      <t>4</t>
    </r>
    <r>
      <rPr>
        <sz val="11"/>
        <color theme="1"/>
        <rFont val="宋体"/>
        <family val="3"/>
        <charset val="134"/>
        <scheme val="minor"/>
      </rPr>
      <t>-5万</t>
    </r>
    <phoneticPr fontId="134" type="noConversion"/>
  </si>
  <si>
    <r>
      <t>6</t>
    </r>
    <r>
      <rPr>
        <sz val="11"/>
        <color theme="1"/>
        <rFont val="宋体"/>
        <family val="3"/>
        <charset val="134"/>
        <scheme val="minor"/>
      </rPr>
      <t>-7元</t>
    </r>
    <phoneticPr fontId="134" type="noConversion"/>
  </si>
  <si>
    <t>融科望京中心</t>
    <phoneticPr fontId="134" type="noConversion"/>
  </si>
  <si>
    <r>
      <t>5</t>
    </r>
    <r>
      <rPr>
        <sz val="11"/>
        <color theme="1"/>
        <rFont val="宋体"/>
        <family val="3"/>
        <charset val="134"/>
        <scheme val="minor"/>
      </rPr>
      <t>-6元</t>
    </r>
    <phoneticPr fontId="134" type="noConversion"/>
  </si>
  <si>
    <t>诚盈中心</t>
    <phoneticPr fontId="134" type="noConversion"/>
  </si>
  <si>
    <t>4-5万</t>
    <phoneticPr fontId="134" type="noConversion"/>
  </si>
  <si>
    <t>6元左右</t>
    <phoneticPr fontId="134" type="noConversion"/>
  </si>
  <si>
    <t>万科时代中心</t>
    <phoneticPr fontId="134" type="noConversion"/>
  </si>
  <si>
    <t>9-10万</t>
    <phoneticPr fontId="134" type="noConversion"/>
  </si>
  <si>
    <t>8-10元</t>
    <phoneticPr fontId="134" type="noConversion"/>
  </si>
  <si>
    <t>保利国际</t>
    <phoneticPr fontId="134" type="noConversion"/>
  </si>
  <si>
    <t>10-11元</t>
    <phoneticPr fontId="134" type="noConversion"/>
  </si>
  <si>
    <t>嘉美中心</t>
    <phoneticPr fontId="134" type="noConversion"/>
  </si>
  <si>
    <t>悠乐汇</t>
    <phoneticPr fontId="134" type="noConversion"/>
  </si>
  <si>
    <r>
      <t>4</t>
    </r>
    <r>
      <rPr>
        <sz val="11"/>
        <color theme="1"/>
        <rFont val="宋体"/>
        <family val="3"/>
        <charset val="134"/>
        <scheme val="minor"/>
      </rPr>
      <t>-5元</t>
    </r>
    <phoneticPr fontId="134" type="noConversion"/>
  </si>
  <si>
    <t>宝能中心</t>
    <phoneticPr fontId="134" type="noConversion"/>
  </si>
  <si>
    <t>7元左右</t>
    <phoneticPr fontId="134" type="noConversion"/>
  </si>
  <si>
    <t>不临65条商业街</t>
  </si>
  <si>
    <t>与级别开发程度一致</t>
  </si>
  <si>
    <t>楼层修正</t>
  </si>
  <si>
    <t>核定资产</t>
  </si>
  <si>
    <t>房地产市场价值</t>
  </si>
  <si>
    <t>北京市</t>
  </si>
  <si>
    <t>企业</t>
  </si>
  <si>
    <t>首开广场</t>
    <phoneticPr fontId="134" type="noConversion"/>
  </si>
  <si>
    <t>不动产证号</t>
  </si>
  <si>
    <t>套内建筑面积</t>
    <phoneticPr fontId="247" type="noConversion"/>
  </si>
  <si>
    <t>收益法</t>
    <phoneticPr fontId="3" type="noConversion"/>
  </si>
  <si>
    <t>直线法成新度</t>
    <phoneticPr fontId="3" type="noConversion"/>
  </si>
  <si>
    <t>结构残值率（%）</t>
    <phoneticPr fontId="3" type="noConversion"/>
  </si>
  <si>
    <t>项目</t>
    <phoneticPr fontId="3" type="noConversion"/>
  </si>
  <si>
    <t>数额（元）</t>
    <phoneticPr fontId="3" type="noConversion"/>
  </si>
  <si>
    <t>计算公式</t>
    <phoneticPr fontId="3" type="noConversion"/>
  </si>
  <si>
    <t>收费标准</t>
    <phoneticPr fontId="3" type="noConversion"/>
  </si>
  <si>
    <t>已经使用年限（年）</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</si>
  <si>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</si>
  <si>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</si>
  <si>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</si>
  <si>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</si>
  <si>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</si>
  <si>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</si>
  <si>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</si>
  <si>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</si>
  <si>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</si>
  <si>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</si>
  <si>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</si>
  <si>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</si>
  <si>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</si>
  <si>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</si>
  <si>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</si>
  <si>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</si>
  <si>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</si>
  <si>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</si>
  <si>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</si>
  <si>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</si>
  <si>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</si>
  <si>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</si>
  <si>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</si>
  <si>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</si>
  <si>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</si>
  <si>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</si>
  <si>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</si>
  <si>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</si>
  <si>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</si>
  <si>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</si>
  <si>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</si>
  <si>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</si>
  <si>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</si>
  <si>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</si>
  <si>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</si>
  <si>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</si>
  <si>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</si>
  <si>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</si>
  <si>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</si>
  <si>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</si>
  <si>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</si>
  <si>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</si>
  <si>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</si>
  <si>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</si>
  <si>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</si>
  <si>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</si>
  <si>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</si>
  <si>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</si>
  <si>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</si>
  <si>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</si>
  <si>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</si>
  <si>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</si>
  <si>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</si>
  <si>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</si>
  <si>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</si>
  <si>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</si>
  <si>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</si>
  <si>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</si>
  <si>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</si>
  <si>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</si>
  <si>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</si>
  <si>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</si>
  <si>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</si>
  <si>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</si>
  <si>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</si>
  <si>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</si>
  <si>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</si>
  <si>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</si>
  <si>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</si>
  <si>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</si>
  <si>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</si>
  <si>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</si>
  <si>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</si>
  <si>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</si>
  <si>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</si>
  <si>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</si>
  <si>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</si>
  <si>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</si>
  <si>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</si>
  <si>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</si>
  <si>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</si>
  <si>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</si>
  <si>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</si>
  <si>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</si>
  <si>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</si>
  <si>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</si>
  <si>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</si>
  <si>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</si>
  <si>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</si>
  <si>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</si>
  <si>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</si>
  <si>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</si>
  <si>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</si>
  <si>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</si>
  <si>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</si>
  <si>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</si>
  <si>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</si>
  <si>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</si>
  <si>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</si>
  <si>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</si>
  <si>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</si>
  <si>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</si>
  <si>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r>
      <t>估价对象</t>
    </r>
    <r>
      <rPr>
        <b/>
        <sz val="9"/>
        <color indexed="10"/>
        <rFont val="宋体"/>
        <family val="3"/>
        <charset val="134"/>
      </rPr>
      <t>1层商业用房</t>
    </r>
    <r>
      <rPr>
        <b/>
        <sz val="9"/>
        <rFont val="宋体"/>
        <family val="3"/>
        <charset val="134"/>
      </rPr>
      <t>结果一览表</t>
    </r>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</si>
  <si>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</si>
  <si>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</si>
  <si>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</si>
  <si>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</si>
  <si>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</si>
  <si>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</si>
  <si>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</si>
  <si>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</si>
  <si>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</si>
  <si>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</si>
  <si>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</si>
  <si>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</si>
  <si>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</si>
  <si>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采光</t>
    <phoneticPr fontId="3" type="noConversion"/>
  </si>
  <si>
    <t>较好</t>
  </si>
  <si>
    <t>较好</t>
    <phoneticPr fontId="24" type="noConversion"/>
  </si>
  <si>
    <t>一般</t>
  </si>
  <si>
    <t>一般</t>
    <phoneticPr fontId="24" type="noConversion"/>
  </si>
  <si>
    <t>好</t>
  </si>
  <si>
    <t>是</t>
  </si>
  <si>
    <t>地上</t>
  </si>
  <si>
    <t>办公楼</t>
  </si>
  <si>
    <t>4层办公</t>
  </si>
  <si>
    <t>4层办公</t>
    <phoneticPr fontId="7" type="noConversion"/>
  </si>
  <si>
    <t>成新度</t>
  </si>
  <si>
    <t>未包含在土地购买价格中</t>
  </si>
  <si>
    <t>已包含在土地取得成本中</t>
  </si>
  <si>
    <t>利息：取LPR加浮动点数</t>
  </si>
  <si>
    <t>望京SOHO</t>
    <phoneticPr fontId="3" type="noConversion"/>
  </si>
  <si>
    <t>融科望京中心</t>
    <phoneticPr fontId="3" type="noConversion"/>
  </si>
  <si>
    <t>悠乐汇</t>
    <phoneticPr fontId="3" type="noConversion"/>
  </si>
  <si>
    <t>正常</t>
  </si>
  <si>
    <t>商业</t>
    <phoneticPr fontId="134" type="noConversion"/>
  </si>
  <si>
    <t>钢混</t>
    <phoneticPr fontId="31" type="noConversion"/>
  </si>
  <si>
    <t>高层办公</t>
  </si>
  <si>
    <t>高层办公</t>
    <phoneticPr fontId="31" type="noConversion"/>
  </si>
  <si>
    <t>综合体</t>
  </si>
  <si>
    <t>综合体</t>
    <phoneticPr fontId="31" type="noConversion"/>
  </si>
  <si>
    <t>采光</t>
    <phoneticPr fontId="31" type="noConversion"/>
  </si>
  <si>
    <t>较好</t>
    <phoneticPr fontId="31" type="noConversion"/>
  </si>
  <si>
    <t>一般</t>
    <phoneticPr fontId="31" type="noConversion"/>
  </si>
  <si>
    <t>办公</t>
    <phoneticPr fontId="31" type="noConversion"/>
  </si>
  <si>
    <t>精装修</t>
  </si>
  <si>
    <t>精装修</t>
    <phoneticPr fontId="31" type="noConversion"/>
  </si>
  <si>
    <t>毛坯</t>
    <phoneticPr fontId="31" type="noConversion"/>
  </si>
  <si>
    <t>专业物业管理</t>
  </si>
  <si>
    <t>专业物业管理</t>
    <phoneticPr fontId="31" type="noConversion"/>
  </si>
  <si>
    <t>城市次干道</t>
    <phoneticPr fontId="31" type="noConversion"/>
  </si>
  <si>
    <t>合计</t>
  </si>
  <si>
    <t>序号</t>
  </si>
  <si>
    <t>坐落</t>
  </si>
  <si>
    <t>建筑面积</t>
  </si>
  <si>
    <t>X京房权证朝字第1171931号</t>
  </si>
  <si>
    <t>商业用房</t>
  </si>
  <si>
    <t>朝阳区阜荣街10号5层五层商业</t>
  </si>
  <si>
    <t>X京房权证朝字第1172330号</t>
  </si>
  <si>
    <t>朝阳区阜荣街10号6层六层商业</t>
  </si>
  <si>
    <t>X京房权证朝字第1172328号</t>
  </si>
  <si>
    <t>朝阳区阜荣街10号7层七层商业</t>
  </si>
  <si>
    <t>X京房权证朝字第1172327号</t>
  </si>
  <si>
    <t>朝阳区阜荣街10号8层八层商业</t>
  </si>
  <si>
    <t>X京房权证朝字第1172325号</t>
  </si>
  <si>
    <t>朝阳区阜荣街10号4层四层商业</t>
    <phoneticPr fontId="134" type="noConversion"/>
  </si>
  <si>
    <t>估价对象周边有132路、404路、421路、451路、593路等多条公交线路，距离地铁14号线阜通站约200米，周边道路网线较密集，通达度较好。综合评价交通便捷度较好。</t>
    <phoneticPr fontId="40" type="noConversion"/>
  </si>
  <si>
    <t>估价对象周边有望京文化体育公园、望京文化广场等自然人文场所，综合评价环境状况一般。</t>
    <phoneticPr fontId="40" type="noConversion"/>
  </si>
  <si>
    <t>估价对象位于望京商圈，周边有利星行、悠乐汇等办公项目，入驻率高，办公集聚程度较好</t>
    <phoneticPr fontId="24" type="noConversion"/>
  </si>
  <si>
    <t>标准层高</t>
  </si>
  <si>
    <t>标准层高</t>
    <phoneticPr fontId="31" type="noConversion"/>
  </si>
  <si>
    <t>钢混</t>
  </si>
  <si>
    <t>简单装修</t>
  </si>
  <si>
    <t>简单装修</t>
    <phoneticPr fontId="31" type="noConversion"/>
  </si>
  <si>
    <t>周边1公里内的公共服务配套设施较齐备，有购物场所（凯德MALL、新世界百货、物美大卖场、京客隆等）、医院（中国中医科学院望京医院、北京明德医院、南湖东园社区卫生服务站等）、银行（中国光大银行、广发银行、友利银行等）、学校（中央美术学院、首师大附属实验学校（南校区）、陈经伦中学分校（南湖东园校区）、南湖中园小学、望京新城幼儿园等）等公共服务配套设施。</t>
  </si>
  <si>
    <t>现状办公</t>
    <phoneticPr fontId="31" type="noConversion"/>
  </si>
  <si>
    <t>京（2023）朝不动产权第0018583号</t>
    <phoneticPr fontId="134" type="noConversion"/>
  </si>
  <si>
    <t>北京首开瑞泰商业管理有限公司</t>
    <phoneticPr fontId="134" type="noConversion"/>
  </si>
  <si>
    <t>权利人</t>
    <phoneticPr fontId="134" type="noConversion"/>
  </si>
  <si>
    <t>北京首开商业地产有限公司</t>
    <phoneticPr fontId="134" type="noConversion"/>
  </si>
  <si>
    <t>京（2023）朝不动产权第0018586号</t>
    <phoneticPr fontId="134" type="noConversion"/>
  </si>
  <si>
    <t>京（2023）朝不动产权第0018589号</t>
    <phoneticPr fontId="134" type="noConversion"/>
  </si>
  <si>
    <t>京（2023）朝不动产权第0018595号</t>
    <phoneticPr fontId="134" type="noConversion"/>
  </si>
  <si>
    <t>京（2023）朝不动产权第0018596号</t>
    <phoneticPr fontId="134" type="noConversion"/>
  </si>
  <si>
    <t>房屋所有权人</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</si>
</sst>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3"/>
      <charset val="134"/>
      <scheme val="major"/>
    </font>
    <font>
      <sz val="10"/>
      <name val="宋体"/>
      <family val="3"/>
      <charset val="134"/>
      <scheme val="major"/>
    </font>
    <font>
      <sz val="10"/>
      <color theme="1"/>
      <name val="宋体"/>
      <family val="3"/>
      <charset val="134"/>
      <scheme val="major"/>
    </font>
    <font>
      <sz val="10"/>
      <color indexed="10"/>
      <name val="仿宋_GB2312"/>
      <family val="3"/>
      <charset val="134"/>
    </font>
    <font>
      <b/>
      <sz val="9"/>
      <name val="宋体"/>
      <family val="3"/>
      <charset val="134"/>
      <scheme val="minor"/>
    </font>
    <font>
      <b/>
      <sz val="9"/>
      <color indexed="10"/>
      <name val="宋体"/>
      <family val="3"/>
      <charset val="134"/>
    </font>
    <font>
      <b/>
      <sz val="9"/>
      <name val="宋体"/>
      <family val="3"/>
      <charset val="134"/>
    </font>
    <font>
      <sz val="9"/>
      <color rgb="FFFF0000"/>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indexed="5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92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95" fillId="0" borderId="0" xfId="10">
      <alignment vertical="center"/>
    </xf>
    <xf numFmtId="58" fontId="95" fillId="0" borderId="0" xfId="10" applyNumberFormat="1">
      <alignment vertical="center"/>
    </xf>
    <xf numFmtId="0" fontId="112" fillId="0" borderId="1" xfId="10" applyFont="1" applyBorder="1" applyAlignment="1">
      <alignment horizontal="center" vertical="center"/>
    </xf>
    <xf numFmtId="0" fontId="107" fillId="0" borderId="1" xfId="10" applyFont="1" applyBorder="1" applyAlignment="1">
      <alignment horizontal="center" vertical="center"/>
    </xf>
    <xf numFmtId="0" fontId="95" fillId="0" borderId="1" xfId="10" applyBorder="1">
      <alignment vertical="center"/>
    </xf>
    <xf numFmtId="0" fontId="270" fillId="0" borderId="1" xfId="10" applyFont="1" applyBorder="1" applyAlignment="1">
      <alignment horizontal="left" vertical="center" wrapText="1" shrinkToFit="1"/>
    </xf>
    <xf numFmtId="9" fontId="271" fillId="0" borderId="1" xfId="10" applyNumberFormat="1" applyFont="1" applyBorder="1" applyAlignment="1">
      <alignment horizontal="center" vertical="center" wrapText="1" shrinkToFit="1"/>
    </xf>
    <xf numFmtId="0" fontId="95" fillId="0" borderId="0" xfId="10" applyAlignment="1"/>
    <xf numFmtId="0" fontId="95" fillId="0" borderId="0" xfId="10" applyAlignment="1">
      <alignment vertical="center" wrapText="1"/>
    </xf>
    <xf numFmtId="49" fontId="110" fillId="0" borderId="1" xfId="10" applyNumberFormat="1" applyFont="1" applyBorder="1" applyAlignment="1">
      <alignment horizontal="center" vertical="center" wrapText="1" shrinkToFit="1"/>
    </xf>
    <xf numFmtId="0" fontId="110" fillId="0" borderId="1" xfId="10" applyFont="1" applyBorder="1" applyAlignment="1">
      <alignment vertical="center" wrapText="1" shrinkToFit="1"/>
    </xf>
    <xf numFmtId="0" fontId="110" fillId="0" borderId="1" xfId="10" applyFont="1" applyBorder="1" applyAlignment="1">
      <alignment horizontal="center" vertical="center" wrapText="1" shrinkToFit="1"/>
    </xf>
    <xf numFmtId="0" fontId="270" fillId="0" borderId="1" xfId="10" applyFont="1" applyBorder="1" applyAlignment="1">
      <alignment horizontal="center" vertical="center" wrapText="1" shrinkToFit="1"/>
    </xf>
    <xf numFmtId="0" fontId="107" fillId="0" borderId="0" xfId="10" applyFont="1" applyAlignment="1">
      <alignment wrapText="1"/>
    </xf>
    <xf numFmtId="0" fontId="110" fillId="0" borderId="1" xfId="10" applyFont="1" applyBorder="1" applyAlignment="1">
      <alignment horizontal="left" vertical="center" wrapText="1" shrinkToFit="1"/>
    </xf>
    <xf numFmtId="179" fontId="110" fillId="0" borderId="1" xfId="10" applyNumberFormat="1" applyFont="1" applyBorder="1" applyAlignment="1">
      <alignment horizontal="center" vertical="center" wrapText="1" shrinkToFit="1"/>
    </xf>
    <xf numFmtId="49" fontId="270"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left" vertical="center" wrapText="1" shrinkToFit="1"/>
    </xf>
    <xf numFmtId="181" fontId="274" fillId="0" borderId="1" xfId="10" applyNumberFormat="1" applyFont="1" applyBorder="1" applyAlignment="1">
      <alignment horizontal="center" vertical="center" wrapText="1" shrinkToFit="1"/>
    </xf>
    <xf numFmtId="9" fontId="275" fillId="0" borderId="1" xfId="10" applyNumberFormat="1" applyFont="1" applyBorder="1" applyAlignment="1">
      <alignment horizontal="center" vertical="center" wrapText="1"/>
    </xf>
    <xf numFmtId="179" fontId="274" fillId="0" borderId="1" xfId="10" applyNumberFormat="1" applyFont="1" applyBorder="1" applyAlignment="1">
      <alignment horizontal="center" vertical="center" wrapText="1" shrinkToFit="1"/>
    </xf>
    <xf numFmtId="0" fontId="110" fillId="0" borderId="0" xfId="10" applyFont="1" applyAlignment="1">
      <alignment horizontal="center" vertical="center"/>
    </xf>
    <xf numFmtId="9" fontId="276" fillId="22" borderId="1" xfId="10" applyNumberFormat="1" applyFont="1" applyFill="1" applyBorder="1" applyAlignment="1">
      <alignment horizontal="center" vertical="center" wrapText="1"/>
    </xf>
    <xf numFmtId="0" fontId="95" fillId="0" borderId="0" xfId="10" applyAlignment="1">
      <alignment vertical="center" wrapText="1" shrinkToFit="1"/>
    </xf>
    <xf numFmtId="179" fontId="110" fillId="0" borderId="0" xfId="10" applyNumberFormat="1" applyFont="1" applyAlignment="1">
      <alignment horizontal="center" vertical="center"/>
    </xf>
    <xf numFmtId="0" fontId="107" fillId="0" borderId="1" xfId="10" applyFont="1" applyBorder="1" applyAlignment="1">
      <alignment vertical="center" wrapText="1"/>
    </xf>
    <xf numFmtId="0" fontId="107" fillId="0" borderId="1" xfId="10" applyFont="1" applyBorder="1" applyAlignment="1">
      <alignment horizontal="center" vertical="center" wrapText="1"/>
    </xf>
    <xf numFmtId="9" fontId="270" fillId="0" borderId="1" xfId="10" applyNumberFormat="1" applyFont="1" applyBorder="1" applyAlignment="1">
      <alignment horizontal="center" vertical="center" wrapText="1"/>
    </xf>
    <xf numFmtId="9" fontId="107" fillId="0" borderId="1" xfId="10" applyNumberFormat="1" applyFont="1" applyBorder="1" applyAlignment="1">
      <alignment horizontal="center" vertical="center" wrapText="1"/>
    </xf>
    <xf numFmtId="179" fontId="246" fillId="0" borderId="0" xfId="10" applyNumberFormat="1" applyFont="1">
      <alignment vertical="center"/>
    </xf>
    <xf numFmtId="10" fontId="107" fillId="0" borderId="1" xfId="10" applyNumberFormat="1" applyFont="1" applyBorder="1" applyAlignment="1">
      <alignment horizontal="center" vertical="center" wrapText="1"/>
    </xf>
    <xf numFmtId="9" fontId="107" fillId="22" borderId="1" xfId="10" applyNumberFormat="1" applyFont="1" applyFill="1" applyBorder="1" applyAlignment="1">
      <alignment horizontal="center" vertical="center" wrapText="1"/>
    </xf>
    <xf numFmtId="10" fontId="112" fillId="0" borderId="1" xfId="10" applyNumberFormat="1" applyFont="1" applyBorder="1" applyAlignment="1">
      <alignment horizontal="center" vertical="center" wrapText="1"/>
    </xf>
    <xf numFmtId="0" fontId="107" fillId="0" borderId="1" xfId="10" applyFont="1" applyBorder="1" applyAlignment="1">
      <alignment wrapText="1"/>
    </xf>
    <xf numFmtId="0" fontId="122" fillId="0" borderId="0" xfId="1" applyFont="1" applyAlignment="1" applyProtection="1">
      <alignment horizontal="left" vertical="center"/>
      <protection hidden="1"/>
    </xf>
    <xf numFmtId="179" fontId="246" fillId="0" borderId="0" xfId="10" applyNumberFormat="1" applyFont="1" applyAlignment="1">
      <alignment vertical="center" wrapText="1" shrinkToFit="1"/>
    </xf>
    <xf numFmtId="181" fontId="110" fillId="0" borderId="0" xfId="10" applyNumberFormat="1" applyFont="1" applyAlignment="1">
      <alignment horizontal="center" vertical="center"/>
    </xf>
    <xf numFmtId="179" fontId="95" fillId="0" borderId="0" xfId="10" applyNumberFormat="1">
      <alignment vertical="center"/>
    </xf>
    <xf numFmtId="49" fontId="110" fillId="0" borderId="13" xfId="10" applyNumberFormat="1" applyFont="1" applyBorder="1" applyAlignment="1">
      <alignment horizontal="center" vertical="center" wrapText="1" shrinkToFit="1"/>
    </xf>
    <xf numFmtId="0" fontId="110" fillId="0" borderId="13" xfId="10" applyFont="1" applyBorder="1" applyAlignment="1">
      <alignment vertical="center" wrapText="1" shrinkToFi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180" fontId="110" fillId="0" borderId="54" xfId="10" applyNumberFormat="1" applyFont="1" applyBorder="1" applyAlignment="1">
      <alignment horizontal="center" vertical="center" wrapText="1" shrinkToFit="1"/>
    </xf>
    <xf numFmtId="0" fontId="110" fillId="0" borderId="3" xfId="10" applyFont="1" applyBorder="1" applyAlignment="1">
      <alignment horizontal="left" vertical="center" wrapText="1" shrinkToFit="1"/>
    </xf>
    <xf numFmtId="10" fontId="110" fillId="0" borderId="1" xfId="10" applyNumberFormat="1" applyFont="1" applyBorder="1" applyAlignment="1">
      <alignment horizontal="center" vertical="center" wrapText="1" shrinkToFit="1"/>
    </xf>
    <xf numFmtId="9" fontId="110" fillId="0" borderId="0" xfId="10" applyNumberFormat="1" applyFont="1" applyAlignment="1">
      <alignment horizontal="center" vertical="center"/>
    </xf>
    <xf numFmtId="0" fontId="110" fillId="0" borderId="5" xfId="10" applyFont="1" applyBorder="1" applyAlignment="1">
      <alignment horizontal="right" vertical="center" wrapText="1" shrinkToFit="1"/>
    </xf>
    <xf numFmtId="49" fontId="110" fillId="0" borderId="54" xfId="10" applyNumberFormat="1" applyFont="1" applyBorder="1" applyAlignment="1">
      <alignment horizontal="center" vertical="center" wrapText="1" shrinkToFit="1"/>
    </xf>
    <xf numFmtId="10" fontId="111" fillId="0" borderId="0" xfId="10" applyNumberFormat="1" applyFont="1" applyAlignment="1">
      <alignment horizontal="center" vertical="center"/>
    </xf>
    <xf numFmtId="0" fontId="277" fillId="0" borderId="0" xfId="10" applyFont="1">
      <alignment vertical="center"/>
    </xf>
    <xf numFmtId="182" fontId="110" fillId="0" borderId="0" xfId="10" applyNumberFormat="1" applyFont="1" applyAlignment="1">
      <alignment horizontal="center" vertical="center"/>
    </xf>
    <xf numFmtId="9" fontId="110" fillId="0" borderId="1" xfId="10" applyNumberFormat="1" applyFont="1" applyBorder="1" applyAlignment="1">
      <alignment horizontal="center" vertical="center" wrapText="1" shrinkToFit="1"/>
    </xf>
    <xf numFmtId="10" fontId="110" fillId="0" borderId="0" xfId="10" applyNumberFormat="1" applyFont="1" applyAlignment="1">
      <alignment horizontal="center" vertical="center"/>
    </xf>
    <xf numFmtId="0" fontId="95" fillId="0" borderId="0" xfId="10" applyAlignment="1">
      <alignment horizontal="left" vertical="center" wrapText="1"/>
    </xf>
    <xf numFmtId="0" fontId="95" fillId="0" borderId="0" xfId="10" applyAlignment="1">
      <alignment horizontal="center" vertical="center" wrapText="1"/>
    </xf>
    <xf numFmtId="0" fontId="246" fillId="0" borderId="0" xfId="10" applyFont="1" applyAlignment="1">
      <alignment horizontal="center" vertical="center" wrapText="1"/>
    </xf>
    <xf numFmtId="0" fontId="246" fillId="0" borderId="0" xfId="10" applyFont="1" applyAlignment="1">
      <alignment vertical="center" wrapText="1"/>
    </xf>
    <xf numFmtId="0" fontId="134" fillId="0" borderId="1" xfId="10" applyFont="1" applyBorder="1" applyAlignment="1">
      <alignment horizontal="center" vertical="center" wrapText="1"/>
    </xf>
    <xf numFmtId="9" fontId="134" fillId="0" borderId="1" xfId="10" applyNumberFormat="1" applyFont="1" applyBorder="1" applyAlignment="1">
      <alignment horizontal="center" vertical="center" wrapText="1"/>
    </xf>
    <xf numFmtId="10" fontId="246" fillId="0" borderId="0" xfId="10" applyNumberFormat="1" applyFont="1" applyAlignment="1">
      <alignment horizontal="center" vertical="center" wrapText="1"/>
    </xf>
    <xf numFmtId="178" fontId="134" fillId="0" borderId="1" xfId="10" applyNumberFormat="1" applyFont="1" applyBorder="1" applyAlignment="1">
      <alignment horizontal="center" vertical="center" wrapText="1"/>
    </xf>
    <xf numFmtId="0" fontId="282" fillId="0" borderId="0" xfId="10" applyFont="1" applyAlignment="1">
      <alignment horizontal="center" vertical="center" wrapText="1"/>
    </xf>
    <xf numFmtId="0" fontId="246" fillId="0" borderId="1" xfId="10" applyFont="1" applyBorder="1" applyAlignment="1">
      <alignment horizontal="center" vertical="center" wrapText="1"/>
    </xf>
    <xf numFmtId="0" fontId="246" fillId="0" borderId="0" xfId="10" applyFont="1" applyAlignment="1">
      <alignment horizontal="left" vertical="center" wrapText="1"/>
    </xf>
    <xf numFmtId="179" fontId="246" fillId="0" borderId="0" xfId="10" applyNumberFormat="1" applyFont="1" applyAlignment="1">
      <alignment vertical="center" wrapText="1"/>
    </xf>
    <xf numFmtId="178" fontId="95" fillId="0" borderId="0" xfId="10" applyNumberFormat="1" applyAlignment="1">
      <alignment vertical="center" wrapText="1"/>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24" xfId="0" applyFont="1" applyFill="1" applyBorder="1" applyAlignment="1" applyProtection="1">
      <alignment horizontal="center" vertical="center" wrapText="1"/>
      <protection locked="0"/>
    </xf>
    <xf numFmtId="0" fontId="94" fillId="0" borderId="54"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136" fillId="0" borderId="1" xfId="0" applyFont="1" applyBorder="1" applyAlignment="1">
      <alignment horizontal="center" vertical="center"/>
    </xf>
    <xf numFmtId="0" fontId="136" fillId="0" borderId="1" xfId="0" applyFont="1" applyBorder="1" applyAlignment="1">
      <alignment horizontal="center" vertical="center" wrapText="1"/>
    </xf>
    <xf numFmtId="0" fontId="122" fillId="0" borderId="1" xfId="0" applyFont="1" applyBorder="1" applyAlignment="1">
      <alignment horizontal="center" vertical="center"/>
    </xf>
    <xf numFmtId="0" fontId="122" fillId="0" borderId="1" xfId="0" applyFont="1" applyBorder="1" applyAlignment="1">
      <alignment horizontal="center" vertical="center" wrapText="1"/>
    </xf>
    <xf numFmtId="0" fontId="114" fillId="0" borderId="1" xfId="0" applyFont="1" applyBorder="1" applyAlignment="1">
      <alignment horizontal="right" vertical="center"/>
    </xf>
    <xf numFmtId="0" fontId="269" fillId="5" borderId="1" xfId="10" applyFont="1" applyFill="1" applyBorder="1">
      <alignment vertical="center"/>
    </xf>
    <xf numFmtId="2" fontId="114" fillId="0" borderId="1" xfId="0" applyNumberFormat="1" applyFont="1" applyBorder="1" applyAlignment="1">
      <alignment horizontal="right" vertical="center"/>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94" fillId="0" borderId="44"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114" fillId="0" borderId="1" xfId="0" applyFont="1" applyBorder="1" applyAlignment="1">
      <alignment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44" fillId="6" borderId="1"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112" fillId="0" borderId="0" xfId="10" applyFont="1" applyAlignment="1">
      <alignment horizontal="center" vertical="center" wrapText="1"/>
    </xf>
    <xf numFmtId="0" fontId="95" fillId="0" borderId="1" xfId="10" applyBorder="1" applyAlignment="1">
      <alignment horizontal="center" vertical="center" wrapTex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3"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0" fontId="110" fillId="0" borderId="1" xfId="10" applyFont="1" applyBorder="1" applyAlignment="1">
      <alignment horizontal="left" vertical="center" wrapText="1" shrinkToFit="1"/>
    </xf>
    <xf numFmtId="0" fontId="110" fillId="0" borderId="46" xfId="10" applyFont="1" applyBorder="1" applyAlignment="1">
      <alignment horizontal="center" vertical="center" wrapText="1" shrinkToFit="1"/>
    </xf>
    <xf numFmtId="0" fontId="110" fillId="0" borderId="36" xfId="10" applyFont="1" applyBorder="1" applyAlignment="1">
      <alignment horizontal="center" vertical="center" wrapText="1" shrinkToFit="1"/>
    </xf>
    <xf numFmtId="0" fontId="110" fillId="0" borderId="22" xfId="10" applyFont="1" applyBorder="1" applyAlignment="1">
      <alignment horizontal="center" vertical="center" wrapText="1" shrinkToFit="1"/>
    </xf>
    <xf numFmtId="0" fontId="110" fillId="0" borderId="58" xfId="10" applyFont="1" applyBorder="1" applyAlignment="1">
      <alignment horizontal="center" vertical="center" wrapText="1" shrinkToFit="1"/>
    </xf>
    <xf numFmtId="0" fontId="110" fillId="0" borderId="0" xfId="10" applyFont="1" applyAlignment="1">
      <alignment horizontal="center" vertical="center" wrapText="1" shrinkToFit="1"/>
    </xf>
    <xf numFmtId="0" fontId="110" fillId="0" borderId="35" xfId="10" applyFont="1" applyBorder="1" applyAlignment="1">
      <alignment horizontal="center" vertical="center" wrapText="1" shrinkToFit="1"/>
    </xf>
    <xf numFmtId="0" fontId="110" fillId="0" borderId="4" xfId="10" applyFont="1" applyBorder="1" applyAlignment="1">
      <alignment horizontal="center" vertical="center" wrapText="1" shrinkToFit="1"/>
    </xf>
    <xf numFmtId="0" fontId="110" fillId="0" borderId="60" xfId="10" applyFont="1" applyBorder="1" applyAlignment="1">
      <alignment horizontal="center" vertical="center" wrapText="1" shrinkToFit="1"/>
    </xf>
    <xf numFmtId="0" fontId="110" fillId="0" borderId="7" xfId="10" applyFont="1" applyBorder="1" applyAlignment="1">
      <alignment horizontal="center" vertical="center" wrapText="1" shrinkToFit="1"/>
    </xf>
    <xf numFmtId="0" fontId="95" fillId="0" borderId="1" xfId="10" applyBorder="1" applyAlignment="1">
      <alignment horizontal="center" vertical="center" wrapText="1" shrinkToFit="1"/>
    </xf>
    <xf numFmtId="181" fontId="110" fillId="0" borderId="1" xfId="10" applyNumberFormat="1" applyFont="1" applyBorder="1" applyAlignment="1">
      <alignment horizontal="center" vertical="center" wrapText="1" shrinkToFit="1"/>
    </xf>
    <xf numFmtId="180" fontId="110" fillId="0" borderId="5" xfId="10" applyNumberFormat="1" applyFont="1" applyBorder="1" applyAlignment="1">
      <alignment horizontal="right" vertical="center" wrapText="1" shrinkToFit="1"/>
    </xf>
    <xf numFmtId="180" fontId="110" fillId="0" borderId="54" xfId="10" applyNumberFormat="1" applyFont="1" applyBorder="1" applyAlignment="1">
      <alignment horizontal="right" vertical="center" wrapText="1" shrinkToFit="1"/>
    </xf>
    <xf numFmtId="0" fontId="110" fillId="0" borderId="54" xfId="10" applyFont="1" applyBorder="1" applyAlignment="1">
      <alignment horizontal="left" vertical="center" wrapText="1" shrinkToFit="1"/>
    </xf>
    <xf numFmtId="0" fontId="110" fillId="0" borderId="3" xfId="10" applyFont="1" applyBorder="1" applyAlignment="1">
      <alignment horizontal="left" vertical="center" wrapText="1" shrinkToFit="1"/>
    </xf>
    <xf numFmtId="0" fontId="110" fillId="0" borderId="5" xfId="10" applyFont="1" applyBorder="1" applyAlignment="1">
      <alignment horizontal="right" vertical="center" wrapText="1" shrinkToFit="1"/>
    </xf>
    <xf numFmtId="0" fontId="110" fillId="0" borderId="54" xfId="10" applyFont="1" applyBorder="1" applyAlignment="1">
      <alignment horizontal="right" vertical="center" wrapText="1" shrinkToFit="1"/>
    </xf>
    <xf numFmtId="10" fontId="110" fillId="0" borderId="54" xfId="10" applyNumberFormat="1" applyFont="1" applyBorder="1" applyAlignment="1">
      <alignment horizontal="left" vertical="center" wrapText="1" shrinkToFit="1"/>
    </xf>
    <xf numFmtId="10" fontId="110" fillId="0" borderId="3" xfId="10" applyNumberFormat="1" applyFont="1" applyBorder="1" applyAlignment="1">
      <alignment horizontal="left" vertical="center" wrapText="1" shrinkToFit="1"/>
    </xf>
    <xf numFmtId="9" fontId="110" fillId="0" borderId="13" xfId="10" applyNumberFormat="1" applyFont="1" applyBorder="1" applyAlignment="1">
      <alignment horizontal="left" vertical="center" wrapText="1" shrinkToFit="1"/>
    </xf>
    <xf numFmtId="9" fontId="110" fillId="0" borderId="2" xfId="10" applyNumberFormat="1" applyFont="1" applyBorder="1" applyAlignment="1">
      <alignment horizontal="left" vertical="center" wrapText="1" shrinkToFit="1"/>
    </xf>
    <xf numFmtId="9" fontId="110" fillId="0" borderId="1" xfId="10" applyNumberFormat="1" applyFont="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182" fontId="110" fillId="0" borderId="1" xfId="10" applyNumberFormat="1" applyFont="1" applyBorder="1" applyAlignment="1">
      <alignment horizontal="center" vertical="center" wrapText="1" shrinkToFit="1"/>
    </xf>
    <xf numFmtId="179" fontId="110" fillId="0" borderId="46" xfId="10" applyNumberFormat="1" applyFont="1" applyBorder="1" applyAlignment="1">
      <alignment horizontal="center" vertical="center" wrapText="1" shrinkToFit="1"/>
    </xf>
    <xf numFmtId="179" fontId="110" fillId="0" borderId="36" xfId="10" applyNumberFormat="1" applyFont="1" applyBorder="1" applyAlignment="1">
      <alignment horizontal="center" vertical="center" wrapText="1" shrinkToFit="1"/>
    </xf>
    <xf numFmtId="179" fontId="110" fillId="0" borderId="22" xfId="10" applyNumberFormat="1" applyFont="1" applyBorder="1" applyAlignment="1">
      <alignment horizontal="center" vertical="center" wrapText="1" shrinkToFit="1"/>
    </xf>
    <xf numFmtId="179" fontId="110" fillId="0" borderId="4" xfId="10" applyNumberFormat="1" applyFont="1" applyBorder="1" applyAlignment="1">
      <alignment horizontal="center" vertical="center" wrapText="1" shrinkToFit="1"/>
    </xf>
    <xf numFmtId="179" fontId="110" fillId="0" borderId="60" xfId="10" applyNumberFormat="1" applyFont="1" applyBorder="1" applyAlignment="1">
      <alignment horizontal="center" vertical="center" wrapText="1" shrinkToFit="1"/>
    </xf>
    <xf numFmtId="179" fontId="110" fillId="0" borderId="7" xfId="10" applyNumberFormat="1" applyFont="1" applyBorder="1" applyAlignment="1">
      <alignment horizontal="center" vertical="center" wrapText="1" shrinkToFit="1"/>
    </xf>
    <xf numFmtId="179" fontId="134" fillId="0" borderId="1" xfId="10" applyNumberFormat="1" applyFont="1" applyBorder="1" applyAlignment="1">
      <alignment horizontal="center" vertical="center" wrapText="1"/>
    </xf>
    <xf numFmtId="0" fontId="279" fillId="23" borderId="0" xfId="10" applyFont="1" applyFill="1" applyAlignment="1">
      <alignment horizontal="center" vertical="center" wrapText="1"/>
    </xf>
    <xf numFmtId="0" fontId="134" fillId="0" borderId="1" xfId="10" applyFont="1" applyBorder="1" applyAlignment="1">
      <alignment horizontal="center" vertical="center" wrapText="1"/>
    </xf>
    <xf numFmtId="178" fontId="134" fillId="0" borderId="1" xfId="10" applyNumberFormat="1" applyFont="1" applyBorder="1" applyAlignment="1">
      <alignment horizontal="center"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76" fontId="160" fillId="0" borderId="1" xfId="12" applyNumberFormat="1" applyFont="1" applyFill="1" applyBorder="1" applyAlignment="1" applyProtection="1">
      <alignment horizontal="left" vertical="center" wrapText="1"/>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5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209550</xdr:colOff>
      <xdr:row>0</xdr:row>
      <xdr:rowOff>0</xdr:rowOff>
    </xdr:from>
    <xdr:to>
      <xdr:col>12</xdr:col>
      <xdr:colOff>465726</xdr:colOff>
      <xdr:row>19</xdr:row>
      <xdr:rowOff>34678</xdr:rowOff>
    </xdr:to>
    <xdr:pic>
      <xdr:nvPicPr>
        <xdr:cNvPr id="2" name="图片 1">
          <a:extLst>
            <a:ext uri="{FF2B5EF4-FFF2-40B4-BE49-F238E27FC236}">
              <a16:creationId xmlns:a16="http://schemas.microsoft.com/office/drawing/2014/main" id="{39351803-D315-4158-BEDF-0EA0D50A669D}"/>
            </a:ext>
          </a:extLst>
        </xdr:cNvPr>
        <xdr:cNvPicPr>
          <a:picLocks noChangeAspect="1"/>
        </xdr:cNvPicPr>
      </xdr:nvPicPr>
      <xdr:blipFill>
        <a:blip xmlns:r="http://schemas.openxmlformats.org/officeDocument/2006/relationships" r:embed="rId1"/>
        <a:stretch>
          <a:fillRect/>
        </a:stretch>
      </xdr:blipFill>
      <xdr:spPr>
        <a:xfrm>
          <a:off x="3057525" y="0"/>
          <a:ext cx="5742576" cy="3292228"/>
        </a:xfrm>
        <a:prstGeom prst="rect">
          <a:avLst/>
        </a:prstGeom>
      </xdr:spPr>
    </xdr:pic>
    <xdr:clientData/>
  </xdr:twoCellAnchor>
  <xdr:twoCellAnchor editAs="oneCell">
    <xdr:from>
      <xdr:col>12</xdr:col>
      <xdr:colOff>600075</xdr:colOff>
      <xdr:row>0</xdr:row>
      <xdr:rowOff>0</xdr:rowOff>
    </xdr:from>
    <xdr:to>
      <xdr:col>21</xdr:col>
      <xdr:colOff>170468</xdr:colOff>
      <xdr:row>23</xdr:row>
      <xdr:rowOff>114749</xdr:rowOff>
    </xdr:to>
    <xdr:pic>
      <xdr:nvPicPr>
        <xdr:cNvPr id="3" name="图片 2">
          <a:extLst>
            <a:ext uri="{FF2B5EF4-FFF2-40B4-BE49-F238E27FC236}">
              <a16:creationId xmlns:a16="http://schemas.microsoft.com/office/drawing/2014/main" id="{5E03EFBF-048C-48B3-AB56-51447B7F3CED}"/>
            </a:ext>
          </a:extLst>
        </xdr:cNvPr>
        <xdr:cNvPicPr>
          <a:picLocks noChangeAspect="1"/>
        </xdr:cNvPicPr>
      </xdr:nvPicPr>
      <xdr:blipFill>
        <a:blip xmlns:r="http://schemas.openxmlformats.org/officeDocument/2006/relationships" r:embed="rId2"/>
        <a:stretch>
          <a:fillRect/>
        </a:stretch>
      </xdr:blipFill>
      <xdr:spPr>
        <a:xfrm>
          <a:off x="8934450" y="0"/>
          <a:ext cx="5742593" cy="4058099"/>
        </a:xfrm>
        <a:prstGeom prst="rect">
          <a:avLst/>
        </a:prstGeom>
      </xdr:spPr>
    </xdr:pic>
    <xdr:clientData/>
  </xdr:twoCellAnchor>
  <xdr:twoCellAnchor editAs="oneCell">
    <xdr:from>
      <xdr:col>0</xdr:col>
      <xdr:colOff>0</xdr:colOff>
      <xdr:row>16</xdr:row>
      <xdr:rowOff>114299</xdr:rowOff>
    </xdr:from>
    <xdr:to>
      <xdr:col>8</xdr:col>
      <xdr:colOff>89165</xdr:colOff>
      <xdr:row>41</xdr:row>
      <xdr:rowOff>132626</xdr:rowOff>
    </xdr:to>
    <xdr:pic>
      <xdr:nvPicPr>
        <xdr:cNvPr id="4" name="图片 3">
          <a:extLst>
            <a:ext uri="{FF2B5EF4-FFF2-40B4-BE49-F238E27FC236}">
              <a16:creationId xmlns:a16="http://schemas.microsoft.com/office/drawing/2014/main" id="{BA6D5794-015B-4C1A-8269-AAF63857AE4F}"/>
            </a:ext>
          </a:extLst>
        </xdr:cNvPr>
        <xdr:cNvPicPr>
          <a:picLocks noChangeAspect="1"/>
        </xdr:cNvPicPr>
      </xdr:nvPicPr>
      <xdr:blipFill>
        <a:blip xmlns:r="http://schemas.openxmlformats.org/officeDocument/2006/relationships" r:embed="rId3"/>
        <a:stretch>
          <a:fillRect/>
        </a:stretch>
      </xdr:blipFill>
      <xdr:spPr>
        <a:xfrm>
          <a:off x="0" y="2857499"/>
          <a:ext cx="5680340" cy="4304577"/>
        </a:xfrm>
        <a:prstGeom prst="rect">
          <a:avLst/>
        </a:prstGeom>
      </xdr:spPr>
    </xdr:pic>
    <xdr:clientData/>
  </xdr:twoCellAnchor>
  <xdr:twoCellAnchor editAs="oneCell">
    <xdr:from>
      <xdr:col>0</xdr:col>
      <xdr:colOff>0</xdr:colOff>
      <xdr:row>41</xdr:row>
      <xdr:rowOff>95249</xdr:rowOff>
    </xdr:from>
    <xdr:to>
      <xdr:col>8</xdr:col>
      <xdr:colOff>290283</xdr:colOff>
      <xdr:row>68</xdr:row>
      <xdr:rowOff>94488</xdr:rowOff>
    </xdr:to>
    <xdr:pic>
      <xdr:nvPicPr>
        <xdr:cNvPr id="5" name="图片 4">
          <a:extLst>
            <a:ext uri="{FF2B5EF4-FFF2-40B4-BE49-F238E27FC236}">
              <a16:creationId xmlns:a16="http://schemas.microsoft.com/office/drawing/2014/main" id="{0741D5B1-6074-4CC2-A559-1B6BA5F149F2}"/>
            </a:ext>
          </a:extLst>
        </xdr:cNvPr>
        <xdr:cNvPicPr>
          <a:picLocks noChangeAspect="1"/>
        </xdr:cNvPicPr>
      </xdr:nvPicPr>
      <xdr:blipFill>
        <a:blip xmlns:r="http://schemas.openxmlformats.org/officeDocument/2006/relationships" r:embed="rId4"/>
        <a:stretch>
          <a:fillRect/>
        </a:stretch>
      </xdr:blipFill>
      <xdr:spPr>
        <a:xfrm>
          <a:off x="0" y="7124699"/>
          <a:ext cx="5881458" cy="4628389"/>
        </a:xfrm>
        <a:prstGeom prst="rect">
          <a:avLst/>
        </a:prstGeom>
      </xdr:spPr>
    </xdr:pic>
    <xdr:clientData/>
  </xdr:twoCellAnchor>
  <xdr:twoCellAnchor editAs="oneCell">
    <xdr:from>
      <xdr:col>0</xdr:col>
      <xdr:colOff>0</xdr:colOff>
      <xdr:row>67</xdr:row>
      <xdr:rowOff>19050</xdr:rowOff>
    </xdr:from>
    <xdr:to>
      <xdr:col>9</xdr:col>
      <xdr:colOff>145298</xdr:colOff>
      <xdr:row>88</xdr:row>
      <xdr:rowOff>66093</xdr:rowOff>
    </xdr:to>
    <xdr:pic>
      <xdr:nvPicPr>
        <xdr:cNvPr id="6" name="图片 5">
          <a:extLst>
            <a:ext uri="{FF2B5EF4-FFF2-40B4-BE49-F238E27FC236}">
              <a16:creationId xmlns:a16="http://schemas.microsoft.com/office/drawing/2014/main" id="{C0C4AAEC-87CB-4FFC-A52C-9656301FFD77}"/>
            </a:ext>
          </a:extLst>
        </xdr:cNvPr>
        <xdr:cNvPicPr>
          <a:picLocks noChangeAspect="1"/>
        </xdr:cNvPicPr>
      </xdr:nvPicPr>
      <xdr:blipFill>
        <a:blip xmlns:r="http://schemas.openxmlformats.org/officeDocument/2006/relationships" r:embed="rId5"/>
        <a:stretch>
          <a:fillRect/>
        </a:stretch>
      </xdr:blipFill>
      <xdr:spPr>
        <a:xfrm>
          <a:off x="0" y="11506200"/>
          <a:ext cx="6422273" cy="3647493"/>
        </a:xfrm>
        <a:prstGeom prst="rect">
          <a:avLst/>
        </a:prstGeom>
      </xdr:spPr>
    </xdr:pic>
    <xdr:clientData/>
  </xdr:twoCellAnchor>
  <xdr:twoCellAnchor editAs="oneCell">
    <xdr:from>
      <xdr:col>9</xdr:col>
      <xdr:colOff>277768</xdr:colOff>
      <xdr:row>69</xdr:row>
      <xdr:rowOff>133350</xdr:rowOff>
    </xdr:from>
    <xdr:to>
      <xdr:col>18</xdr:col>
      <xdr:colOff>399006</xdr:colOff>
      <xdr:row>75</xdr:row>
      <xdr:rowOff>123656</xdr:rowOff>
    </xdr:to>
    <xdr:pic>
      <xdr:nvPicPr>
        <xdr:cNvPr id="7" name="图片 6">
          <a:extLst>
            <a:ext uri="{FF2B5EF4-FFF2-40B4-BE49-F238E27FC236}">
              <a16:creationId xmlns:a16="http://schemas.microsoft.com/office/drawing/2014/main" id="{91E829C9-92C1-4355-B5EC-BBA497B495DA}"/>
            </a:ext>
          </a:extLst>
        </xdr:cNvPr>
        <xdr:cNvPicPr>
          <a:picLocks noChangeAspect="1"/>
        </xdr:cNvPicPr>
      </xdr:nvPicPr>
      <xdr:blipFill>
        <a:blip xmlns:r="http://schemas.openxmlformats.org/officeDocument/2006/relationships" r:embed="rId6"/>
        <a:stretch>
          <a:fillRect/>
        </a:stretch>
      </xdr:blipFill>
      <xdr:spPr>
        <a:xfrm>
          <a:off x="6554743" y="11963400"/>
          <a:ext cx="6293438" cy="1019006"/>
        </a:xfrm>
        <a:prstGeom prst="rect">
          <a:avLst/>
        </a:prstGeom>
      </xdr:spPr>
    </xdr:pic>
    <xdr:clientData/>
  </xdr:twoCellAnchor>
  <xdr:twoCellAnchor editAs="oneCell">
    <xdr:from>
      <xdr:col>7</xdr:col>
      <xdr:colOff>650596</xdr:colOff>
      <xdr:row>39</xdr:row>
      <xdr:rowOff>133350</xdr:rowOff>
    </xdr:from>
    <xdr:to>
      <xdr:col>16</xdr:col>
      <xdr:colOff>351447</xdr:colOff>
      <xdr:row>66</xdr:row>
      <xdr:rowOff>161150</xdr:rowOff>
    </xdr:to>
    <xdr:pic>
      <xdr:nvPicPr>
        <xdr:cNvPr id="8" name="图片 7">
          <a:extLst>
            <a:ext uri="{FF2B5EF4-FFF2-40B4-BE49-F238E27FC236}">
              <a16:creationId xmlns:a16="http://schemas.microsoft.com/office/drawing/2014/main" id="{008B0168-17F2-4ECE-8781-4F0AC9CC8F07}"/>
            </a:ext>
          </a:extLst>
        </xdr:cNvPr>
        <xdr:cNvPicPr>
          <a:picLocks noChangeAspect="1"/>
        </xdr:cNvPicPr>
      </xdr:nvPicPr>
      <xdr:blipFill>
        <a:blip xmlns:r="http://schemas.openxmlformats.org/officeDocument/2006/relationships" r:embed="rId7"/>
        <a:stretch>
          <a:fillRect/>
        </a:stretch>
      </xdr:blipFill>
      <xdr:spPr>
        <a:xfrm>
          <a:off x="5555971" y="6819900"/>
          <a:ext cx="5873051" cy="4656950"/>
        </a:xfrm>
        <a:prstGeom prst="rect">
          <a:avLst/>
        </a:prstGeom>
      </xdr:spPr>
    </xdr:pic>
    <xdr:clientData/>
  </xdr:twoCellAnchor>
  <xdr:twoCellAnchor editAs="oneCell">
    <xdr:from>
      <xdr:col>8</xdr:col>
      <xdr:colOff>180019</xdr:colOff>
      <xdr:row>13</xdr:row>
      <xdr:rowOff>123824</xdr:rowOff>
    </xdr:from>
    <xdr:to>
      <xdr:col>15</xdr:col>
      <xdr:colOff>561006</xdr:colOff>
      <xdr:row>41</xdr:row>
      <xdr:rowOff>141973</xdr:rowOff>
    </xdr:to>
    <xdr:pic>
      <xdr:nvPicPr>
        <xdr:cNvPr id="9" name="图片 8">
          <a:extLst>
            <a:ext uri="{FF2B5EF4-FFF2-40B4-BE49-F238E27FC236}">
              <a16:creationId xmlns:a16="http://schemas.microsoft.com/office/drawing/2014/main" id="{5A7AEC9E-8B81-4749-A369-A85B004A005D}"/>
            </a:ext>
          </a:extLst>
        </xdr:cNvPr>
        <xdr:cNvPicPr>
          <a:picLocks noChangeAspect="1"/>
        </xdr:cNvPicPr>
      </xdr:nvPicPr>
      <xdr:blipFill>
        <a:blip xmlns:r="http://schemas.openxmlformats.org/officeDocument/2006/relationships" r:embed="rId8"/>
        <a:stretch>
          <a:fillRect/>
        </a:stretch>
      </xdr:blipFill>
      <xdr:spPr>
        <a:xfrm>
          <a:off x="5771194" y="2352674"/>
          <a:ext cx="5181587" cy="4818749"/>
        </a:xfrm>
        <a:prstGeom prst="rect">
          <a:avLst/>
        </a:prstGeom>
      </xdr:spPr>
    </xdr:pic>
    <xdr:clientData/>
  </xdr:twoCellAnchor>
  <xdr:twoCellAnchor editAs="oneCell">
    <xdr:from>
      <xdr:col>0</xdr:col>
      <xdr:colOff>42291</xdr:colOff>
      <xdr:row>83</xdr:row>
      <xdr:rowOff>161924</xdr:rowOff>
    </xdr:from>
    <xdr:to>
      <xdr:col>8</xdr:col>
      <xdr:colOff>589180</xdr:colOff>
      <xdr:row>100</xdr:row>
      <xdr:rowOff>46999</xdr:rowOff>
    </xdr:to>
    <xdr:pic>
      <xdr:nvPicPr>
        <xdr:cNvPr id="10" name="图片 9">
          <a:extLst>
            <a:ext uri="{FF2B5EF4-FFF2-40B4-BE49-F238E27FC236}">
              <a16:creationId xmlns:a16="http://schemas.microsoft.com/office/drawing/2014/main" id="{B91A0DB9-966D-454D-8F60-BEBBFAF8EC2C}"/>
            </a:ext>
          </a:extLst>
        </xdr:cNvPr>
        <xdr:cNvPicPr>
          <a:picLocks noChangeAspect="1"/>
        </xdr:cNvPicPr>
      </xdr:nvPicPr>
      <xdr:blipFill>
        <a:blip xmlns:r="http://schemas.openxmlformats.org/officeDocument/2006/relationships" r:embed="rId9"/>
        <a:stretch>
          <a:fillRect/>
        </a:stretch>
      </xdr:blipFill>
      <xdr:spPr>
        <a:xfrm>
          <a:off x="42291" y="14392274"/>
          <a:ext cx="6138064" cy="2799725"/>
        </a:xfrm>
        <a:prstGeom prst="rect">
          <a:avLst/>
        </a:prstGeom>
      </xdr:spPr>
    </xdr:pic>
    <xdr:clientData/>
  </xdr:twoCellAnchor>
  <xdr:twoCellAnchor editAs="oneCell">
    <xdr:from>
      <xdr:col>0</xdr:col>
      <xdr:colOff>47625</xdr:colOff>
      <xdr:row>68</xdr:row>
      <xdr:rowOff>66675</xdr:rowOff>
    </xdr:from>
    <xdr:to>
      <xdr:col>9</xdr:col>
      <xdr:colOff>95941</xdr:colOff>
      <xdr:row>96</xdr:row>
      <xdr:rowOff>84979</xdr:rowOff>
    </xdr:to>
    <xdr:pic>
      <xdr:nvPicPr>
        <xdr:cNvPr id="11" name="图片 10">
          <a:extLst>
            <a:ext uri="{FF2B5EF4-FFF2-40B4-BE49-F238E27FC236}">
              <a16:creationId xmlns:a16="http://schemas.microsoft.com/office/drawing/2014/main" id="{8A640869-6415-4149-914B-026D1A792CFE}"/>
            </a:ext>
          </a:extLst>
        </xdr:cNvPr>
        <xdr:cNvPicPr>
          <a:picLocks noChangeAspect="1"/>
        </xdr:cNvPicPr>
      </xdr:nvPicPr>
      <xdr:blipFill>
        <a:blip xmlns:r="http://schemas.openxmlformats.org/officeDocument/2006/relationships" r:embed="rId10"/>
        <a:stretch>
          <a:fillRect/>
        </a:stretch>
      </xdr:blipFill>
      <xdr:spPr>
        <a:xfrm>
          <a:off x="47625" y="11725275"/>
          <a:ext cx="6325291" cy="4818904"/>
        </a:xfrm>
        <a:prstGeom prst="rect">
          <a:avLst/>
        </a:prstGeom>
      </xdr:spPr>
    </xdr:pic>
    <xdr:clientData/>
  </xdr:twoCellAnchor>
  <xdr:twoCellAnchor editAs="oneCell">
    <xdr:from>
      <xdr:col>9</xdr:col>
      <xdr:colOff>104774</xdr:colOff>
      <xdr:row>74</xdr:row>
      <xdr:rowOff>112961</xdr:rowOff>
    </xdr:from>
    <xdr:to>
      <xdr:col>22</xdr:col>
      <xdr:colOff>236777</xdr:colOff>
      <xdr:row>100</xdr:row>
      <xdr:rowOff>46971</xdr:rowOff>
    </xdr:to>
    <xdr:pic>
      <xdr:nvPicPr>
        <xdr:cNvPr id="12" name="图片 11">
          <a:extLst>
            <a:ext uri="{FF2B5EF4-FFF2-40B4-BE49-F238E27FC236}">
              <a16:creationId xmlns:a16="http://schemas.microsoft.com/office/drawing/2014/main" id="{FAA2F7D0-8B83-4FA2-BF76-622B895BD335}"/>
            </a:ext>
          </a:extLst>
        </xdr:cNvPr>
        <xdr:cNvPicPr>
          <a:picLocks noChangeAspect="1"/>
        </xdr:cNvPicPr>
      </xdr:nvPicPr>
      <xdr:blipFill>
        <a:blip xmlns:r="http://schemas.openxmlformats.org/officeDocument/2006/relationships" r:embed="rId11"/>
        <a:stretch>
          <a:fillRect/>
        </a:stretch>
      </xdr:blipFill>
      <xdr:spPr>
        <a:xfrm>
          <a:off x="6381749" y="12800261"/>
          <a:ext cx="9047403" cy="4391710"/>
        </a:xfrm>
        <a:prstGeom prst="rect">
          <a:avLst/>
        </a:prstGeom>
      </xdr:spPr>
    </xdr:pic>
    <xdr:clientData/>
  </xdr:twoCellAnchor>
  <xdr:twoCellAnchor editAs="oneCell">
    <xdr:from>
      <xdr:col>0</xdr:col>
      <xdr:colOff>0</xdr:colOff>
      <xdr:row>76</xdr:row>
      <xdr:rowOff>85725</xdr:rowOff>
    </xdr:from>
    <xdr:to>
      <xdr:col>10</xdr:col>
      <xdr:colOff>260214</xdr:colOff>
      <xdr:row>99</xdr:row>
      <xdr:rowOff>56604</xdr:rowOff>
    </xdr:to>
    <xdr:pic>
      <xdr:nvPicPr>
        <xdr:cNvPr id="13" name="图片 12">
          <a:extLst>
            <a:ext uri="{FF2B5EF4-FFF2-40B4-BE49-F238E27FC236}">
              <a16:creationId xmlns:a16="http://schemas.microsoft.com/office/drawing/2014/main" id="{41B20695-F347-40AF-AA2E-868D0DA807CE}"/>
            </a:ext>
          </a:extLst>
        </xdr:cNvPr>
        <xdr:cNvPicPr>
          <a:picLocks noChangeAspect="1"/>
        </xdr:cNvPicPr>
      </xdr:nvPicPr>
      <xdr:blipFill>
        <a:blip xmlns:r="http://schemas.openxmlformats.org/officeDocument/2006/relationships" r:embed="rId12"/>
        <a:stretch>
          <a:fillRect/>
        </a:stretch>
      </xdr:blipFill>
      <xdr:spPr>
        <a:xfrm>
          <a:off x="0" y="13115925"/>
          <a:ext cx="7222989" cy="3914229"/>
        </a:xfrm>
        <a:prstGeom prst="rect">
          <a:avLst/>
        </a:prstGeom>
      </xdr:spPr>
    </xdr:pic>
    <xdr:clientData/>
  </xdr:twoCellAnchor>
  <xdr:twoCellAnchor editAs="oneCell">
    <xdr:from>
      <xdr:col>0</xdr:col>
      <xdr:colOff>0</xdr:colOff>
      <xdr:row>100</xdr:row>
      <xdr:rowOff>161925</xdr:rowOff>
    </xdr:from>
    <xdr:to>
      <xdr:col>8</xdr:col>
      <xdr:colOff>170730</xdr:colOff>
      <xdr:row>106</xdr:row>
      <xdr:rowOff>171320</xdr:rowOff>
    </xdr:to>
    <xdr:pic>
      <xdr:nvPicPr>
        <xdr:cNvPr id="14" name="图片 13">
          <a:extLst>
            <a:ext uri="{FF2B5EF4-FFF2-40B4-BE49-F238E27FC236}">
              <a16:creationId xmlns:a16="http://schemas.microsoft.com/office/drawing/2014/main" id="{B0BAB956-39FC-4842-A9FD-DE43E16B9D20}"/>
            </a:ext>
          </a:extLst>
        </xdr:cNvPr>
        <xdr:cNvPicPr>
          <a:picLocks noChangeAspect="1"/>
        </xdr:cNvPicPr>
      </xdr:nvPicPr>
      <xdr:blipFill>
        <a:blip xmlns:r="http://schemas.openxmlformats.org/officeDocument/2006/relationships" r:embed="rId13"/>
        <a:stretch>
          <a:fillRect/>
        </a:stretch>
      </xdr:blipFill>
      <xdr:spPr>
        <a:xfrm>
          <a:off x="0" y="17306925"/>
          <a:ext cx="5761905" cy="1038095"/>
        </a:xfrm>
        <a:prstGeom prst="rect">
          <a:avLst/>
        </a:prstGeom>
      </xdr:spPr>
    </xdr:pic>
    <xdr:clientData/>
  </xdr:twoCellAnchor>
  <xdr:twoCellAnchor editAs="oneCell">
    <xdr:from>
      <xdr:col>0</xdr:col>
      <xdr:colOff>0</xdr:colOff>
      <xdr:row>106</xdr:row>
      <xdr:rowOff>123825</xdr:rowOff>
    </xdr:from>
    <xdr:to>
      <xdr:col>8</xdr:col>
      <xdr:colOff>37396</xdr:colOff>
      <xdr:row>113</xdr:row>
      <xdr:rowOff>76056</xdr:rowOff>
    </xdr:to>
    <xdr:pic>
      <xdr:nvPicPr>
        <xdr:cNvPr id="15" name="图片 14">
          <a:extLst>
            <a:ext uri="{FF2B5EF4-FFF2-40B4-BE49-F238E27FC236}">
              <a16:creationId xmlns:a16="http://schemas.microsoft.com/office/drawing/2014/main" id="{CF36BB31-54B1-401B-A646-ED75F0579BAA}"/>
            </a:ext>
          </a:extLst>
        </xdr:cNvPr>
        <xdr:cNvPicPr>
          <a:picLocks noChangeAspect="1"/>
        </xdr:cNvPicPr>
      </xdr:nvPicPr>
      <xdr:blipFill>
        <a:blip xmlns:r="http://schemas.openxmlformats.org/officeDocument/2006/relationships" r:embed="rId14"/>
        <a:stretch>
          <a:fillRect/>
        </a:stretch>
      </xdr:blipFill>
      <xdr:spPr>
        <a:xfrm>
          <a:off x="0" y="18297525"/>
          <a:ext cx="5628571" cy="1152381"/>
        </a:xfrm>
        <a:prstGeom prst="rect">
          <a:avLst/>
        </a:prstGeom>
      </xdr:spPr>
    </xdr:pic>
    <xdr:clientData/>
  </xdr:twoCellAnchor>
  <xdr:twoCellAnchor editAs="oneCell">
    <xdr:from>
      <xdr:col>0</xdr:col>
      <xdr:colOff>0</xdr:colOff>
      <xdr:row>113</xdr:row>
      <xdr:rowOff>28575</xdr:rowOff>
    </xdr:from>
    <xdr:to>
      <xdr:col>8</xdr:col>
      <xdr:colOff>376068</xdr:colOff>
      <xdr:row>120</xdr:row>
      <xdr:rowOff>56975</xdr:rowOff>
    </xdr:to>
    <xdr:pic>
      <xdr:nvPicPr>
        <xdr:cNvPr id="16" name="图片 15">
          <a:extLst>
            <a:ext uri="{FF2B5EF4-FFF2-40B4-BE49-F238E27FC236}">
              <a16:creationId xmlns:a16="http://schemas.microsoft.com/office/drawing/2014/main" id="{FDE9071C-41D8-4C3F-BAAE-16656C6CD66C}"/>
            </a:ext>
          </a:extLst>
        </xdr:cNvPr>
        <xdr:cNvPicPr>
          <a:picLocks noChangeAspect="1"/>
        </xdr:cNvPicPr>
      </xdr:nvPicPr>
      <xdr:blipFill>
        <a:blip xmlns:r="http://schemas.openxmlformats.org/officeDocument/2006/relationships" r:embed="rId15"/>
        <a:stretch>
          <a:fillRect/>
        </a:stretch>
      </xdr:blipFill>
      <xdr:spPr>
        <a:xfrm>
          <a:off x="0" y="19402425"/>
          <a:ext cx="5967243" cy="1228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696;/&#26700;&#38754;/&#39318;&#24320;&#26395;&#20140;/&#27979;&#31639;--&#26395;&#20140;&#39318;&#24320;&#24191;&#22330;&#21150;&#20844;4.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696;/&#26700;&#38754;/&#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面积表"/>
      <sheetName val="面积明细表"/>
      <sheetName val="典型户型修正"/>
      <sheetName val="结果一览表-首开广场"/>
      <sheetName val="比较法-商业铂郡"/>
      <sheetName val="比较法-商业铂郡租金"/>
      <sheetName val="比较法-办公租金"/>
      <sheetName val="结果一览表-商业"/>
      <sheetName val="假设开发法"/>
      <sheetName val="收益法 (元)"/>
      <sheetName val="收益法（汇总）"/>
      <sheetName val="酒店收入计算"/>
      <sheetName val="比较法-住宅"/>
      <sheetName val="比较法-商业 (2)"/>
      <sheetName val="比较法-商业"/>
      <sheetName val="比较法-办公"/>
      <sheetName val="比较法-工业"/>
      <sheetName val="比较法-车位"/>
      <sheetName val="结果一览表-库房"/>
      <sheetName val="成本法"/>
      <sheetName val="土地比较法-住宅、综合"/>
      <sheetName val="土地比较法-工业"/>
      <sheetName val="成本法 (元)"/>
      <sheetName val="基准地价修正"/>
      <sheetName val="案例"/>
      <sheetName val="修正"/>
      <sheetName val="容积率修正"/>
      <sheetName val="基准地价（汇总）"/>
      <sheetName val="比较法-仓储"/>
      <sheetName val="地价"/>
      <sheetName val="成本法（废）"/>
      <sheetName val="区片价"/>
      <sheetName val="因素修正幅度"/>
      <sheetName val="存贷款利率"/>
      <sheetName val="区片价（范围）"/>
      <sheetName val="收益法"/>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ow r="15">
          <cell r="E15">
            <v>21.38</v>
          </cell>
        </row>
      </sheetData>
      <sheetData sheetId="11" refreshError="1"/>
      <sheetData sheetId="12" refreshError="1"/>
      <sheetData sheetId="13">
        <row r="17">
          <cell r="C17" t="str">
            <v>项目类型</v>
          </cell>
        </row>
        <row r="19">
          <cell r="C19" t="str">
            <v>商业</v>
          </cell>
        </row>
        <row r="20">
          <cell r="C20" t="str">
            <v>库房</v>
          </cell>
        </row>
        <row r="21">
          <cell r="C21" t="str">
            <v>商业铂郡</v>
          </cell>
        </row>
      </sheetData>
      <sheetData sheetId="14">
        <row r="20">
          <cell r="B20">
            <v>1</v>
          </cell>
        </row>
        <row r="28">
          <cell r="B28">
            <v>200</v>
          </cell>
        </row>
        <row r="34">
          <cell r="B34">
            <v>0</v>
          </cell>
        </row>
        <row r="36">
          <cell r="B36">
            <v>1.4999999999999999E-2</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ow r="5">
          <cell r="B5" t="str">
            <v>楼层</v>
          </cell>
          <cell r="C5" t="str">
            <v>中楼层</v>
          </cell>
          <cell r="D5" t="str">
            <v>高楼层</v>
          </cell>
          <cell r="T5">
            <v>20</v>
          </cell>
        </row>
        <row r="7">
          <cell r="T7">
            <v>2</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1" refreshError="1"/>
      <sheetData sheetId="32">
        <row r="61">
          <cell r="A61" t="str">
            <v>交易情况</v>
          </cell>
          <cell r="C61" t="str">
            <v>正常</v>
          </cell>
          <cell r="D61" t="str">
            <v>正常（挂牌）</v>
          </cell>
        </row>
        <row r="63">
          <cell r="B63" t="str">
            <v>用途</v>
          </cell>
          <cell r="C63" t="str">
            <v>商业</v>
          </cell>
        </row>
        <row r="86">
          <cell r="B86" t="str">
            <v>临街状况</v>
          </cell>
          <cell r="C86" t="str">
            <v>高速路</v>
          </cell>
          <cell r="D86" t="str">
            <v>快速路</v>
          </cell>
          <cell r="E86" t="str">
            <v>城市主干道</v>
          </cell>
          <cell r="F86" t="str">
            <v>城市次干道</v>
          </cell>
          <cell r="G86" t="str">
            <v>城市支路</v>
          </cell>
        </row>
        <row r="90">
          <cell r="B90" t="str">
            <v>人流量</v>
          </cell>
          <cell r="C90" t="str">
            <v>较大</v>
          </cell>
          <cell r="D90" t="str">
            <v>一般</v>
          </cell>
        </row>
        <row r="92">
          <cell r="B92" t="str">
            <v>楼层</v>
          </cell>
          <cell r="C92" t="str">
            <v>1层</v>
          </cell>
        </row>
        <row r="100">
          <cell r="B100" t="str">
            <v>商业类型</v>
          </cell>
          <cell r="C100" t="str">
            <v>住宅底商</v>
          </cell>
          <cell r="D100" t="str">
            <v>办公楼底商</v>
          </cell>
        </row>
        <row r="105">
          <cell r="B105" t="str">
            <v>建筑结构</v>
          </cell>
          <cell r="C105" t="str">
            <v>钢混</v>
          </cell>
        </row>
        <row r="107">
          <cell r="B107" t="str">
            <v>公共部分装修</v>
          </cell>
          <cell r="C107" t="str">
            <v>精装修</v>
          </cell>
        </row>
        <row r="112">
          <cell r="B112" t="str">
            <v>市政基础设施</v>
          </cell>
          <cell r="C112" t="str">
            <v>七通</v>
          </cell>
          <cell r="D112" t="str">
            <v>六通</v>
          </cell>
          <cell r="E112" t="str">
            <v>五通</v>
          </cell>
          <cell r="F112" t="str">
            <v>四通</v>
          </cell>
          <cell r="G112" t="str">
            <v>三通</v>
          </cell>
        </row>
        <row r="114">
          <cell r="B114" t="str">
            <v>业态</v>
          </cell>
        </row>
        <row r="116">
          <cell r="B116" t="str">
            <v>层高</v>
          </cell>
          <cell r="C116" t="str">
            <v>标准层高</v>
          </cell>
        </row>
        <row r="120">
          <cell r="B120" t="str">
            <v>进深比</v>
          </cell>
        </row>
        <row r="122">
          <cell r="B122" t="str">
            <v>内部装修</v>
          </cell>
          <cell r="C122" t="str">
            <v>精装修</v>
          </cell>
          <cell r="D122" t="str">
            <v>普通装修</v>
          </cell>
          <cell r="E122" t="str">
            <v>一般装修</v>
          </cell>
          <cell r="F122" t="str">
            <v>毛坯</v>
          </cell>
        </row>
      </sheetData>
      <sheetData sheetId="33">
        <row r="62">
          <cell r="A62" t="str">
            <v>交易情况</v>
          </cell>
          <cell r="C62" t="str">
            <v>正常</v>
          </cell>
        </row>
        <row r="64">
          <cell r="B64" t="str">
            <v>用途</v>
          </cell>
          <cell r="C64" t="str">
            <v>办公</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4">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5">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6" refreshError="1"/>
      <sheetData sheetId="37" refreshError="1"/>
      <sheetData sheetId="38">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9">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0" refreshError="1"/>
      <sheetData sheetId="41" refreshError="1"/>
      <sheetData sheetId="42" refreshError="1"/>
      <sheetData sheetId="4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4" refreshError="1"/>
      <sheetData sheetId="45" refreshError="1"/>
      <sheetData sheetId="46">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估价对象为北京市房地产，为所有。根据《国有土地使用证》[]，估价对象（分摊）出让国有建设用地使用权面积为0平方米，建筑面积为9265.11平方米。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估价对象为北京市房地产,属开发建设的，该项目尚在开发建设中。根据《国有土地使用证》[]，估价对象（分摊）出让国有建设用地使用权面积为0平方米，规划建筑面积为9265.11平方米。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2023年4月17日（评估专业人员实地查勘之日）</v>
      </c>
    </row>
    <row r="13" spans="1:2" s="1203" customFormat="1">
      <c r="A13" s="1201" t="s">
        <v>529</v>
      </c>
      <c r="B13" s="1202" t="str">
        <f>'预评函-1'!A18</f>
        <v>本次估价的“房地产价值”是指在正常市场情况下，在价值时点2023年4月17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本次评估采用的主估价方法为基准地价系数修正法和基准地价系数修正法。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9265.11</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543" t="str">
        <f>项目基本情况!B1</f>
        <v>北京市房地产市场价值预评估</v>
      </c>
      <c r="C37" s="3543"/>
      <c r="D37" s="3543"/>
      <c r="E37" s="3543"/>
      <c r="F37" s="3543"/>
      <c r="G37" s="3543"/>
      <c r="H37" s="3543"/>
      <c r="I37" s="354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受贵公司委托，我公司对北京市房地产市场价值进行了预评估。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估价对象为北京市房地产，为所有。根据《国有土地使用证》[]，估价对象（分摊）出让国有建设用地使用权面积为0平方米，建筑面积为9265.11平方米。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估价对象为北京市房地产,属开发建设的，该项目尚在开发建设中。根据《国有土地使用证》[]，估价对象（分摊）出让国有建设用地使用权面积为0平方米，规划建筑面积为9265.11平方米。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2023年4月17日（评估专业人员实地查勘之日）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17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本次评估采用的主估价方法为基准地价系数修正法和基准地价系数修正法。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54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48"/>
      <c r="C2" s="3548"/>
      <c r="D2" s="3548"/>
      <c r="E2" s="3548"/>
    </row>
    <row r="3" spans="1:5" ht="18">
      <c r="A3" s="3549" t="str">
        <f>IF(项目基本情况!B9="房地产市场价值","估价结果一览表（市场价值不需“结果表-1”）","估价结果一览表")</f>
        <v>估价结果一览表（市场价值不需“结果表-1”）</v>
      </c>
      <c r="B3" s="3549"/>
      <c r="C3" s="3549"/>
      <c r="D3" s="3549"/>
      <c r="E3" s="3549"/>
    </row>
    <row r="4" spans="1:5" ht="19.5" thickBot="1">
      <c r="A4" s="1493"/>
      <c r="B4" s="3547" t="s">
        <v>917</v>
      </c>
      <c r="C4" s="3547"/>
      <c r="D4" s="3547"/>
      <c r="E4" s="1493"/>
    </row>
    <row r="5" spans="1:5" ht="16.5" thickTop="1">
      <c r="A5" s="1491"/>
      <c r="B5" s="3545" t="s">
        <v>909</v>
      </c>
      <c r="C5" s="1494" t="s">
        <v>910</v>
      </c>
      <c r="D5" s="850" t="e">
        <f ca="1">结果表!H101</f>
        <v>#REF!</v>
      </c>
      <c r="E5" s="1491"/>
    </row>
    <row r="6" spans="1:5" ht="15.75">
      <c r="A6" s="1491"/>
      <c r="B6" s="3545"/>
      <c r="C6" s="1494" t="s">
        <v>911</v>
      </c>
      <c r="D6" s="850" t="e">
        <f ca="1">NUMBERSTRING(INT(D5*10000),2)&amp;"元整"</f>
        <v>#REF!</v>
      </c>
      <c r="E6" s="1491"/>
    </row>
    <row r="7" spans="1:5" ht="15.75">
      <c r="A7" s="1491"/>
      <c r="B7" s="3550"/>
      <c r="C7" s="1495" t="s">
        <v>912</v>
      </c>
      <c r="D7" s="851" t="e">
        <f ca="1">结果表!H102</f>
        <v>#REF!</v>
      </c>
      <c r="E7" s="1491"/>
    </row>
    <row r="8" spans="1:5" ht="15.75">
      <c r="A8" s="1491"/>
      <c r="B8" s="3551" t="str">
        <f>结果表!E103</f>
        <v>2.估价师知悉的法定优先受偿款</v>
      </c>
      <c r="C8" s="1496" t="s">
        <v>913</v>
      </c>
      <c r="D8" s="851">
        <f>结果表!H103</f>
        <v>0</v>
      </c>
      <c r="E8" s="1491"/>
    </row>
    <row r="9" spans="1:5" ht="15.75">
      <c r="A9" s="1491"/>
      <c r="B9" s="355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544" t="str">
        <f>结果表!E107</f>
        <v>3.房地产抵押价值</v>
      </c>
      <c r="C13" s="1499" t="s">
        <v>910</v>
      </c>
      <c r="D13" s="853" t="e">
        <f ca="1">结果表!H107</f>
        <v>#REF!</v>
      </c>
      <c r="E13" s="1491"/>
    </row>
    <row r="14" spans="1:5" ht="15.75">
      <c r="A14" s="1491"/>
      <c r="B14" s="3545"/>
      <c r="C14" s="1494" t="s">
        <v>911</v>
      </c>
      <c r="D14" s="850" t="e">
        <f ca="1">NUMBERSTRING(INT(D13*10000),2)&amp;"元整"</f>
        <v>#REF!</v>
      </c>
      <c r="E14" s="1491"/>
    </row>
    <row r="15" spans="1:5" ht="15">
      <c r="A15" s="1491"/>
      <c r="B15" s="3550"/>
      <c r="C15" s="1495" t="s">
        <v>921</v>
      </c>
      <c r="D15" s="859" t="e">
        <f ca="1">结果表!H108</f>
        <v>#REF!</v>
      </c>
      <c r="E15" s="1491"/>
    </row>
    <row r="16" spans="1:5" ht="15">
      <c r="A16" s="1491"/>
      <c r="B16" s="3551" t="str">
        <f>结果表!E109</f>
        <v>——</v>
      </c>
      <c r="C16" s="1499" t="s">
        <v>922</v>
      </c>
      <c r="D16" s="1500" t="str">
        <f>结果表!H109</f>
        <v>——</v>
      </c>
      <c r="E16" s="1491"/>
    </row>
    <row r="17" spans="1:5" ht="15.75">
      <c r="A17" s="1491"/>
      <c r="B17" s="3552"/>
      <c r="C17" s="1494" t="s">
        <v>923</v>
      </c>
      <c r="D17" s="850" t="e">
        <f>NUMBERSTRING(INT(D16*10000),2)&amp;"元整"</f>
        <v>#VALUE!</v>
      </c>
      <c r="E17" s="1491"/>
    </row>
    <row r="18" spans="1:5" ht="15">
      <c r="A18" s="1491"/>
      <c r="B18" s="3553"/>
      <c r="C18" s="1495" t="s">
        <v>912</v>
      </c>
      <c r="D18" s="859" t="str">
        <f>结果表!H110</f>
        <v>——</v>
      </c>
      <c r="E18" s="1491"/>
    </row>
    <row r="19" spans="1:5" ht="15.75">
      <c r="A19" s="1491"/>
      <c r="B19" s="3544" t="str">
        <f>结果表!E111</f>
        <v>——</v>
      </c>
      <c r="C19" s="1499" t="s">
        <v>910</v>
      </c>
      <c r="D19" s="851" t="str">
        <f>结果表!H111</f>
        <v>——</v>
      </c>
      <c r="E19" s="1491"/>
    </row>
    <row r="20" spans="1:5" ht="15.75">
      <c r="A20" s="1491"/>
      <c r="B20" s="3545"/>
      <c r="C20" s="1494" t="s">
        <v>923</v>
      </c>
      <c r="D20" s="850" t="e">
        <f>NUMBERSTRING(INT(D19*10000),2)&amp;"元整"</f>
        <v>#VALUE!</v>
      </c>
      <c r="E20" s="1491"/>
    </row>
    <row r="21" spans="1:5" ht="15.75" thickBot="1">
      <c r="A21" s="1491"/>
      <c r="B21" s="354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54" t="str">
        <f>IF(项目基本情况!B9="房地产市场价值","估价结果一览表","结果表-2")</f>
        <v>估价结果一览表</v>
      </c>
      <c r="B1" s="3554"/>
      <c r="C1" s="3554"/>
      <c r="D1" s="3554"/>
      <c r="E1" s="3554"/>
      <c r="F1" s="3554"/>
      <c r="G1" s="3554"/>
      <c r="H1" s="3554"/>
      <c r="I1" s="3554"/>
    </row>
    <row r="2" spans="1:9" ht="30" customHeight="1" thickTop="1">
      <c r="A2" s="3555" t="s">
        <v>928</v>
      </c>
      <c r="B2" s="3555" t="s">
        <v>929</v>
      </c>
      <c r="C2" s="3555" t="s">
        <v>930</v>
      </c>
      <c r="D2" s="3555" t="str">
        <f>结果表!D116</f>
        <v>出让国有建设用地使用权价值</v>
      </c>
      <c r="E2" s="3555"/>
      <c r="F2" s="3555" t="str">
        <f>结果表!F116</f>
        <v>在建建筑物价值</v>
      </c>
      <c r="G2" s="3555"/>
      <c r="H2" s="3555" t="str">
        <f>IF(项目基本情况!B9="房地产市场价值","房地产市场价值","房地产价值")</f>
        <v>房地产市场价值</v>
      </c>
      <c r="I2" s="3555"/>
    </row>
    <row r="3" spans="1:9" ht="15">
      <c r="A3" s="3556"/>
      <c r="B3" s="3556"/>
      <c r="C3" s="3556"/>
      <c r="D3" s="854" t="s">
        <v>925</v>
      </c>
      <c r="E3" s="854" t="s">
        <v>931</v>
      </c>
      <c r="F3" s="854" t="s">
        <v>925</v>
      </c>
      <c r="G3" s="854" t="s">
        <v>926</v>
      </c>
      <c r="H3" s="854" t="s">
        <v>925</v>
      </c>
      <c r="I3" s="854" t="s">
        <v>926</v>
      </c>
    </row>
    <row r="4" spans="1:9" ht="15">
      <c r="A4" s="1505" t="str">
        <f>项目基本情况!S2</f>
        <v>北京市房地产</v>
      </c>
      <c r="B4" s="854">
        <f>项目基本情况!C17</f>
        <v>9265.11</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556" t="s">
        <v>927</v>
      </c>
      <c r="B5" s="3556"/>
      <c r="C5" s="3556"/>
      <c r="D5" s="3556" t="e">
        <f ca="1">结果表!D119</f>
        <v>#REF!</v>
      </c>
      <c r="E5" s="3556"/>
      <c r="F5" s="3556" t="e">
        <f ca="1">结果表!F119</f>
        <v>#REF!</v>
      </c>
      <c r="G5" s="3556"/>
      <c r="H5" s="3556" t="e">
        <f ca="1">结果表!H119</f>
        <v>#REF!</v>
      </c>
      <c r="I5" s="3556"/>
    </row>
    <row r="6" spans="1:9" ht="15.75">
      <c r="A6" s="3557" t="str">
        <f>结果表!A120</f>
        <v/>
      </c>
      <c r="B6" s="3557"/>
      <c r="C6" s="3557"/>
      <c r="D6" s="3557">
        <f>结果表!D120</f>
        <v>0</v>
      </c>
      <c r="E6" s="3557"/>
      <c r="F6" s="3557"/>
      <c r="G6" s="3557"/>
      <c r="H6" s="3557"/>
      <c r="I6" s="3557"/>
    </row>
    <row r="7" spans="1:9" ht="15">
      <c r="A7" s="3556" t="s">
        <v>927</v>
      </c>
      <c r="B7" s="3556"/>
      <c r="C7" s="3556"/>
      <c r="D7" s="3558" t="str">
        <f>结果表!D121</f>
        <v>零元整</v>
      </c>
      <c r="E7" s="3559"/>
      <c r="F7" s="3559"/>
      <c r="G7" s="3559"/>
      <c r="H7" s="3559"/>
      <c r="I7" s="3560"/>
    </row>
    <row r="8" spans="1:9" ht="15.75">
      <c r="A8" s="3557" t="str">
        <f>结果表!A122</f>
        <v/>
      </c>
      <c r="B8" s="3557"/>
      <c r="C8" s="3557"/>
      <c r="D8" s="3557" t="e">
        <f ca="1">结果表!D122</f>
        <v>#REF!</v>
      </c>
      <c r="E8" s="3557"/>
      <c r="F8" s="3557"/>
      <c r="G8" s="3557"/>
      <c r="H8" s="3557"/>
      <c r="I8" s="3557"/>
    </row>
    <row r="9" spans="1:9" ht="15">
      <c r="A9" s="3556" t="s">
        <v>927</v>
      </c>
      <c r="B9" s="3556"/>
      <c r="C9" s="3556"/>
      <c r="D9" s="3556" t="e">
        <f ca="1">结果表!D123</f>
        <v>#REF!</v>
      </c>
      <c r="E9" s="3556"/>
      <c r="F9" s="3556"/>
      <c r="G9" s="3556"/>
      <c r="H9" s="3556"/>
      <c r="I9" s="3556"/>
    </row>
    <row r="10" spans="1:9" ht="15.75">
      <c r="A10" s="3557" t="str">
        <f>结果表!A124</f>
        <v/>
      </c>
      <c r="B10" s="3557"/>
      <c r="C10" s="3557"/>
      <c r="D10" s="3557" t="str">
        <f>结果表!D124</f>
        <v>——</v>
      </c>
      <c r="E10" s="3557"/>
      <c r="F10" s="3557"/>
      <c r="G10" s="3557"/>
      <c r="H10" s="3557"/>
      <c r="I10" s="3557"/>
    </row>
    <row r="11" spans="1:9" ht="15">
      <c r="A11" s="3556" t="s">
        <v>927</v>
      </c>
      <c r="B11" s="3556"/>
      <c r="C11" s="3556"/>
      <c r="D11" s="3556" t="e">
        <f>结果表!D125</f>
        <v>#VALUE!</v>
      </c>
      <c r="E11" s="3556"/>
      <c r="F11" s="3556"/>
      <c r="G11" s="3556"/>
      <c r="H11" s="3556"/>
      <c r="I11" s="3556"/>
    </row>
    <row r="12" spans="1:9" ht="15.75">
      <c r="A12" s="3557" t="str">
        <f>结果表!A126</f>
        <v/>
      </c>
      <c r="B12" s="3557"/>
      <c r="C12" s="3557"/>
      <c r="D12" s="3557" t="str">
        <f>结果表!D126</f>
        <v>——</v>
      </c>
      <c r="E12" s="3557"/>
      <c r="F12" s="3557"/>
      <c r="G12" s="3557"/>
      <c r="H12" s="3557"/>
      <c r="I12" s="3557"/>
    </row>
    <row r="13" spans="1:9" ht="15.75" thickBot="1">
      <c r="A13" s="3561" t="s">
        <v>927</v>
      </c>
      <c r="B13" s="3561"/>
      <c r="C13" s="3561"/>
      <c r="D13" s="3561" t="e">
        <f>结果表!D127</f>
        <v>#VALUE!</v>
      </c>
      <c r="E13" s="3561"/>
      <c r="F13" s="3561"/>
      <c r="G13" s="3561"/>
      <c r="H13" s="3561"/>
      <c r="I13" s="3561"/>
    </row>
    <row r="14" spans="1:9" ht="15" thickTop="1">
      <c r="A14" s="3562" t="s">
        <v>932</v>
      </c>
      <c r="B14" s="3562"/>
      <c r="C14" s="3562"/>
      <c r="D14" s="3562"/>
      <c r="E14" s="3562"/>
      <c r="F14" s="3562"/>
      <c r="G14" s="3562"/>
      <c r="H14" s="3562"/>
      <c r="I14" s="356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63" t="s">
        <v>949</v>
      </c>
      <c r="B1" s="3563"/>
      <c r="C1" s="3563"/>
      <c r="D1" s="3563"/>
    </row>
    <row r="2" spans="1:4" ht="18">
      <c r="A2" s="3564" t="s">
        <v>933</v>
      </c>
      <c r="B2" s="3564"/>
      <c r="C2" s="3564"/>
      <c r="D2" s="3564"/>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564" t="s">
        <v>939</v>
      </c>
      <c r="B6" s="3564"/>
      <c r="C6" s="3564"/>
      <c r="D6" s="3564"/>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65" t="s">
        <v>942</v>
      </c>
      <c r="B11" s="3566"/>
      <c r="C11" s="3566"/>
      <c r="D11" s="3566"/>
    </row>
    <row r="12" spans="1:4" ht="15.75">
      <c r="A12" s="356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67"/>
      <c r="C12" s="3567"/>
      <c r="D12" s="3567"/>
    </row>
    <row r="13" spans="1:4" ht="30" customHeight="1">
      <c r="A13" s="3566" t="str">
        <f>IF(项目基本情况!B8="抵押","3.抵押双方在办理抵押登记手续时，应使用本公司出具的正式《房地产评估报告》，特提醒报告使用者注意。","——")</f>
        <v>——</v>
      </c>
      <c r="B13" s="3567"/>
      <c r="C13" s="3567"/>
      <c r="D13" s="3567"/>
    </row>
    <row r="14" spans="1:4" ht="15.75" customHeight="1">
      <c r="A14" s="3566" t="str">
        <f>IF(项目基本情况!B8="抵押","4.本次评估估价师所知悉的法定优先受偿款情况说明如下：","——")</f>
        <v>——</v>
      </c>
      <c r="B14" s="3567"/>
      <c r="C14" s="3567"/>
      <c r="D14" s="3567"/>
    </row>
    <row r="15" spans="1:4" ht="42" customHeight="1">
      <c r="A15" s="3566" t="str">
        <f>IF(项目基本情况!B8="抵押","（1）"&amp;CONCATENATE(项目基本情况!L20,项目基本情况!L21,项目基本情况!L22),"——")</f>
        <v>——</v>
      </c>
      <c r="B15" s="3566"/>
      <c r="C15" s="3566"/>
      <c r="D15" s="3566"/>
    </row>
    <row r="16" spans="1:4" ht="30" customHeight="1">
      <c r="A16" s="3569" t="s">
        <v>943</v>
      </c>
      <c r="B16" s="3569"/>
      <c r="C16" s="3569"/>
      <c r="D16" s="3569"/>
    </row>
    <row r="17" spans="1:4" ht="144" customHeight="1">
      <c r="A17" s="3569" t="s">
        <v>944</v>
      </c>
      <c r="B17" s="3569"/>
      <c r="C17" s="3569"/>
      <c r="D17" s="3569"/>
    </row>
    <row r="18" spans="1:4" ht="15.75" customHeight="1">
      <c r="A18" s="3566" t="str">
        <f>IF(项目基本情况!B8="抵押",结果表!K120,"——")</f>
        <v>——</v>
      </c>
      <c r="B18" s="3566"/>
      <c r="C18" s="3566"/>
      <c r="D18" s="3566"/>
    </row>
    <row r="19" spans="1:4" ht="46.5" customHeight="1">
      <c r="A19" s="356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66"/>
      <c r="C19" s="3566"/>
      <c r="D19" s="3566"/>
    </row>
    <row r="20" spans="1:4" ht="57.75" customHeight="1">
      <c r="A20" s="356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66"/>
      <c r="C20" s="3566"/>
      <c r="D20" s="3566"/>
    </row>
    <row r="21" spans="1:4" ht="57.75" customHeight="1">
      <c r="A21" s="357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70"/>
      <c r="C21" s="3570"/>
      <c r="D21" s="3570"/>
    </row>
    <row r="22" spans="1:4" ht="18.75" customHeight="1">
      <c r="A22" s="3571" t="s">
        <v>945</v>
      </c>
      <c r="B22" s="3571"/>
      <c r="C22" s="3571"/>
      <c r="D22" s="3571"/>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68">
        <v>42551</v>
      </c>
      <c r="D31" s="356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77" t="s">
        <v>956</v>
      </c>
      <c r="B15" s="3572" t="s">
        <v>109</v>
      </c>
      <c r="C15" s="3573"/>
    </row>
    <row r="16" spans="1:7" ht="13.5">
      <c r="A16" s="3578"/>
      <c r="B16" s="3572" t="s">
        <v>42</v>
      </c>
      <c r="C16" s="3573"/>
    </row>
    <row r="17" spans="1:3" ht="13.5">
      <c r="A17" s="3578"/>
      <c r="B17" s="3575" t="s">
        <v>957</v>
      </c>
      <c r="C17" s="1532" t="s">
        <v>956</v>
      </c>
    </row>
    <row r="18" spans="1:3" ht="13.5">
      <c r="A18" s="3578"/>
      <c r="B18" s="3575"/>
      <c r="C18" s="1532" t="s">
        <v>958</v>
      </c>
    </row>
    <row r="19" spans="1:3" ht="13.5">
      <c r="A19" s="3578"/>
      <c r="B19" s="3575"/>
      <c r="C19" s="1532" t="s">
        <v>959</v>
      </c>
    </row>
    <row r="20" spans="1:3" ht="13.5">
      <c r="A20" s="3579"/>
      <c r="B20" s="3574" t="s">
        <v>960</v>
      </c>
      <c r="C20" s="3573"/>
    </row>
    <row r="21" spans="1:3" ht="13.5">
      <c r="A21" s="1533" t="s">
        <v>961</v>
      </c>
      <c r="B21" s="1534"/>
      <c r="C21" s="1535"/>
    </row>
    <row r="22" spans="1:3" ht="13.5">
      <c r="A22" s="3576" t="s">
        <v>962</v>
      </c>
      <c r="B22" s="3574" t="s">
        <v>963</v>
      </c>
      <c r="C22" s="3573"/>
    </row>
    <row r="23" spans="1:3" ht="13.5">
      <c r="A23" s="3576"/>
      <c r="B23" s="3574" t="s">
        <v>964</v>
      </c>
      <c r="C23" s="3573"/>
    </row>
    <row r="24" spans="1:3" ht="13.5">
      <c r="A24" s="3576"/>
      <c r="B24" s="3574" t="s">
        <v>965</v>
      </c>
      <c r="C24" s="3573"/>
    </row>
    <row r="25" spans="1:3" ht="13.5">
      <c r="A25" s="3576"/>
      <c r="B25" s="3575" t="s">
        <v>966</v>
      </c>
      <c r="C25" s="1532" t="s">
        <v>967</v>
      </c>
    </row>
    <row r="26" spans="1:3" ht="13.5">
      <c r="A26" s="3576"/>
      <c r="B26" s="3575"/>
      <c r="C26" s="1532" t="s">
        <v>968</v>
      </c>
    </row>
    <row r="27" spans="1:3" ht="13.5">
      <c r="A27" s="3576"/>
      <c r="B27" s="3575"/>
      <c r="C27" s="1532" t="s">
        <v>969</v>
      </c>
    </row>
    <row r="28" spans="1:3" ht="13.5">
      <c r="A28" s="3576"/>
      <c r="B28" s="3575"/>
      <c r="C28" s="1532" t="s">
        <v>970</v>
      </c>
    </row>
    <row r="29" spans="1:3" ht="13.5">
      <c r="A29" s="3576"/>
      <c r="B29" s="3575"/>
      <c r="C29" s="1532" t="s">
        <v>971</v>
      </c>
    </row>
    <row r="30" spans="1:3" ht="13.5">
      <c r="A30" s="3576"/>
      <c r="B30" s="3575"/>
      <c r="C30" s="1532" t="s">
        <v>972</v>
      </c>
    </row>
    <row r="31" spans="1:3" ht="13.5">
      <c r="A31" s="3576"/>
      <c r="B31" s="3575"/>
      <c r="C31" s="1532" t="s">
        <v>973</v>
      </c>
    </row>
    <row r="32" spans="1:3" ht="13.5">
      <c r="A32" s="3576"/>
      <c r="B32" s="3575"/>
      <c r="C32" s="1532" t="s">
        <v>974</v>
      </c>
    </row>
    <row r="33" spans="1:3" ht="13.5">
      <c r="A33" s="3576"/>
      <c r="B33" s="357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2137</v>
      </c>
      <c r="B2" s="2339">
        <f ca="1">TODAY()</f>
        <v>45068</v>
      </c>
      <c r="C2" s="2340" t="s">
        <v>2138</v>
      </c>
      <c r="D2" s="2340"/>
      <c r="E2" s="2340"/>
      <c r="F2" s="2336"/>
      <c r="G2" s="2336"/>
      <c r="H2" s="2336"/>
    </row>
    <row r="3" spans="1:8" ht="24" customHeight="1">
      <c r="A3" s="2341" t="s">
        <v>2139</v>
      </c>
      <c r="B3" s="2342" t="s">
        <v>2140</v>
      </c>
      <c r="C3" s="2342" t="s">
        <v>2141</v>
      </c>
      <c r="D3" s="2343" t="s">
        <v>2142</v>
      </c>
      <c r="E3" s="2344" t="s">
        <v>2143</v>
      </c>
      <c r="F3" s="1304" t="s">
        <v>2144</v>
      </c>
      <c r="G3" s="2342" t="s">
        <v>2141</v>
      </c>
      <c r="H3" s="2343" t="s">
        <v>2145</v>
      </c>
    </row>
    <row r="4" spans="1:8" ht="24" customHeight="1">
      <c r="A4" s="1304" t="s">
        <v>2146</v>
      </c>
      <c r="B4" s="1304">
        <f ca="1">IF(C4&lt;B2,"已过期",1119970066)</f>
        <v>1119970066</v>
      </c>
      <c r="C4" s="2345">
        <v>45937</v>
      </c>
      <c r="D4" s="2346" t="str">
        <f ca="1">A4&amp;"（注册号："&amp;B4&amp;"）"</f>
        <v>梁津（注册号：1119970066）</v>
      </c>
      <c r="E4" s="2347" t="s">
        <v>2146</v>
      </c>
      <c r="F4" s="1304">
        <f ca="1">IF(G4&lt;B2,"已过期",96010014)</f>
        <v>96010014</v>
      </c>
      <c r="G4" s="2348">
        <v>47118</v>
      </c>
      <c r="H4" s="2349" t="str">
        <f ca="1">E4&amp;"（注册号："&amp;F4&amp;"）"</f>
        <v>梁津（注册号：96010014）</v>
      </c>
    </row>
    <row r="5" spans="1:8" ht="24" customHeight="1">
      <c r="A5" s="1304" t="s">
        <v>2147</v>
      </c>
      <c r="B5" s="1304">
        <f ca="1">IF(C5&lt;B2,"已过期",1119970111)</f>
        <v>1119970111</v>
      </c>
      <c r="C5" s="2345">
        <v>45937</v>
      </c>
      <c r="D5" s="2346" t="str">
        <f t="shared" ref="D5:D15" ca="1" si="0">A5&amp;"（注册号："&amp;B5&amp;"）"</f>
        <v>叶凌（注册号：1119970111）</v>
      </c>
      <c r="E5" s="2347" t="s">
        <v>2147</v>
      </c>
      <c r="F5" s="1304">
        <f ca="1">IF(G5&lt;B2,"已过期",94010078)</f>
        <v>94010078</v>
      </c>
      <c r="G5" s="2348">
        <v>46387</v>
      </c>
      <c r="H5" s="2349" t="str">
        <f t="shared" ref="H5:H16" ca="1" si="1">E5&amp;"（注册号："&amp;F5&amp;"）"</f>
        <v>叶凌（注册号：94010078）</v>
      </c>
    </row>
    <row r="6" spans="1:8" ht="24" customHeight="1">
      <c r="A6" s="1304" t="s">
        <v>2148</v>
      </c>
      <c r="B6" s="1304">
        <f ca="1">IF(C6&lt;B2,"已过期",1120050019)</f>
        <v>1120050019</v>
      </c>
      <c r="C6" s="2345">
        <v>45410</v>
      </c>
      <c r="D6" s="2346" t="str">
        <f t="shared" ca="1" si="0"/>
        <v>王鹏（注册号：1120050019）</v>
      </c>
      <c r="E6" s="2347" t="s">
        <v>2148</v>
      </c>
      <c r="F6" s="1304">
        <f ca="1">IF(G6&lt;B2,"已过期",2002110030)</f>
        <v>2002110030</v>
      </c>
      <c r="G6" s="2348">
        <v>46387</v>
      </c>
      <c r="H6" s="2349" t="str">
        <f t="shared" ca="1" si="1"/>
        <v>王鹏（注册号：2002110030）</v>
      </c>
    </row>
    <row r="7" spans="1:8" ht="24" customHeight="1">
      <c r="A7" s="1304" t="s">
        <v>2149</v>
      </c>
      <c r="B7" s="1304">
        <f ca="1">IF(C7&lt;B2,"已过期",1120000080)</f>
        <v>1120000080</v>
      </c>
      <c r="C7" s="2345">
        <v>45937</v>
      </c>
      <c r="D7" s="2346" t="str">
        <f t="shared" ca="1" si="0"/>
        <v>欧红伟（注册号：1120000080）</v>
      </c>
      <c r="E7" s="2347" t="s">
        <v>2149</v>
      </c>
      <c r="F7" s="1304">
        <f ca="1">IF(G7&lt;B2,"已过期",2000110082)</f>
        <v>2000110082</v>
      </c>
      <c r="G7" s="2348">
        <v>46387</v>
      </c>
      <c r="H7" s="2349" t="str">
        <f t="shared" ca="1" si="1"/>
        <v>欧红伟（注册号：2000110082）</v>
      </c>
    </row>
    <row r="8" spans="1:8" ht="24" customHeight="1">
      <c r="A8" s="1304" t="s">
        <v>2150</v>
      </c>
      <c r="B8" s="1304">
        <f ca="1">IF(C8&lt;B2,"已过期",1419970001)</f>
        <v>1419970001</v>
      </c>
      <c r="C8" s="2345">
        <v>45937</v>
      </c>
      <c r="D8" s="2346" t="str">
        <f t="shared" ca="1" si="0"/>
        <v>吴薇（注册号：1419970001）</v>
      </c>
      <c r="E8" s="2347" t="s">
        <v>2150</v>
      </c>
      <c r="F8" s="1304">
        <f ca="1">IF(G8&lt;B2,"已过期",2002110125)</f>
        <v>2002110125</v>
      </c>
      <c r="G8" s="2348">
        <v>47118</v>
      </c>
      <c r="H8" s="2349" t="str">
        <f t="shared" ca="1" si="1"/>
        <v>吴薇（注册号：2002110125）</v>
      </c>
    </row>
    <row r="9" spans="1:8" ht="24" customHeight="1">
      <c r="A9" s="1304" t="s">
        <v>2151</v>
      </c>
      <c r="B9" s="1304">
        <f ca="1">IF(C9&lt;B2,"已过期",1120060040)</f>
        <v>1120060040</v>
      </c>
      <c r="C9" s="2350">
        <v>45592</v>
      </c>
      <c r="D9" s="2346" t="str">
        <f t="shared" ca="1" si="0"/>
        <v>陈颖（注册号：1120060040）</v>
      </c>
      <c r="E9" s="2347" t="s">
        <v>2151</v>
      </c>
      <c r="F9" s="1304">
        <f ca="1">IF(G9&lt;B2,"已过期",2004110096)</f>
        <v>2004110096</v>
      </c>
      <c r="G9" s="2348">
        <v>47118</v>
      </c>
      <c r="H9" s="2349" t="str">
        <f t="shared" ca="1" si="1"/>
        <v>陈颖（注册号：2004110096）</v>
      </c>
    </row>
    <row r="10" spans="1:8" ht="24" customHeight="1">
      <c r="A10" s="1304" t="s">
        <v>2152</v>
      </c>
      <c r="B10" s="1304">
        <f ca="1">IF(C10&lt;B2,"已过期",1120100036)</f>
        <v>1120100036</v>
      </c>
      <c r="C10" s="2350">
        <v>45752</v>
      </c>
      <c r="D10" s="2346" t="str">
        <f t="shared" ca="1" si="0"/>
        <v>崔锴（注册号：1120100036）</v>
      </c>
      <c r="E10" s="2347" t="s">
        <v>2152</v>
      </c>
      <c r="F10" s="1304">
        <f ca="1">IF(G10&lt;B2,"已过期",2010110070)</f>
        <v>2010110070</v>
      </c>
      <c r="G10" s="2348">
        <v>47907</v>
      </c>
      <c r="H10" s="2349" t="str">
        <f t="shared" ca="1" si="1"/>
        <v>崔锴（注册号：2010110070）</v>
      </c>
    </row>
    <row r="11" spans="1:8" ht="24" customHeight="1">
      <c r="A11" s="1304" t="s">
        <v>2153</v>
      </c>
      <c r="B11" s="1304">
        <f ca="1">IF(C11&lt;B2,"已过期",1120070131)</f>
        <v>1120070131</v>
      </c>
      <c r="C11" s="2345">
        <v>45937</v>
      </c>
      <c r="D11" s="2346" t="str">
        <f t="shared" ca="1" si="0"/>
        <v>郑燚（注册号：1120070131）</v>
      </c>
      <c r="E11" s="2347" t="s">
        <v>2153</v>
      </c>
      <c r="F11" s="1304">
        <f ca="1">IF(G11&lt;B2,"已过期",2014110011)</f>
        <v>2014110011</v>
      </c>
      <c r="G11" s="2348">
        <v>49302</v>
      </c>
      <c r="H11" s="2349" t="str">
        <f t="shared" ca="1" si="1"/>
        <v>郑燚（注册号：2014110011）</v>
      </c>
    </row>
    <row r="12" spans="1:8" ht="24" customHeight="1">
      <c r="A12" s="1304" t="s">
        <v>2154</v>
      </c>
      <c r="B12" s="1304">
        <f ca="1">IF(C12&lt;B2,"已过期",1120040230)</f>
        <v>1120040230</v>
      </c>
      <c r="C12" s="2350">
        <v>45937</v>
      </c>
      <c r="D12" s="2346" t="str">
        <f t="shared" ca="1" si="0"/>
        <v>苏海（注册号：1120040230）</v>
      </c>
      <c r="E12" s="2347" t="s">
        <v>2154</v>
      </c>
      <c r="F12" s="1304">
        <f ca="1">IF(G12&lt;B2,"已过期",98030020)</f>
        <v>98030020</v>
      </c>
      <c r="G12" s="2348">
        <v>47118</v>
      </c>
      <c r="H12" s="2349" t="str">
        <f t="shared" ca="1" si="1"/>
        <v>苏海（注册号：98030020）</v>
      </c>
    </row>
    <row r="13" spans="1:8" ht="24" customHeight="1">
      <c r="A13" s="1304" t="s">
        <v>2155</v>
      </c>
      <c r="B13" s="1304">
        <f ca="1">IF(C13&lt;B2,"已过期",1120020033)</f>
        <v>1120020033</v>
      </c>
      <c r="C13" s="2345">
        <v>45375</v>
      </c>
      <c r="D13" s="2346" t="str">
        <f t="shared" ca="1" si="0"/>
        <v>刘敬东（注册号：1120020033）</v>
      </c>
      <c r="E13" s="2347" t="s">
        <v>2155</v>
      </c>
      <c r="F13" s="1304">
        <f ca="1">IF(G13&lt;B2,"已过期",2000110137)</f>
        <v>2000110137</v>
      </c>
      <c r="G13" s="2348">
        <v>46387</v>
      </c>
      <c r="H13" s="2349" t="str">
        <f t="shared" ca="1" si="1"/>
        <v>刘敬东（注册号：2000110137）</v>
      </c>
    </row>
    <row r="14" spans="1:8" ht="24" customHeight="1">
      <c r="A14" s="1304" t="s">
        <v>2156</v>
      </c>
      <c r="B14" s="1304" t="str">
        <f ca="1">IF(C14&lt;B2,"已过期",1119980106)</f>
        <v>已过期</v>
      </c>
      <c r="C14" s="2350">
        <v>44969</v>
      </c>
      <c r="D14" s="2346" t="str">
        <f t="shared" ca="1" si="0"/>
        <v>刘俊财（注册号：已过期）</v>
      </c>
      <c r="E14" s="2347" t="s">
        <v>2156</v>
      </c>
      <c r="F14" s="1304">
        <f ca="1">IF(G14&lt;B2,"已过期",96010063)</f>
        <v>96010063</v>
      </c>
      <c r="G14" s="2348">
        <v>47483</v>
      </c>
      <c r="H14" s="2349" t="str">
        <f t="shared" ca="1" si="1"/>
        <v>刘俊财（注册号：96010063）</v>
      </c>
    </row>
    <row r="15" spans="1:8" ht="24" customHeight="1">
      <c r="A15" s="1304" t="s">
        <v>2436</v>
      </c>
      <c r="B15" s="1304">
        <v>1120210056</v>
      </c>
      <c r="C15" s="2350">
        <v>45410</v>
      </c>
      <c r="D15" s="2346" t="str">
        <f t="shared" si="0"/>
        <v>宁小鳗（注册号：1120210056）</v>
      </c>
      <c r="E15" s="2347" t="s">
        <v>2157</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80" t="s">
        <v>2158</v>
      </c>
      <c r="B17" s="3580"/>
      <c r="C17" s="3580"/>
      <c r="D17" s="3580"/>
      <c r="E17" s="3580"/>
      <c r="F17" s="3580"/>
      <c r="G17" s="3580"/>
      <c r="H17" s="3580"/>
    </row>
    <row r="18" spans="1:8" ht="24" customHeight="1">
      <c r="A18" s="3581" t="s">
        <v>2159</v>
      </c>
      <c r="B18" s="3581"/>
      <c r="C18" s="3581"/>
      <c r="D18" s="2343"/>
      <c r="E18" s="3582" t="s">
        <v>2160</v>
      </c>
      <c r="F18" s="3581"/>
      <c r="G18" s="3581"/>
    </row>
    <row r="19" spans="1:8" s="2354" customFormat="1" ht="24" customHeight="1">
      <c r="A19" s="2353" t="s">
        <v>2161</v>
      </c>
      <c r="B19" s="2342" t="s">
        <v>2162</v>
      </c>
      <c r="C19" s="2342" t="s">
        <v>2141</v>
      </c>
      <c r="D19" s="2343"/>
      <c r="E19" s="2347" t="s">
        <v>2161</v>
      </c>
      <c r="F19" s="2342" t="s">
        <v>2162</v>
      </c>
      <c r="G19" s="2342" t="s">
        <v>2141</v>
      </c>
    </row>
    <row r="20" spans="1:8" s="2354" customFormat="1" ht="24" customHeight="1">
      <c r="A20" s="2355" t="s">
        <v>2163</v>
      </c>
      <c r="B20" s="2355" t="s">
        <v>2164</v>
      </c>
      <c r="C20" s="2348">
        <v>45898</v>
      </c>
      <c r="D20" s="2356"/>
      <c r="E20" s="2357" t="s">
        <v>2165</v>
      </c>
      <c r="F20" s="2360" t="s">
        <v>2437</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3351</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3337</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3338</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3339</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3340</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3341</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3342</v>
      </c>
    </row>
    <row r="8" spans="1:23">
      <c r="A8" s="1546" t="s">
        <v>1026</v>
      </c>
      <c r="B8" s="1546" t="s">
        <v>1027</v>
      </c>
      <c r="C8" s="1547" t="s">
        <v>319</v>
      </c>
      <c r="F8" s="1548" t="s">
        <v>1028</v>
      </c>
      <c r="H8" s="1548" t="s">
        <v>2576</v>
      </c>
      <c r="I8" s="1548" t="s">
        <v>3343</v>
      </c>
    </row>
    <row r="9" spans="1:23">
      <c r="A9" s="1546" t="s">
        <v>1029</v>
      </c>
      <c r="B9" s="1546" t="s">
        <v>1030</v>
      </c>
      <c r="C9" s="1547" t="s">
        <v>320</v>
      </c>
      <c r="F9" s="1548" t="s">
        <v>1031</v>
      </c>
      <c r="H9" s="1548"/>
      <c r="I9" s="1551" t="s">
        <v>3344</v>
      </c>
    </row>
    <row r="10" spans="1:23">
      <c r="A10" s="1546" t="s">
        <v>1032</v>
      </c>
      <c r="B10" s="1546" t="s">
        <v>1033</v>
      </c>
      <c r="C10" s="1547" t="s">
        <v>321</v>
      </c>
      <c r="F10" s="1548" t="s">
        <v>2577</v>
      </c>
      <c r="I10" s="1551" t="s">
        <v>3345</v>
      </c>
    </row>
    <row r="11" spans="1:23">
      <c r="A11" s="1546" t="s">
        <v>1034</v>
      </c>
      <c r="B11" s="1546" t="s">
        <v>1035</v>
      </c>
      <c r="C11" s="1547" t="s">
        <v>322</v>
      </c>
      <c r="F11" s="1548" t="s">
        <v>13</v>
      </c>
      <c r="I11" s="1551" t="s">
        <v>3346</v>
      </c>
    </row>
    <row r="12" spans="1:23">
      <c r="A12" s="1546" t="s">
        <v>1036</v>
      </c>
      <c r="B12" s="1546" t="s">
        <v>1037</v>
      </c>
      <c r="C12" s="1547" t="s">
        <v>323</v>
      </c>
      <c r="I12" s="1551" t="s">
        <v>3347</v>
      </c>
    </row>
    <row r="13" spans="1:23">
      <c r="A13" s="1546" t="s">
        <v>1038</v>
      </c>
      <c r="B13" s="1546" t="s">
        <v>1039</v>
      </c>
      <c r="C13" s="1547" t="s">
        <v>324</v>
      </c>
      <c r="I13" s="1551" t="s">
        <v>3348</v>
      </c>
    </row>
    <row r="14" spans="1:23">
      <c r="A14" s="1546" t="s">
        <v>1040</v>
      </c>
      <c r="B14" s="1546" t="s">
        <v>1041</v>
      </c>
      <c r="C14" s="1548" t="s">
        <v>13</v>
      </c>
      <c r="I14" s="1551" t="s">
        <v>3349</v>
      </c>
    </row>
    <row r="15" spans="1:23">
      <c r="A15" s="1546" t="s">
        <v>1042</v>
      </c>
      <c r="B15" s="1546" t="s">
        <v>1043</v>
      </c>
      <c r="C15" s="1547"/>
      <c r="I15" s="1551" t="s">
        <v>3350</v>
      </c>
    </row>
    <row r="16" spans="1:23">
      <c r="A16" s="1546" t="s">
        <v>1044</v>
      </c>
      <c r="B16" s="1546" t="s">
        <v>312</v>
      </c>
      <c r="C16" s="1547"/>
    </row>
    <row r="17" spans="1:3">
      <c r="A17" s="1546" t="s">
        <v>1045</v>
      </c>
      <c r="B17" s="1546" t="s">
        <v>2289</v>
      </c>
      <c r="C17" s="1547"/>
    </row>
    <row r="18" spans="1:3">
      <c r="A18" s="1546" t="s">
        <v>1046</v>
      </c>
      <c r="B18" s="1546" t="s">
        <v>2432</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8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83"/>
      <c r="B54" s="1554" t="s">
        <v>385</v>
      </c>
      <c r="C54" s="1551" t="s">
        <v>583</v>
      </c>
    </row>
    <row r="55" spans="1:4">
      <c r="A55" s="3583"/>
      <c r="B55" s="1554" t="s">
        <v>386</v>
      </c>
      <c r="C55" s="1551" t="s">
        <v>584</v>
      </c>
    </row>
    <row r="56" spans="1:4">
      <c r="A56" s="3583"/>
      <c r="B56" s="1554" t="s">
        <v>387</v>
      </c>
      <c r="C56" s="1551" t="s">
        <v>588</v>
      </c>
    </row>
    <row r="57" spans="1:4">
      <c r="A57" s="358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2499</v>
      </c>
      <c r="B1" s="3014"/>
      <c r="C1" s="3014"/>
      <c r="D1" s="3014"/>
      <c r="E1" s="3014"/>
      <c r="F1" s="3015"/>
      <c r="I1" s="3437" t="s">
        <v>2592</v>
      </c>
      <c r="J1" s="3226"/>
      <c r="K1" s="3226"/>
      <c r="L1" s="3226"/>
      <c r="M1" s="3226"/>
      <c r="N1" s="3438"/>
      <c r="O1" s="3438"/>
      <c r="P1" s="3438"/>
      <c r="Q1" s="3438"/>
      <c r="R1" s="3438"/>
    </row>
    <row r="2" spans="1:18">
      <c r="A2" s="3017"/>
      <c r="B2" s="3018"/>
      <c r="C2" s="3018"/>
      <c r="D2" s="3018"/>
      <c r="E2" s="3018"/>
      <c r="F2" s="3019"/>
      <c r="I2" s="3584" t="s">
        <v>2579</v>
      </c>
      <c r="J2" s="3584"/>
      <c r="K2" s="3584"/>
      <c r="L2" s="3584"/>
      <c r="M2" s="3584"/>
      <c r="N2" s="3584"/>
      <c r="O2" s="3584"/>
      <c r="P2" s="3584"/>
      <c r="Q2" s="3584"/>
      <c r="R2" s="3584"/>
    </row>
    <row r="3" spans="1:18">
      <c r="A3" s="3020" t="s">
        <v>2500</v>
      </c>
      <c r="B3" s="3021">
        <f>项目基本情况!D3</f>
        <v>45033</v>
      </c>
      <c r="C3" s="3023"/>
      <c r="D3" s="3023"/>
      <c r="E3" s="3023"/>
      <c r="F3" s="3019"/>
      <c r="I3" s="3439"/>
      <c r="J3" s="3439" t="s">
        <v>2583</v>
      </c>
      <c r="K3" s="3439" t="s">
        <v>2584</v>
      </c>
      <c r="L3" s="3439" t="s">
        <v>2585</v>
      </c>
      <c r="M3" s="3439" t="s">
        <v>2586</v>
      </c>
      <c r="N3" s="3440" t="s">
        <v>2587</v>
      </c>
      <c r="O3" s="3440" t="s">
        <v>2588</v>
      </c>
      <c r="P3" s="3440" t="s">
        <v>2589</v>
      </c>
      <c r="Q3" s="3440" t="s">
        <v>2590</v>
      </c>
      <c r="R3" s="3440" t="s">
        <v>2591</v>
      </c>
    </row>
    <row r="4" spans="1:18">
      <c r="A4" s="3020" t="s">
        <v>2501</v>
      </c>
      <c r="B4" s="3023" t="s">
        <v>2502</v>
      </c>
      <c r="C4" s="3023" t="s">
        <v>2503</v>
      </c>
      <c r="D4" s="3023" t="s">
        <v>2504</v>
      </c>
      <c r="E4" s="3023" t="s">
        <v>2505</v>
      </c>
      <c r="F4" s="3019"/>
      <c r="I4" s="3439" t="s">
        <v>2580</v>
      </c>
      <c r="J4" s="3439">
        <v>80</v>
      </c>
      <c r="K4" s="3439">
        <v>70</v>
      </c>
      <c r="L4" s="3439">
        <v>20</v>
      </c>
      <c r="M4" s="3439">
        <v>30</v>
      </c>
      <c r="N4" s="3023">
        <v>45</v>
      </c>
      <c r="O4" s="3023">
        <v>60</v>
      </c>
      <c r="P4" s="3023">
        <v>50</v>
      </c>
      <c r="Q4" s="3023">
        <v>20</v>
      </c>
      <c r="R4" s="3023">
        <v>375</v>
      </c>
    </row>
    <row r="5" spans="1:18">
      <c r="A5" s="3024">
        <v>40</v>
      </c>
      <c r="B5" s="3021">
        <v>46375</v>
      </c>
      <c r="C5" s="3023">
        <f>ROUNDDOWN(MIN((B5-B3)/365,A5),2)</f>
        <v>3.67</v>
      </c>
      <c r="D5" s="3025">
        <f>IF(ISERROR(ROUND(POWER(1+E5,A5-C5)*(POWER(1+E5,C5)-1)/(POWER(1+E5,A5)-1),3)),0,ROUND(POWER(1+E5,A5-C5)*(POWER(1+E5,C5)-1)/(POWER(1+E5,A5)-1),4))</f>
        <v>0.16930000000000001</v>
      </c>
      <c r="E5" s="3026">
        <v>0.04</v>
      </c>
      <c r="F5" s="3019"/>
      <c r="I5" s="3439" t="s">
        <v>2581</v>
      </c>
      <c r="J5" s="3439">
        <v>70</v>
      </c>
      <c r="K5" s="3439">
        <v>60</v>
      </c>
      <c r="L5" s="3439">
        <v>15</v>
      </c>
      <c r="M5" s="3439">
        <v>25</v>
      </c>
      <c r="N5" s="3023">
        <v>40</v>
      </c>
      <c r="O5" s="3023">
        <v>50</v>
      </c>
      <c r="P5" s="3023">
        <v>40</v>
      </c>
      <c r="Q5" s="3023">
        <v>15</v>
      </c>
      <c r="R5" s="3023">
        <v>315</v>
      </c>
    </row>
    <row r="6" spans="1:18">
      <c r="A6" s="3024">
        <v>50</v>
      </c>
      <c r="B6" s="3021">
        <v>50028</v>
      </c>
      <c r="C6" s="3023">
        <f>ROUNDDOWN(MIN((B6-B3)/365,A6),2)</f>
        <v>13.68</v>
      </c>
      <c r="D6" s="3025">
        <f>IF(ISERROR(ROUND(POWER(1+E6,A6-C6)*(POWER(1+E6,C6)-1)/(POWER(1+E6,A6)-1),3)),0,ROUND(POWER(1+E6,A6-C6)*(POWER(1+E6,C6)-1)/(POWER(1+E6,A6)-1),4))</f>
        <v>0.48320000000000002</v>
      </c>
      <c r="E6" s="3026">
        <v>0.04</v>
      </c>
      <c r="F6" s="3019"/>
      <c r="I6" s="3439" t="s">
        <v>2582</v>
      </c>
      <c r="J6" s="3439">
        <v>60</v>
      </c>
      <c r="K6" s="3439">
        <v>50</v>
      </c>
      <c r="L6" s="3439">
        <v>10</v>
      </c>
      <c r="M6" s="3439">
        <v>20</v>
      </c>
      <c r="N6" s="3023">
        <v>35</v>
      </c>
      <c r="O6" s="3023">
        <v>40</v>
      </c>
      <c r="P6" s="3023">
        <v>30</v>
      </c>
      <c r="Q6" s="3023">
        <v>10</v>
      </c>
      <c r="R6" s="3023">
        <v>255</v>
      </c>
    </row>
    <row r="7" spans="1:18">
      <c r="A7" s="3024">
        <v>70</v>
      </c>
      <c r="B7" s="3021">
        <v>57333</v>
      </c>
      <c r="C7" s="3023">
        <f>ROUNDDOWN(MIN((B7-B3)/365,A7),2)</f>
        <v>33.69</v>
      </c>
      <c r="D7" s="3025">
        <f>IF(ISERROR(ROUND(POWER(1+E7,A7-C7)*(POWER(1+E7,C7)-1)/(POWER(1+E7,A7)-1),3)),0,ROUND(POWER(1+E7,A7-C7)*(POWER(1+E7,C7)-1)/(POWER(1+E7,A7)-1),4))</f>
        <v>0.78349999999999997</v>
      </c>
      <c r="E7" s="3026">
        <v>0.04</v>
      </c>
      <c r="F7" s="3019"/>
    </row>
    <row r="8" spans="1:18">
      <c r="A8" s="3017"/>
      <c r="B8" s="3018"/>
      <c r="C8" s="3018"/>
      <c r="D8" s="3018"/>
      <c r="E8" s="3018"/>
      <c r="F8" s="3019"/>
    </row>
    <row r="9" spans="1:18">
      <c r="A9" s="3020" t="s">
        <v>2506</v>
      </c>
      <c r="B9" s="3023"/>
      <c r="C9" s="3023"/>
      <c r="D9" s="3023"/>
      <c r="E9" s="3023"/>
      <c r="F9" s="3027"/>
    </row>
    <row r="10" spans="1:18">
      <c r="A10" s="3020" t="s">
        <v>2507</v>
      </c>
      <c r="B10" s="3023"/>
      <c r="C10" s="3023"/>
      <c r="D10" s="3023" t="s">
        <v>2505</v>
      </c>
      <c r="E10" s="3023"/>
      <c r="F10" s="3027" t="s">
        <v>2504</v>
      </c>
    </row>
    <row r="11" spans="1:18">
      <c r="A11" s="3020" t="s">
        <v>2508</v>
      </c>
      <c r="B11" s="3028">
        <v>70</v>
      </c>
      <c r="C11" s="3023" t="s">
        <v>2509</v>
      </c>
      <c r="D11" s="3029">
        <v>4.4999999999999998E-2</v>
      </c>
      <c r="E11" s="3023" t="s">
        <v>2510</v>
      </c>
      <c r="F11" s="3030">
        <f>ROUND(1-(1/(POWER(1+D11,B11))),4)</f>
        <v>0.95409999999999995</v>
      </c>
    </row>
    <row r="12" spans="1:18">
      <c r="A12" s="3020" t="s">
        <v>2511</v>
      </c>
      <c r="B12" s="3028">
        <v>40</v>
      </c>
      <c r="C12" s="3023" t="s">
        <v>2512</v>
      </c>
      <c r="D12" s="3029">
        <v>4.4999999999999998E-2</v>
      </c>
      <c r="E12" s="3023" t="s">
        <v>2513</v>
      </c>
      <c r="F12" s="3030">
        <f>ROUND(1-(1/(POWER(1+D12,B12))),4)</f>
        <v>0.82809999999999995</v>
      </c>
    </row>
    <row r="13" spans="1:18">
      <c r="A13" s="3020" t="s">
        <v>2514</v>
      </c>
      <c r="B13" s="3023"/>
      <c r="C13" s="3023"/>
      <c r="D13" s="3018"/>
      <c r="E13" s="3018"/>
      <c r="F13" s="3019"/>
    </row>
    <row r="14" spans="1:18">
      <c r="A14" s="3020" t="s">
        <v>2515</v>
      </c>
      <c r="B14" s="3028">
        <v>5000</v>
      </c>
      <c r="C14" s="3022"/>
      <c r="D14" s="3018"/>
      <c r="E14" s="3018"/>
      <c r="F14" s="3019"/>
    </row>
    <row r="15" spans="1:18">
      <c r="A15" s="3020" t="s">
        <v>2516</v>
      </c>
      <c r="B15" s="3023">
        <f>ROUND(B14*F12/F11,2)</f>
        <v>4339.6899999999996</v>
      </c>
      <c r="C15" s="3023">
        <f>ROUND(F12/F11,4)</f>
        <v>0.8679</v>
      </c>
      <c r="D15" s="3018"/>
      <c r="E15" s="3018"/>
      <c r="F15" s="3019"/>
    </row>
    <row r="16" spans="1:18">
      <c r="A16" s="3020" t="s">
        <v>2517</v>
      </c>
      <c r="B16" s="3023"/>
      <c r="C16" s="3023"/>
      <c r="D16" s="3018"/>
      <c r="E16" s="3018"/>
      <c r="F16" s="3019"/>
    </row>
    <row r="17" spans="1:13">
      <c r="A17" s="3020" t="s">
        <v>2516</v>
      </c>
      <c r="B17" s="3029">
        <v>4810</v>
      </c>
      <c r="C17" s="3022"/>
      <c r="D17" s="3018"/>
      <c r="E17" s="3018"/>
      <c r="F17" s="3019"/>
    </row>
    <row r="18" spans="1:13" ht="14.25" thickBot="1">
      <c r="A18" s="3031" t="s">
        <v>2515</v>
      </c>
      <c r="B18" s="3032">
        <f>ROUND(B17*F11/F12,2)</f>
        <v>5541.87</v>
      </c>
      <c r="C18" s="3032">
        <f>ROUND(F11/F12,4)</f>
        <v>1.1521999999999999</v>
      </c>
      <c r="D18" s="3033"/>
      <c r="E18" s="3033"/>
      <c r="F18" s="3034"/>
    </row>
    <row r="19" spans="1:13" ht="14.25" thickBot="1"/>
    <row r="20" spans="1:13" s="3069" customFormat="1" ht="14.25" thickTop="1">
      <c r="A20" s="3066" t="s">
        <v>2518</v>
      </c>
      <c r="B20" s="3067"/>
      <c r="C20" s="3067"/>
      <c r="D20" s="3067"/>
      <c r="E20" s="3067"/>
      <c r="F20" s="3067"/>
      <c r="G20" s="3068"/>
      <c r="I20" s="3070" t="s">
        <v>2563</v>
      </c>
      <c r="J20" s="3070" t="s">
        <v>2568</v>
      </c>
      <c r="K20" s="3070"/>
      <c r="L20" s="3070"/>
      <c r="M20" s="3070"/>
    </row>
    <row r="21" spans="1:13">
      <c r="A21" s="3035"/>
      <c r="B21" s="3036" t="s">
        <v>2519</v>
      </c>
      <c r="C21" s="3036" t="s">
        <v>2520</v>
      </c>
      <c r="D21" s="3036" t="s">
        <v>2521</v>
      </c>
      <c r="E21" s="3036" t="s">
        <v>2522</v>
      </c>
      <c r="F21" s="3036" t="s">
        <v>2523</v>
      </c>
      <c r="G21" s="3037" t="s">
        <v>2524</v>
      </c>
      <c r="I21" s="3058">
        <v>5</v>
      </c>
      <c r="J21" s="3058">
        <v>54.2</v>
      </c>
    </row>
    <row r="22" spans="1:13">
      <c r="A22" s="3035" t="s">
        <v>2525</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2526</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2566</v>
      </c>
      <c r="M23" s="3058" t="s">
        <v>2567</v>
      </c>
    </row>
    <row r="24" spans="1:13">
      <c r="A24" s="3035" t="s">
        <v>2527</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2565</v>
      </c>
      <c r="M24" s="3058">
        <v>10</v>
      </c>
    </row>
    <row r="25" spans="1:13">
      <c r="A25" s="3035" t="s">
        <v>2528</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2569</v>
      </c>
      <c r="M25" s="3058">
        <v>8</v>
      </c>
    </row>
    <row r="26" spans="1:13">
      <c r="A26" s="3040"/>
      <c r="B26" s="3041"/>
      <c r="C26" s="3041"/>
      <c r="D26" s="3041"/>
      <c r="E26" s="3041"/>
      <c r="F26" s="3041"/>
      <c r="G26" s="3042"/>
      <c r="I26" s="3058">
        <v>30</v>
      </c>
      <c r="J26" s="3058">
        <v>90.5</v>
      </c>
      <c r="K26" s="3058">
        <f t="shared" si="2"/>
        <v>4.2000000000000028</v>
      </c>
      <c r="L26" s="3058" t="s">
        <v>2570</v>
      </c>
      <c r="M26" s="3058">
        <v>5</v>
      </c>
    </row>
    <row r="27" spans="1:13">
      <c r="A27" s="3040" t="s">
        <v>2529</v>
      </c>
      <c r="B27" s="3041"/>
      <c r="C27" s="3041"/>
      <c r="D27" s="3041"/>
      <c r="E27" s="3041"/>
      <c r="F27" s="3041"/>
      <c r="G27" s="3042"/>
      <c r="I27" s="3058">
        <v>35</v>
      </c>
      <c r="J27" s="3058">
        <v>93.8</v>
      </c>
      <c r="K27" s="3058">
        <f t="shared" si="2"/>
        <v>3.2999999999999972</v>
      </c>
      <c r="L27" s="3058" t="s">
        <v>2571</v>
      </c>
      <c r="M27" s="3058">
        <v>3</v>
      </c>
    </row>
    <row r="28" spans="1:13">
      <c r="A28" s="3040" t="s">
        <v>2530</v>
      </c>
      <c r="B28" s="3041"/>
      <c r="C28" s="3041"/>
      <c r="D28" s="3041"/>
      <c r="E28" s="3041"/>
      <c r="F28" s="3041"/>
      <c r="G28" s="3042"/>
      <c r="I28" s="3058">
        <v>40</v>
      </c>
      <c r="J28" s="3058">
        <v>96.4</v>
      </c>
      <c r="K28" s="3058">
        <f t="shared" si="2"/>
        <v>2.6000000000000085</v>
      </c>
      <c r="L28" s="3058" t="s">
        <v>2572</v>
      </c>
      <c r="M28" s="3058">
        <v>2</v>
      </c>
    </row>
    <row r="29" spans="1:13">
      <c r="A29" s="3040" t="s">
        <v>2531</v>
      </c>
      <c r="B29" s="3041"/>
      <c r="C29" s="3041"/>
      <c r="D29" s="3041"/>
      <c r="E29" s="3041"/>
      <c r="F29" s="3041"/>
      <c r="G29" s="3042"/>
      <c r="I29" s="3058">
        <v>45</v>
      </c>
      <c r="J29" s="3058">
        <v>98.4</v>
      </c>
      <c r="K29" s="3058">
        <f t="shared" si="2"/>
        <v>2</v>
      </c>
    </row>
    <row r="30" spans="1:13">
      <c r="A30" s="3040" t="s">
        <v>2532</v>
      </c>
      <c r="B30" s="3041"/>
      <c r="C30" s="3041"/>
      <c r="D30" s="3041"/>
      <c r="E30" s="3041"/>
      <c r="F30" s="3041"/>
      <c r="G30" s="3042"/>
      <c r="I30" s="3058">
        <v>50</v>
      </c>
      <c r="J30" s="3058">
        <v>100</v>
      </c>
      <c r="K30" s="3058">
        <f t="shared" si="2"/>
        <v>1.5999999999999943</v>
      </c>
    </row>
    <row r="31" spans="1:13">
      <c r="A31" s="3040" t="s">
        <v>2533</v>
      </c>
      <c r="B31" s="3041"/>
      <c r="C31" s="3041"/>
      <c r="D31" s="3041"/>
      <c r="E31" s="3041"/>
      <c r="F31" s="3041"/>
      <c r="G31" s="3042"/>
      <c r="I31" s="3058" t="s">
        <v>2564</v>
      </c>
    </row>
    <row r="32" spans="1:13">
      <c r="A32" s="3040" t="s">
        <v>2534</v>
      </c>
      <c r="B32" s="3041"/>
      <c r="C32" s="3041"/>
      <c r="D32" s="3041"/>
      <c r="E32" s="3041"/>
      <c r="F32" s="3041"/>
      <c r="G32" s="3042"/>
    </row>
    <row r="33" spans="1:13">
      <c r="A33" s="3040" t="s">
        <v>2535</v>
      </c>
      <c r="B33" s="3041"/>
      <c r="C33" s="3041"/>
      <c r="D33" s="3041"/>
      <c r="E33" s="3041"/>
      <c r="F33" s="3041"/>
      <c r="G33" s="3042"/>
      <c r="I33" s="3058" t="s">
        <v>2563</v>
      </c>
      <c r="J33" s="3058" t="s">
        <v>2573</v>
      </c>
    </row>
    <row r="34" spans="1:13">
      <c r="A34" s="3040" t="s">
        <v>2536</v>
      </c>
      <c r="B34" s="3041"/>
      <c r="C34" s="3041"/>
      <c r="D34" s="3041"/>
      <c r="E34" s="3041"/>
      <c r="F34" s="3041"/>
      <c r="G34" s="3042"/>
      <c r="I34" s="3058">
        <v>5</v>
      </c>
      <c r="J34" s="3058">
        <v>55.1</v>
      </c>
    </row>
    <row r="35" spans="1:13">
      <c r="A35" s="3040" t="s">
        <v>2537</v>
      </c>
      <c r="B35" s="3041"/>
      <c r="C35" s="3041"/>
      <c r="D35" s="3041"/>
      <c r="E35" s="3041"/>
      <c r="F35" s="3041"/>
      <c r="G35" s="3042"/>
      <c r="I35" s="3058">
        <v>10</v>
      </c>
      <c r="J35" s="3058">
        <v>67</v>
      </c>
      <c r="K35" s="3058">
        <f>J35-J34</f>
        <v>11.899999999999999</v>
      </c>
    </row>
    <row r="36" spans="1:13">
      <c r="A36" s="3040" t="s">
        <v>2538</v>
      </c>
      <c r="B36" s="3041"/>
      <c r="C36" s="3041"/>
      <c r="D36" s="3041"/>
      <c r="E36" s="3041"/>
      <c r="F36" s="3041"/>
      <c r="G36" s="3042"/>
      <c r="I36" s="3058">
        <v>15</v>
      </c>
      <c r="J36" s="3058">
        <v>76.3</v>
      </c>
      <c r="K36" s="3058">
        <f t="shared" ref="K36:K41" si="3">J36-J35</f>
        <v>9.2999999999999972</v>
      </c>
      <c r="L36" s="3058" t="s">
        <v>2566</v>
      </c>
      <c r="M36" s="3058" t="s">
        <v>2567</v>
      </c>
    </row>
    <row r="37" spans="1:13">
      <c r="A37" s="3040" t="s">
        <v>2539</v>
      </c>
      <c r="B37" s="3041"/>
      <c r="C37" s="3041"/>
      <c r="D37" s="3041"/>
      <c r="E37" s="3041"/>
      <c r="F37" s="3041"/>
      <c r="G37" s="3042"/>
      <c r="I37" s="3058">
        <v>20</v>
      </c>
      <c r="J37" s="3058">
        <v>83.6</v>
      </c>
      <c r="K37" s="3058">
        <f t="shared" si="3"/>
        <v>7.2999999999999972</v>
      </c>
      <c r="L37" s="3058" t="s">
        <v>2565</v>
      </c>
      <c r="M37" s="3058">
        <v>10</v>
      </c>
    </row>
    <row r="38" spans="1:13">
      <c r="A38" s="3040" t="s">
        <v>2540</v>
      </c>
      <c r="B38" s="3041"/>
      <c r="C38" s="3041"/>
      <c r="D38" s="3041"/>
      <c r="E38" s="3041"/>
      <c r="F38" s="3041"/>
      <c r="G38" s="3042"/>
      <c r="I38" s="3058">
        <v>25</v>
      </c>
      <c r="J38" s="3058">
        <v>89.3</v>
      </c>
      <c r="K38" s="3058">
        <f t="shared" si="3"/>
        <v>5.7000000000000028</v>
      </c>
      <c r="L38" s="3058" t="s">
        <v>2569</v>
      </c>
      <c r="M38" s="3058">
        <v>8</v>
      </c>
    </row>
    <row r="39" spans="1:13">
      <c r="A39" s="3040"/>
      <c r="B39" s="3041"/>
      <c r="C39" s="3041"/>
      <c r="D39" s="3041"/>
      <c r="E39" s="3041"/>
      <c r="F39" s="3041"/>
      <c r="G39" s="3042"/>
      <c r="I39" s="3058">
        <v>30</v>
      </c>
      <c r="J39" s="3058">
        <v>93.8</v>
      </c>
      <c r="K39" s="3058">
        <f t="shared" si="3"/>
        <v>4.5</v>
      </c>
      <c r="L39" s="3058" t="s">
        <v>2570</v>
      </c>
      <c r="M39" s="3058">
        <v>6</v>
      </c>
    </row>
    <row r="40" spans="1:13">
      <c r="A40" s="3043" t="s">
        <v>2541</v>
      </c>
      <c r="B40" s="3044"/>
      <c r="C40" s="3044"/>
      <c r="D40" s="3044"/>
      <c r="E40" s="3044"/>
      <c r="F40" s="3044"/>
      <c r="G40" s="3045"/>
      <c r="I40" s="3058">
        <v>35</v>
      </c>
      <c r="J40" s="3058">
        <v>97.2</v>
      </c>
      <c r="K40" s="3058">
        <f t="shared" si="3"/>
        <v>3.4000000000000057</v>
      </c>
      <c r="L40" s="3058" t="s">
        <v>2571</v>
      </c>
      <c r="M40" s="3058">
        <v>3</v>
      </c>
    </row>
    <row r="41" spans="1:13">
      <c r="A41" s="3046" t="s">
        <v>2542</v>
      </c>
      <c r="B41" s="3047" t="s">
        <v>2543</v>
      </c>
      <c r="C41" s="3048" t="s">
        <v>2544</v>
      </c>
      <c r="D41" s="3048" t="s">
        <v>2545</v>
      </c>
      <c r="E41" s="3049"/>
      <c r="F41" s="3050"/>
      <c r="G41" s="3051"/>
      <c r="I41" s="3058">
        <v>40</v>
      </c>
      <c r="J41" s="3058">
        <v>100</v>
      </c>
      <c r="K41" s="3058">
        <f t="shared" si="3"/>
        <v>2.7999999999999972</v>
      </c>
    </row>
    <row r="42" spans="1:13">
      <c r="A42" s="3046" t="s">
        <v>2546</v>
      </c>
      <c r="B42" s="3047" t="s">
        <v>2547</v>
      </c>
      <c r="C42" s="3048" t="s">
        <v>2548</v>
      </c>
      <c r="D42" s="3052" t="s">
        <v>2549</v>
      </c>
      <c r="E42" s="3044" t="s">
        <v>2550</v>
      </c>
      <c r="F42" s="3044"/>
      <c r="G42" s="3045"/>
    </row>
    <row r="43" spans="1:13">
      <c r="A43" s="3046" t="s">
        <v>2551</v>
      </c>
      <c r="B43" s="3047" t="s">
        <v>2552</v>
      </c>
      <c r="C43" s="3048" t="s">
        <v>2553</v>
      </c>
      <c r="D43" s="3048" t="s">
        <v>2554</v>
      </c>
      <c r="E43" s="3049" t="s">
        <v>2555</v>
      </c>
      <c r="F43" s="3050"/>
      <c r="G43" s="3051"/>
      <c r="I43" s="3058" t="s">
        <v>2563</v>
      </c>
      <c r="J43" s="3058" t="s">
        <v>2574</v>
      </c>
    </row>
    <row r="44" spans="1:13">
      <c r="A44" s="3046" t="s">
        <v>2556</v>
      </c>
      <c r="B44" s="3047" t="s">
        <v>2557</v>
      </c>
      <c r="C44" s="3048" t="s">
        <v>2558</v>
      </c>
      <c r="D44" s="3052">
        <v>0.5</v>
      </c>
      <c r="E44" s="3049" t="s">
        <v>2559</v>
      </c>
      <c r="F44" s="3050"/>
      <c r="G44" s="3051"/>
      <c r="I44" s="3058">
        <v>30</v>
      </c>
      <c r="J44" s="3058">
        <v>81.7</v>
      </c>
    </row>
    <row r="45" spans="1:13" ht="14.25" thickBot="1">
      <c r="A45" s="3053" t="s">
        <v>2560</v>
      </c>
      <c r="B45" s="3054" t="s">
        <v>2547</v>
      </c>
      <c r="C45" s="3055" t="s">
        <v>2547</v>
      </c>
      <c r="D45" s="3055" t="s">
        <v>2561</v>
      </c>
      <c r="E45" s="3056" t="s">
        <v>2562</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110" zoomScaleNormal="100" zoomScaleSheetLayoutView="110" workbookViewId="0">
      <selection activeCell="B3" sqref="B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2166</v>
      </c>
      <c r="B1" s="3585" t="str">
        <f>IF(B10="北京市","北京市",C10)&amp;F10&amp;IF(结果表!G1="在建","出让国有建设用地使用权及在建建筑物",IF(结果表!G1="土地","出让国有建设用地使用权",))&amp;B9&amp;"预评估"</f>
        <v>北京市房地产市场价值预评估</v>
      </c>
      <c r="C1" s="3586"/>
      <c r="D1" s="3586"/>
      <c r="E1" s="3586"/>
      <c r="F1" s="3586"/>
      <c r="G1" s="3586"/>
      <c r="H1" s="3586"/>
      <c r="I1" s="3587"/>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2167</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2168</v>
      </c>
      <c r="B3" s="2373">
        <v>45033</v>
      </c>
      <c r="C3" s="2374" t="s">
        <v>2169</v>
      </c>
      <c r="D3" s="2373">
        <f>B3</f>
        <v>45033</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2170</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2171</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2172</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2173</v>
      </c>
      <c r="B7" s="2387"/>
      <c r="C7" s="2385"/>
      <c r="D7" s="2386"/>
      <c r="E7" s="2662"/>
      <c r="F7" s="2664"/>
      <c r="G7" s="2664"/>
      <c r="H7" s="2664"/>
      <c r="I7" s="2664"/>
      <c r="J7" s="2439"/>
      <c r="K7" s="2616"/>
      <c r="L7" s="2613"/>
      <c r="M7" s="2613"/>
      <c r="N7" s="2439"/>
      <c r="O7" s="2450"/>
      <c r="P7" s="2439"/>
      <c r="Q7" s="2439"/>
      <c r="R7" s="2439"/>
    </row>
    <row r="8" spans="1:30">
      <c r="A8" s="2388" t="s">
        <v>2174</v>
      </c>
      <c r="B8" s="2389" t="s">
        <v>3395</v>
      </c>
      <c r="C8" s="2390"/>
      <c r="D8" s="3588" t="s">
        <v>2175</v>
      </c>
      <c r="E8" s="2391"/>
      <c r="F8" s="2392"/>
      <c r="G8" s="2663"/>
      <c r="H8" s="2663"/>
      <c r="I8" s="2663"/>
      <c r="J8" s="2439"/>
      <c r="K8" s="2614"/>
      <c r="L8" s="2613"/>
      <c r="M8" s="2613"/>
      <c r="N8" s="2439"/>
      <c r="O8" s="2450"/>
      <c r="P8" s="2439"/>
      <c r="Q8" s="2439"/>
      <c r="R8" s="2439"/>
    </row>
    <row r="9" spans="1:30" ht="13.5" thickBot="1">
      <c r="A9" s="2393" t="s">
        <v>2176</v>
      </c>
      <c r="B9" s="2394" t="s">
        <v>3396</v>
      </c>
      <c r="C9" s="2395"/>
      <c r="D9" s="3589"/>
      <c r="E9" s="2394"/>
      <c r="F9" s="2396"/>
      <c r="G9" s="2665"/>
      <c r="H9" s="2665"/>
      <c r="I9" s="2665"/>
      <c r="J9" s="2439"/>
      <c r="K9" s="2616"/>
      <c r="L9" s="2613"/>
      <c r="M9" s="2613"/>
      <c r="N9" s="2439"/>
      <c r="O9" s="2450"/>
      <c r="P9" s="2439"/>
      <c r="Q9" s="2439"/>
      <c r="R9" s="2439"/>
    </row>
    <row r="10" spans="1:30" ht="13.5" thickTop="1">
      <c r="A10" s="2397" t="s">
        <v>2177</v>
      </c>
      <c r="B10" s="2398" t="s">
        <v>3397</v>
      </c>
      <c r="C10" s="2399"/>
      <c r="D10" s="2382"/>
      <c r="E10" s="2400" t="s">
        <v>2178</v>
      </c>
      <c r="F10" s="2666"/>
      <c r="G10" s="2667"/>
      <c r="H10" s="2668"/>
      <c r="I10" s="2669"/>
      <c r="J10" s="2439"/>
      <c r="K10" s="2616"/>
      <c r="L10" s="2613"/>
      <c r="M10" s="2613"/>
      <c r="N10" s="2439"/>
      <c r="O10" s="2450"/>
      <c r="P10" s="2439"/>
      <c r="Q10" s="2439"/>
      <c r="R10" s="2439"/>
    </row>
    <row r="11" spans="1:30">
      <c r="A11" s="2401" t="s">
        <v>2179</v>
      </c>
      <c r="B11" s="2402" t="s">
        <v>3398</v>
      </c>
      <c r="C11" s="2403"/>
      <c r="D11" s="2404"/>
      <c r="E11" s="2370"/>
      <c r="F11" s="2370"/>
      <c r="G11" s="2370"/>
      <c r="H11" s="2370"/>
      <c r="I11" s="2370"/>
      <c r="J11" s="3061"/>
      <c r="K11" s="3060"/>
      <c r="L11" s="2613"/>
      <c r="M11" s="2613"/>
      <c r="N11" s="2439"/>
      <c r="O11" s="2450"/>
      <c r="P11" s="2439"/>
      <c r="Q11" s="2439"/>
      <c r="R11" s="2439"/>
    </row>
    <row r="12" spans="1:30">
      <c r="A12" s="2405" t="s">
        <v>2180</v>
      </c>
      <c r="B12" s="323" t="s">
        <v>2181</v>
      </c>
      <c r="C12" s="2406" t="s">
        <v>2182</v>
      </c>
      <c r="D12" s="2406" t="s">
        <v>2183</v>
      </c>
      <c r="E12" s="2406" t="s">
        <v>2184</v>
      </c>
      <c r="F12" s="2406" t="s">
        <v>2185</v>
      </c>
      <c r="G12" s="2406" t="s">
        <v>2186</v>
      </c>
      <c r="H12" s="2406" t="s">
        <v>2187</v>
      </c>
      <c r="I12" s="3059" t="s">
        <v>2575</v>
      </c>
      <c r="J12" s="3062"/>
      <c r="K12" s="2613"/>
      <c r="L12" s="2613"/>
      <c r="M12" s="2439"/>
      <c r="N12" s="2450"/>
      <c r="O12" s="2439"/>
      <c r="P12" s="2439"/>
      <c r="Q12" s="2439"/>
      <c r="AD12" s="1745"/>
    </row>
    <row r="13" spans="1:30">
      <c r="A13" s="3423" t="s">
        <v>3333</v>
      </c>
      <c r="B13" s="2407" t="s">
        <v>2188</v>
      </c>
      <c r="C13" s="856"/>
      <c r="D13" s="856">
        <v>52839</v>
      </c>
      <c r="E13" s="856"/>
      <c r="F13" s="856"/>
      <c r="G13" s="856"/>
      <c r="H13" s="856"/>
      <c r="I13" s="856"/>
      <c r="J13" s="3062"/>
      <c r="K13" s="2613"/>
      <c r="L13" s="2613"/>
      <c r="M13" s="2439"/>
      <c r="N13" s="2450"/>
      <c r="O13" s="2439"/>
      <c r="P13" s="2439"/>
      <c r="Q13" s="2439"/>
      <c r="AD13" s="1745"/>
    </row>
    <row r="14" spans="1:30">
      <c r="A14" s="1081"/>
      <c r="B14" s="2407" t="s">
        <v>2189</v>
      </c>
      <c r="C14" s="2408"/>
      <c r="D14" s="2408">
        <v>40</v>
      </c>
      <c r="E14" s="2408"/>
      <c r="F14" s="2408"/>
      <c r="G14" s="2408"/>
      <c r="H14" s="2408"/>
      <c r="I14" s="2408"/>
      <c r="J14" s="3063"/>
      <c r="K14" s="2613"/>
      <c r="L14" s="2613"/>
      <c r="M14" s="2439"/>
      <c r="N14" s="2450"/>
      <c r="O14" s="2439"/>
      <c r="P14" s="2439"/>
      <c r="Q14" s="2439"/>
      <c r="AD14" s="1745"/>
    </row>
    <row r="15" spans="1:30">
      <c r="A15" s="320"/>
      <c r="B15" s="2409" t="s">
        <v>2190</v>
      </c>
      <c r="C15" s="2410" t="str">
        <f>IF(A13="出让",IF(C13="","",ROUNDDOWN(MIN((C13-$D$3)/365,C14),2)),C14)</f>
        <v/>
      </c>
      <c r="D15" s="2410">
        <f>IF(A13="出让",IF(D13="","",ROUNDDOWN(MIN((D13-$D$3)/365,D14),2)),D14)</f>
        <v>21.38</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2191</v>
      </c>
      <c r="B16" s="3595"/>
      <c r="C16" s="3596"/>
      <c r="D16" s="3597"/>
      <c r="E16" s="2413" t="s">
        <v>2192</v>
      </c>
      <c r="F16" s="3598"/>
      <c r="G16" s="3599"/>
      <c r="H16" s="3599"/>
      <c r="I16" s="3600"/>
      <c r="J16" s="2439"/>
      <c r="K16" s="2617"/>
      <c r="L16" s="2451"/>
      <c r="M16" s="2451"/>
      <c r="N16" s="2509"/>
      <c r="O16" s="2451"/>
      <c r="P16" s="2509"/>
      <c r="Q16" s="2439"/>
      <c r="R16" s="2439"/>
    </row>
    <row r="17" spans="1:28">
      <c r="A17" s="313" t="s">
        <v>2193</v>
      </c>
      <c r="B17" s="302" t="s">
        <v>2194</v>
      </c>
      <c r="C17" s="8">
        <f>'数据-汇总表'!E3</f>
        <v>9265.11</v>
      </c>
      <c r="D17" s="2322" t="s">
        <v>2195</v>
      </c>
      <c r="E17" s="3601" t="s">
        <v>2196</v>
      </c>
      <c r="F17" s="3602"/>
      <c r="G17" s="3602"/>
      <c r="H17" s="3602"/>
      <c r="I17" s="3603"/>
      <c r="J17" s="2439"/>
      <c r="K17" s="2618"/>
      <c r="L17" s="2451"/>
      <c r="M17" s="2451"/>
      <c r="N17" s="2509"/>
      <c r="O17" s="2451"/>
      <c r="P17" s="2509"/>
      <c r="Q17" s="2439"/>
      <c r="R17" s="2439"/>
      <c r="S17" s="2439"/>
      <c r="T17" s="2439"/>
      <c r="U17" s="2439"/>
      <c r="V17" s="2439"/>
    </row>
    <row r="18" spans="1:28" ht="24.75" thickBot="1">
      <c r="A18" s="2414" t="s">
        <v>2197</v>
      </c>
      <c r="B18" s="1090" t="s">
        <v>2198</v>
      </c>
      <c r="C18" s="2415">
        <f>'数据-汇总表'!D3</f>
        <v>0</v>
      </c>
      <c r="D18" s="1092" t="s">
        <v>2199</v>
      </c>
      <c r="E18" s="3604" t="s">
        <v>2200</v>
      </c>
      <c r="F18" s="3605"/>
      <c r="G18" s="3605"/>
      <c r="H18" s="3605"/>
      <c r="I18" s="3606"/>
      <c r="J18" s="2439"/>
      <c r="K18" s="2618"/>
      <c r="L18" s="2451"/>
      <c r="M18" s="2451"/>
      <c r="N18" s="2509"/>
      <c r="O18" s="2451"/>
      <c r="P18" s="2509"/>
      <c r="Q18" s="2439"/>
      <c r="R18" s="2439"/>
      <c r="S18" s="2439"/>
      <c r="T18" s="2439"/>
      <c r="U18" s="2439"/>
      <c r="V18" s="2439"/>
    </row>
    <row r="19" spans="1:28" ht="37.5" thickTop="1" thickBot="1">
      <c r="A19" s="327" t="s">
        <v>1055</v>
      </c>
      <c r="B19" s="307" t="s">
        <v>2201</v>
      </c>
      <c r="C19" s="1563"/>
      <c r="D19" s="1564" t="s">
        <v>2202</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2203</v>
      </c>
      <c r="B20" s="3591" t="s">
        <v>2204</v>
      </c>
      <c r="C20" s="3592"/>
      <c r="D20" s="3593" t="s">
        <v>2205</v>
      </c>
      <c r="E20" s="3594"/>
      <c r="F20" s="2647" t="s">
        <v>1056</v>
      </c>
      <c r="G20" s="2664"/>
      <c r="H20" s="2664"/>
      <c r="I20" s="2664"/>
      <c r="J20" s="2439"/>
      <c r="K20" s="3590" t="s">
        <v>2206</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2207</v>
      </c>
      <c r="C21" s="2634" t="s">
        <v>1057</v>
      </c>
      <c r="D21" s="1568" t="s">
        <v>2208</v>
      </c>
      <c r="E21" s="2635" t="s">
        <v>1057</v>
      </c>
      <c r="F21" s="2648"/>
      <c r="G21" s="2664"/>
      <c r="H21" s="2664"/>
      <c r="I21" s="2664"/>
      <c r="J21" s="2439"/>
      <c r="K21" s="359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2209</v>
      </c>
      <c r="C22" s="2634" t="s">
        <v>1058</v>
      </c>
      <c r="D22" s="2663"/>
      <c r="E22" s="2663"/>
      <c r="F22" s="2663"/>
      <c r="G22" s="2664"/>
      <c r="H22" s="2664"/>
      <c r="I22" s="2664"/>
      <c r="J22" s="2439"/>
      <c r="K22" s="359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2210</v>
      </c>
      <c r="B23" s="2502" t="s">
        <v>2211</v>
      </c>
      <c r="C23" s="2638"/>
      <c r="D23" s="2639" t="s">
        <v>2211</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608" t="s">
        <v>2212</v>
      </c>
      <c r="B27" s="320" t="s">
        <v>2213</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608"/>
      <c r="B28" s="302" t="s">
        <v>2214</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608"/>
      <c r="B29" s="302" t="s">
        <v>2215</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609"/>
      <c r="B30" s="302" t="s">
        <v>2216</v>
      </c>
      <c r="C30" s="3610"/>
      <c r="D30" s="3611"/>
      <c r="E30" s="2664"/>
      <c r="F30" s="2664"/>
      <c r="G30" s="2664"/>
      <c r="H30" s="2664"/>
      <c r="I30" s="2664"/>
      <c r="J30" s="2439"/>
      <c r="K30" s="2616"/>
      <c r="L30" s="2613"/>
      <c r="M30" s="2613"/>
      <c r="N30" s="2439"/>
      <c r="O30" s="2450"/>
      <c r="P30" s="2439"/>
      <c r="Q30" s="2439"/>
      <c r="R30" s="2439"/>
      <c r="S30" s="2439"/>
      <c r="T30" s="2439"/>
      <c r="U30" s="2439"/>
      <c r="V30" s="2439"/>
    </row>
    <row r="31" spans="1:28">
      <c r="A31" s="3612" t="s">
        <v>2217</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613"/>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613"/>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2218</v>
      </c>
      <c r="B34" s="2026"/>
      <c r="C34" s="2026"/>
      <c r="D34" s="2026"/>
      <c r="E34" s="2026"/>
      <c r="F34" s="2026"/>
      <c r="G34" s="2026"/>
      <c r="H34" s="2026"/>
      <c r="I34" s="2664"/>
      <c r="J34" s="2439"/>
      <c r="K34" s="2427">
        <f>COUNTIF(B34:H34,"——")</f>
        <v>0</v>
      </c>
      <c r="L34" s="323" t="s">
        <v>2219</v>
      </c>
      <c r="M34" s="323" t="s">
        <v>2220</v>
      </c>
      <c r="N34" s="323" t="s">
        <v>2221</v>
      </c>
      <c r="O34" s="323" t="s">
        <v>2222</v>
      </c>
      <c r="P34" s="323" t="s">
        <v>2223</v>
      </c>
      <c r="Q34" s="323" t="s">
        <v>2224</v>
      </c>
      <c r="R34" s="323" t="s">
        <v>2225</v>
      </c>
      <c r="S34" s="3607" t="s">
        <v>2226</v>
      </c>
      <c r="T34" s="2428" t="str">
        <f>NUMBERSTRING(7-K34,1)&amp;"通"</f>
        <v>七通</v>
      </c>
      <c r="U34" s="2439"/>
      <c r="V34" s="2439"/>
    </row>
    <row r="35" spans="1:30">
      <c r="A35" s="2429"/>
      <c r="B35" s="3614" t="s">
        <v>2227</v>
      </c>
      <c r="C35" s="3614"/>
      <c r="D35" s="3614"/>
      <c r="E35" s="3614"/>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607"/>
      <c r="T35" s="329" t="str">
        <f>IF(T34="一通",L35,IF(T34="二通",M35,IF(T34="三通",N35,IF(T34="四通",O35,IF(T34="五通",P35,IF(T34="六通",Q35,R35))))))</f>
        <v>、、、、、、</v>
      </c>
      <c r="U35" s="2439"/>
      <c r="V35" s="2439"/>
    </row>
    <row r="36" spans="1:30">
      <c r="A36" s="2430"/>
      <c r="B36" s="664" t="s">
        <v>2183</v>
      </c>
      <c r="C36" s="664" t="s">
        <v>2184</v>
      </c>
      <c r="D36" s="664" t="s">
        <v>2182</v>
      </c>
      <c r="E36" s="664" t="s">
        <v>2187</v>
      </c>
      <c r="F36" s="3065" t="s">
        <v>2578</v>
      </c>
      <c r="G36" s="2664"/>
      <c r="H36" s="2664"/>
      <c r="I36" s="2664"/>
      <c r="J36" s="2439"/>
      <c r="K36" s="2616"/>
      <c r="L36" s="2613"/>
      <c r="M36" s="2613"/>
      <c r="N36" s="2439"/>
      <c r="O36" s="2450"/>
      <c r="P36" s="2439"/>
      <c r="Q36" s="2439"/>
      <c r="R36" s="2439"/>
      <c r="S36" s="2439"/>
      <c r="T36" s="2439"/>
      <c r="U36" s="2439"/>
      <c r="V36" s="2439"/>
    </row>
    <row r="37" spans="1:30">
      <c r="A37" s="2630" t="s">
        <v>2228</v>
      </c>
      <c r="B37" s="2431" t="s">
        <v>110</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2229</v>
      </c>
      <c r="B38" s="2432" t="s">
        <v>281</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2230</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2231</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2232</v>
      </c>
      <c r="B42" s="8" t="s">
        <v>2233</v>
      </c>
      <c r="C42" s="8" t="s">
        <v>2234</v>
      </c>
      <c r="D42" s="8" t="s">
        <v>2235</v>
      </c>
      <c r="E42" s="8" t="s">
        <v>2236</v>
      </c>
      <c r="F42" s="8" t="s">
        <v>2237</v>
      </c>
      <c r="G42" s="8" t="s">
        <v>2238</v>
      </c>
      <c r="H42" s="8" t="s">
        <v>2239</v>
      </c>
      <c r="I42" s="8" t="s">
        <v>2240</v>
      </c>
      <c r="J42" s="2626" t="s">
        <v>2241</v>
      </c>
      <c r="K42" s="2627" t="s">
        <v>2242</v>
      </c>
      <c r="L42" s="2627" t="s">
        <v>2243</v>
      </c>
      <c r="M42" s="2627" t="s">
        <v>2244</v>
      </c>
      <c r="N42" s="2620" t="s">
        <v>2245</v>
      </c>
      <c r="O42" s="2620" t="s">
        <v>2246</v>
      </c>
      <c r="P42" s="2620" t="s">
        <v>2247</v>
      </c>
      <c r="Q42" s="2621" t="s">
        <v>2248</v>
      </c>
      <c r="R42" s="2621" t="s">
        <v>2249</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8" sqref="K1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37633.62000000001</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37633.62000000001</v>
      </c>
      <c r="H5" s="13">
        <f t="shared" ref="H5:AT5" si="0">SUM(H13:H656)</f>
        <v>37633.62000000001</v>
      </c>
      <c r="I5" s="13">
        <f t="shared" si="0"/>
        <v>37633.62000000001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9265.11</v>
      </c>
      <c r="BA5" s="15">
        <f t="shared" si="1"/>
        <v>9265.11</v>
      </c>
      <c r="BB5" s="15">
        <f t="shared" si="1"/>
        <v>9265.11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3533</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3534</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办公楼</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f>面积明细表!C3</f>
        <v>1</v>
      </c>
      <c r="D13" s="1625" t="s">
        <v>3532</v>
      </c>
      <c r="E13" s="13">
        <f>IF($C$3="是",ROUND($A$3*G13/$B$3,2),ROUND($A$3*(G13-AT13)/$B$3,2))</f>
        <v>0</v>
      </c>
      <c r="F13" s="29"/>
      <c r="G13" s="30">
        <f>H13+AC13+AT13</f>
        <v>9265.11</v>
      </c>
      <c r="H13" s="17">
        <f>SUMIF(I$12:AB$12,"总值",I13:AB13)</f>
        <v>9265.11</v>
      </c>
      <c r="I13" s="1626">
        <f>面积明细表!H3</f>
        <v>9265.11</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1</v>
      </c>
      <c r="AY13" s="1349">
        <f>ROUND($AY$6*AZ13/$AZ$5,2)</f>
        <v>0</v>
      </c>
      <c r="AZ13" s="13">
        <f>BA13+BL13</f>
        <v>9265.11</v>
      </c>
      <c r="BA13" s="13">
        <f>SUM(BB13:BK13)</f>
        <v>9265.11</v>
      </c>
      <c r="BB13" s="13">
        <f>IF($D13="是",I13-J13,0)</f>
        <v>9265.11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051">
        <f>面积明细表!C4</f>
        <v>2</v>
      </c>
      <c r="D14" s="1625"/>
      <c r="E14" s="13">
        <f>IF($C$3="是",ROUND($A$3*G14/$B$3,2),ROUND($A$3*(G14-AT14)/$B$3,2))</f>
        <v>0</v>
      </c>
      <c r="F14" s="29"/>
      <c r="G14" s="30">
        <f>H14+AC14+AT14</f>
        <v>8680.8700000000008</v>
      </c>
      <c r="H14" s="17">
        <f>SUMIF(I$12:AB$12,"总值",I14:AB14)</f>
        <v>8680.8700000000008</v>
      </c>
      <c r="I14" s="1626">
        <f>面积明细表!H4</f>
        <v>8680.8700000000008</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2</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051">
        <f>面积明细表!C5</f>
        <v>3</v>
      </c>
      <c r="D15" s="1625"/>
      <c r="E15" s="13">
        <f>IF($C$3="是",ROUND($A$3*G15/$B$3,2),ROUND($A$3*(G15-AT15)/$B$3,2))</f>
        <v>0</v>
      </c>
      <c r="F15" s="29"/>
      <c r="G15" s="30">
        <f>H15+AC15+AT15</f>
        <v>8680.8700000000008</v>
      </c>
      <c r="H15" s="17">
        <f>SUMIF(I$12:AB$12,"总值",I15:AB15)</f>
        <v>8680.8700000000008</v>
      </c>
      <c r="I15" s="1626">
        <f>面积明细表!H5</f>
        <v>8680.8700000000008</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3</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051">
        <f>面积明细表!C6</f>
        <v>4</v>
      </c>
      <c r="D16" s="1625"/>
      <c r="E16" s="13">
        <f>IF($C$3="是",ROUND($A$3*G16/$B$3,2),ROUND($A$3*(G16-AT16)/$B$3,2))</f>
        <v>0</v>
      </c>
      <c r="F16" s="29"/>
      <c r="G16" s="30">
        <f>H16+AC16+AT16</f>
        <v>8451.7199999999993</v>
      </c>
      <c r="H16" s="17">
        <f>SUMIF(I$12:AB$12,"总值",I16:AB16)</f>
        <v>8451.7199999999993</v>
      </c>
      <c r="I16" s="1626">
        <f>面积明细表!H6</f>
        <v>8451.7199999999993</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4</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051">
        <f>面积明细表!C7</f>
        <v>5</v>
      </c>
      <c r="D17" s="1625"/>
      <c r="E17" s="13">
        <f>IF($C$3="是",ROUND($A$3*G17/$B$3,2),ROUND($A$3*(G17-AT17)/$B$3,2))</f>
        <v>0</v>
      </c>
      <c r="F17" s="29"/>
      <c r="G17" s="30">
        <f>H17+AC17+AT17</f>
        <v>2555.0500000000002</v>
      </c>
      <c r="H17" s="17">
        <f>SUMIF(I$12:AB$12,"总值",I17:AB17)</f>
        <v>2555.0500000000002</v>
      </c>
      <c r="I17" s="1626">
        <f>面积明细表!H7</f>
        <v>2555.0500000000002</v>
      </c>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5</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162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0" zoomScaleNormal="100" zoomScaleSheetLayoutView="80" workbookViewId="0">
      <selection activeCell="F20" sqref="F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624" t="s">
        <v>1131</v>
      </c>
      <c r="B2" s="3624"/>
      <c r="C2" s="3624"/>
      <c r="D2" s="796" t="s">
        <v>1107</v>
      </c>
      <c r="E2" s="1639" t="s">
        <v>1108</v>
      </c>
      <c r="F2" s="2659"/>
      <c r="G2" s="2650"/>
      <c r="H2" s="2651"/>
      <c r="I2" s="2325" t="s">
        <v>1132</v>
      </c>
      <c r="J2" s="2659"/>
      <c r="K2" s="2659"/>
      <c r="L2" s="2659"/>
      <c r="M2" s="2659"/>
      <c r="N2" s="2661"/>
      <c r="O2" s="2659"/>
      <c r="P2" s="2659"/>
    </row>
    <row r="3" spans="1:16" ht="15.75" thickBot="1">
      <c r="A3" s="3625" t="s">
        <v>1105</v>
      </c>
      <c r="B3" s="3625"/>
      <c r="C3" s="3625"/>
      <c r="D3" s="43">
        <f>'数据-基础表'!AY6</f>
        <v>0</v>
      </c>
      <c r="E3" s="43">
        <f>'数据-基础表'!AZ5</f>
        <v>9265.11</v>
      </c>
      <c r="F3" s="2659"/>
      <c r="G3" s="1145"/>
      <c r="H3" s="1026" t="s">
        <v>1106</v>
      </c>
      <c r="I3" s="855" t="e">
        <f>ROUND('数据-基础表'!B3/'数据-基础表'!A3,2)</f>
        <v>#DIV/0!</v>
      </c>
      <c r="J3" s="2659"/>
      <c r="K3" s="2659"/>
      <c r="L3" s="2659"/>
      <c r="M3" s="2659"/>
      <c r="N3" s="2661"/>
      <c r="O3" s="2659"/>
      <c r="P3" s="2659"/>
    </row>
    <row r="4" spans="1:16" ht="15">
      <c r="A4" s="3626"/>
      <c r="B4" s="3627"/>
      <c r="C4" s="3628"/>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629" t="s">
        <v>1110</v>
      </c>
      <c r="C5" s="3629"/>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629" t="s">
        <v>1111</v>
      </c>
      <c r="C6" s="3629"/>
      <c r="D6" s="45">
        <f>ROUND($D$3*E6/$E$3,2)</f>
        <v>0</v>
      </c>
      <c r="E6" s="46">
        <f>E3-E5</f>
        <v>9265.11</v>
      </c>
      <c r="F6" s="2659"/>
      <c r="G6" s="2653" t="s">
        <v>1112</v>
      </c>
      <c r="H6" s="1146" t="s">
        <v>1113</v>
      </c>
      <c r="I6" s="2654" t="e">
        <f>ROUND(F31/D31,2)</f>
        <v>#DIV/0!</v>
      </c>
      <c r="J6" s="2659"/>
      <c r="K6" s="2659"/>
      <c r="L6" s="2659"/>
      <c r="M6" s="2659"/>
      <c r="N6" s="2659"/>
      <c r="O6" s="2659"/>
      <c r="P6" s="2659"/>
    </row>
    <row r="7" spans="1:16" ht="15.75" thickBot="1">
      <c r="A7" s="3621"/>
      <c r="B7" s="3622"/>
      <c r="C7" s="3623"/>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9265.11</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9265.11</v>
      </c>
      <c r="F16" s="2659"/>
      <c r="G16" s="2660"/>
      <c r="H16" s="1648" t="s">
        <v>1135</v>
      </c>
      <c r="I16" s="1649"/>
      <c r="J16" s="1139"/>
      <c r="K16" s="3618" t="s">
        <v>1135</v>
      </c>
      <c r="L16" s="3619"/>
      <c r="M16" s="3619"/>
      <c r="N16" s="3619"/>
      <c r="O16" s="3619"/>
      <c r="P16" s="3620"/>
    </row>
    <row r="17" spans="1:19" ht="15">
      <c r="A17" s="1650" t="s">
        <v>1136</v>
      </c>
      <c r="B17" s="1651" t="s">
        <v>1137</v>
      </c>
      <c r="C17" s="1652" t="s">
        <v>1138</v>
      </c>
      <c r="D17" s="1653" t="s">
        <v>1126</v>
      </c>
      <c r="E17" s="1654" t="s">
        <v>1127</v>
      </c>
      <c r="F17" s="1655"/>
      <c r="G17" s="1656"/>
      <c r="H17" s="1657" t="s">
        <v>1139</v>
      </c>
      <c r="I17" s="1658" t="s">
        <v>1124</v>
      </c>
      <c r="J17" s="1139"/>
      <c r="K17" s="3615" t="s">
        <v>1140</v>
      </c>
      <c r="L17" s="3616"/>
      <c r="M17" s="3617"/>
      <c r="N17" s="3615" t="s">
        <v>1141</v>
      </c>
      <c r="O17" s="3616"/>
      <c r="P17" s="3617"/>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3536</v>
      </c>
      <c r="D19" s="45">
        <f>ROUND($D$3*E19/$E$3,2)</f>
        <v>0</v>
      </c>
      <c r="E19" s="53">
        <f t="shared" ref="E19:E26" si="1">SUM(F19:G19)</f>
        <v>9265.11</v>
      </c>
      <c r="F19" s="2795">
        <f>'数据-基础表'!I13</f>
        <v>9265.11</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9265.11</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9265.11</v>
      </c>
      <c r="F27" s="1140">
        <f>IF(SUM(F19:F26)=E8,SUM(F19:F26),"地上面积有误")</f>
        <v>9265.11</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9265.11</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9265.11</v>
      </c>
      <c r="F31" s="677">
        <f>F27+F30</f>
        <v>9265.11</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J6" activePane="bottomRight" state="frozen"/>
      <selection activeCell="C50" sqref="C50"/>
      <selection pane="topRight" activeCell="C50" sqref="C50"/>
      <selection pane="bottomLeft" activeCell="C50" sqref="C50"/>
      <selection pane="bottomRight" activeCell="P22" sqref="P22"/>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45033</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3537</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4层办公</v>
      </c>
      <c r="B6" s="1713" t="str">
        <f>IF(A6=0,"","经营性")</f>
        <v>经营性</v>
      </c>
      <c r="C6" s="1714" t="s">
        <v>673</v>
      </c>
      <c r="D6" s="858">
        <f>SUMIF(项目基本情况!C$12:I$12,C6,项目基本情况!C$14:I$14)</f>
        <v>40</v>
      </c>
      <c r="E6" s="857">
        <f>IF(B6="","",SUMIF(项目基本情况!C$12:I$12,C6,项目基本情况!C$13:I$13))</f>
        <v>52839</v>
      </c>
      <c r="F6" s="64">
        <f>SUMIF(项目基本情况!C$12:I$12,C6,项目基本情况!C$15:I$15)</f>
        <v>21.38</v>
      </c>
      <c r="G6" s="65">
        <f>IF(ISERROR(ROUND(POWER(1+H6,D6-F6)*(POWER(1+H6,F6)-1)/(POWER(1+H6,D6)-1),3)),0,ROUND(POWER(1+H6,D6-F6)*(POWER(1+H6,F6)-1)/(POWER(1+H6,D6)-1),3))</f>
        <v>0.71699999999999997</v>
      </c>
      <c r="H6" s="732">
        <v>0.04</v>
      </c>
      <c r="I6" s="732">
        <v>4.4999999999999998E-2</v>
      </c>
      <c r="J6" s="66">
        <v>0.06</v>
      </c>
      <c r="K6" s="1030">
        <f>SUMIF('数据-汇总表'!C$19:C$33,A6,'数据-汇总表'!E$19:E$33)</f>
        <v>9265.11</v>
      </c>
      <c r="L6" s="733">
        <v>3500</v>
      </c>
      <c r="M6" s="67">
        <f t="shared" ref="M6:M14" si="0">ROUND(K6*L6/10000,0)</f>
        <v>3243</v>
      </c>
      <c r="N6" s="731">
        <v>0.82</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c r="V6" s="70"/>
      <c r="W6" s="70"/>
      <c r="X6" s="1040"/>
      <c r="Y6" s="71"/>
      <c r="Z6" s="72"/>
      <c r="AA6" s="66"/>
      <c r="AB6" s="66"/>
      <c r="AC6" s="1040"/>
      <c r="AD6" s="73"/>
      <c r="AE6" s="1041">
        <f ca="1">IF(AN6="",0,SUMIF(INDIRECT("'"&amp;AN6&amp;"'"&amp;"!E:E"),$AE$5,INDIRECT("'"&amp;AN6&amp;"'"&amp;"!F:F")))</f>
        <v>0</v>
      </c>
      <c r="AF6" s="1348"/>
      <c r="AG6" s="138">
        <f>IF(AF6="",0,AE6-AF6)</f>
        <v>0</v>
      </c>
      <c r="AH6" s="74"/>
      <c r="AI6" s="76"/>
      <c r="AJ6" s="77"/>
      <c r="AK6" s="78">
        <v>0.01</v>
      </c>
      <c r="AL6" s="79">
        <v>1E-3</v>
      </c>
      <c r="AM6" s="80">
        <v>0.01</v>
      </c>
      <c r="AN6" s="1715"/>
      <c r="AO6" s="52" t="e">
        <f ca="1">SUMIF(INDIRECT("'"&amp;AN6&amp;"'"&amp;"!A:A"),"总价",INDIRECT("'"&amp;AN6&amp;"'"&amp;"!B:B"))</f>
        <v>#REF!</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0.71699999999999997</v>
      </c>
      <c r="H16" s="90">
        <f>ROUND(SUMPRODUCT(H6:H13,K6:K13)/SUMPRODUCT((H6:H13&gt;0)*(K6:K13)),3)</f>
        <v>0.04</v>
      </c>
      <c r="I16" s="91"/>
      <c r="J16" s="91"/>
      <c r="K16" s="92">
        <f>SUM(K6:K15)</f>
        <v>9265.11</v>
      </c>
      <c r="L16" s="93">
        <f>ROUND(M16*10000/SUM(K6:K14),0)</f>
        <v>3500</v>
      </c>
      <c r="M16" s="93">
        <f>SUM(M6:M14)</f>
        <v>3243</v>
      </c>
      <c r="N16" s="94">
        <f>ROUND(SUMPRODUCT(M6:M14,N6:N14)/M16,3)</f>
        <v>0.82</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2301</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1</v>
      </c>
      <c r="C20" s="2800" t="s">
        <v>2299</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1</v>
      </c>
      <c r="C21" s="2673"/>
      <c r="D21" s="2676"/>
      <c r="E21" s="2673"/>
      <c r="F21" s="2673"/>
      <c r="G21" s="2673"/>
      <c r="H21" s="2673"/>
      <c r="I21" s="2673"/>
      <c r="J21" s="2673"/>
      <c r="K21" s="2672"/>
      <c r="L21" s="2672"/>
      <c r="M21" s="2671">
        <v>2007</v>
      </c>
      <c r="N21" s="2671">
        <f>1-(2023-M21)/60</f>
        <v>0.73333333333333339</v>
      </c>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1</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2303</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 (元)'!C10</f>
        <v>1853022</v>
      </c>
      <c r="C29" s="2802" t="s">
        <v>2290</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2291</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3" t="s">
        <v>2292</v>
      </c>
      <c r="D34" s="2684" t="s">
        <v>2300</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2293</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2294</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0.01</v>
      </c>
      <c r="C37" s="2803" t="s">
        <v>2295</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0.01</v>
      </c>
      <c r="C38" s="2803" t="s">
        <v>2295</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3540</v>
      </c>
      <c r="B40" s="1078">
        <f ca="1">IF(A40="利息：取LPR",存贷款利率!G1,存贷款利率!G1+C40)</f>
        <v>4.3499999999999997E-2</v>
      </c>
      <c r="C40" s="2814">
        <v>7.0000000000000001E-3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2304</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2296</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2297</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2305</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2296</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2298</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2302</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Normal="80" zoomScaleSheetLayoutView="100" workbookViewId="0">
      <pane xSplit="1" ySplit="2" topLeftCell="B8"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630" t="s">
        <v>2282</v>
      </c>
      <c r="B1" s="3631"/>
      <c r="C1" s="3631"/>
      <c r="D1" s="3631"/>
      <c r="E1" s="3631"/>
      <c r="F1" s="3631"/>
      <c r="G1" s="3631"/>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2277</v>
      </c>
      <c r="D2" s="2461"/>
      <c r="E2" s="2458"/>
      <c r="F2" s="2462"/>
      <c r="G2" s="2460" t="s">
        <v>2278</v>
      </c>
      <c r="H2" s="799"/>
      <c r="I2" s="799"/>
      <c r="J2" s="799"/>
      <c r="K2" s="799"/>
      <c r="L2" s="799"/>
      <c r="M2" s="799"/>
      <c r="N2" s="799"/>
      <c r="O2" s="799"/>
      <c r="P2" s="799"/>
      <c r="Q2" s="799"/>
      <c r="R2" s="799"/>
    </row>
    <row r="3" spans="1:29" ht="48">
      <c r="A3" s="2441" t="s">
        <v>2279</v>
      </c>
      <c r="B3" s="2463" t="s">
        <v>2250</v>
      </c>
      <c r="C3" s="2464" t="s">
        <v>2280</v>
      </c>
      <c r="D3" s="2465"/>
      <c r="E3" s="2442" t="s">
        <v>2279</v>
      </c>
      <c r="F3" s="2466" t="s">
        <v>2251</v>
      </c>
      <c r="G3" s="2467" t="s">
        <v>2281</v>
      </c>
      <c r="H3" s="799"/>
      <c r="I3" s="799"/>
      <c r="J3" s="799"/>
      <c r="K3" s="799"/>
      <c r="L3" s="799"/>
      <c r="M3" s="799"/>
      <c r="N3" s="799"/>
      <c r="O3" s="799"/>
      <c r="P3" s="799"/>
      <c r="Q3" s="799"/>
      <c r="R3" s="799"/>
    </row>
    <row r="4" spans="1:29" ht="36.75">
      <c r="A4" s="2442"/>
      <c r="B4" s="323" t="s">
        <v>2252</v>
      </c>
      <c r="C4" s="2468" t="s">
        <v>2253</v>
      </c>
      <c r="D4" s="2465"/>
      <c r="E4" s="2469"/>
      <c r="F4" s="1373" t="s">
        <v>2254</v>
      </c>
      <c r="G4" s="2470" t="s">
        <v>2255</v>
      </c>
      <c r="H4" s="799"/>
      <c r="I4" s="799"/>
      <c r="J4" s="799"/>
      <c r="K4" s="799"/>
      <c r="L4" s="799"/>
      <c r="M4" s="799"/>
      <c r="N4" s="799"/>
      <c r="O4" s="799"/>
      <c r="P4" s="799"/>
      <c r="Q4" s="799"/>
      <c r="R4" s="799"/>
    </row>
    <row r="5" spans="1:29" ht="36">
      <c r="A5" s="2442"/>
      <c r="B5" s="323" t="s">
        <v>2256</v>
      </c>
      <c r="C5" s="3540" t="s">
        <v>3578</v>
      </c>
      <c r="D5" s="2465"/>
      <c r="E5" s="2469"/>
      <c r="F5" s="323" t="s">
        <v>2257</v>
      </c>
      <c r="G5" s="2470" t="s">
        <v>2258</v>
      </c>
      <c r="H5" s="799"/>
      <c r="I5" s="799"/>
      <c r="J5" s="799"/>
      <c r="K5" s="799"/>
      <c r="L5" s="799"/>
      <c r="M5" s="799"/>
      <c r="N5" s="799"/>
      <c r="O5" s="799"/>
      <c r="P5" s="799"/>
      <c r="Q5" s="799"/>
      <c r="R5" s="799"/>
    </row>
    <row r="6" spans="1:29" ht="72">
      <c r="A6" s="2442"/>
      <c r="B6" s="323" t="s">
        <v>2259</v>
      </c>
      <c r="C6" s="3541" t="s">
        <v>3576</v>
      </c>
      <c r="D6" s="2465"/>
      <c r="E6" s="2469"/>
      <c r="F6" s="323" t="s">
        <v>2260</v>
      </c>
      <c r="G6" s="2470" t="s">
        <v>2261</v>
      </c>
      <c r="H6" s="799"/>
      <c r="I6" s="799"/>
      <c r="J6" s="799"/>
      <c r="K6" s="799"/>
      <c r="L6" s="799"/>
      <c r="M6" s="799"/>
      <c r="N6" s="799"/>
      <c r="O6" s="799"/>
      <c r="P6" s="799"/>
      <c r="Q6" s="799"/>
      <c r="R6" s="799"/>
    </row>
    <row r="7" spans="1:29" ht="156.75" thickBot="1">
      <c r="A7" s="2442"/>
      <c r="B7" s="323" t="s">
        <v>2257</v>
      </c>
      <c r="C7" s="3541" t="s">
        <v>3584</v>
      </c>
      <c r="D7" s="2471"/>
      <c r="E7" s="2472"/>
      <c r="F7" s="2473" t="s">
        <v>2262</v>
      </c>
      <c r="G7" s="2474" t="s">
        <v>2263</v>
      </c>
      <c r="H7" s="799"/>
      <c r="I7" s="799"/>
      <c r="J7" s="799"/>
      <c r="K7" s="799"/>
      <c r="L7" s="799"/>
      <c r="M7" s="799"/>
      <c r="N7" s="799"/>
      <c r="O7" s="799"/>
      <c r="P7" s="799"/>
      <c r="Q7" s="799"/>
      <c r="R7" s="799"/>
    </row>
    <row r="8" spans="1:29">
      <c r="A8" s="2442"/>
      <c r="B8" s="323" t="s">
        <v>2260</v>
      </c>
      <c r="C8" s="2470" t="s">
        <v>2261</v>
      </c>
      <c r="D8" s="2471"/>
      <c r="E8" s="2471"/>
      <c r="F8" s="2475"/>
      <c r="G8" s="2475"/>
      <c r="H8" s="799"/>
      <c r="I8" s="799"/>
      <c r="J8" s="799"/>
      <c r="K8" s="799"/>
      <c r="L8" s="799"/>
      <c r="M8" s="799"/>
      <c r="N8" s="799"/>
      <c r="O8" s="799"/>
      <c r="P8" s="799"/>
      <c r="Q8" s="799"/>
      <c r="R8" s="799"/>
    </row>
    <row r="9" spans="1:29" ht="36">
      <c r="A9" s="2442"/>
      <c r="B9" s="323" t="s">
        <v>2264</v>
      </c>
      <c r="C9" s="3540" t="s">
        <v>3577</v>
      </c>
      <c r="D9" s="2465"/>
      <c r="E9" s="2471"/>
      <c r="F9" s="2475"/>
      <c r="G9" s="2475"/>
      <c r="H9" s="799"/>
      <c r="I9" s="799"/>
      <c r="J9" s="799"/>
      <c r="K9" s="799"/>
      <c r="L9" s="799"/>
      <c r="M9" s="799"/>
      <c r="N9" s="799"/>
      <c r="O9" s="799"/>
      <c r="P9" s="799"/>
      <c r="Q9" s="799"/>
      <c r="R9" s="799"/>
    </row>
    <row r="10" spans="1:29" s="2481" customFormat="1" ht="15" thickBot="1">
      <c r="A10" s="2443"/>
      <c r="B10" s="2476" t="s">
        <v>2265</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2283</v>
      </c>
      <c r="B13" s="2484"/>
      <c r="C13" s="2484"/>
      <c r="D13" s="2482"/>
      <c r="E13" s="2484"/>
      <c r="F13" s="2484"/>
      <c r="G13" s="2484"/>
    </row>
    <row r="14" spans="1:29" ht="15" thickBot="1">
      <c r="A14" s="2494"/>
      <c r="B14" s="2494"/>
      <c r="C14" s="2495" t="s">
        <v>2266</v>
      </c>
      <c r="D14" s="2465"/>
      <c r="E14" s="2496"/>
      <c r="F14" s="2496"/>
      <c r="G14" s="2460" t="s">
        <v>2267</v>
      </c>
    </row>
    <row r="15" spans="1:29" ht="51">
      <c r="A15" s="2444" t="s">
        <v>2268</v>
      </c>
      <c r="B15" s="2497" t="s">
        <v>2250</v>
      </c>
      <c r="C15" s="2498" t="str">
        <f>C3</f>
        <v>估价对象周边居住用地比例、居住小区规模和社区发展完善程度，综合评价居住社区成熟度一般</v>
      </c>
      <c r="D15" s="2465"/>
      <c r="E15" s="2445" t="s">
        <v>2269</v>
      </c>
      <c r="F15" s="2497" t="s">
        <v>2270</v>
      </c>
      <c r="G15" s="2499" t="str">
        <f>G3</f>
        <v>估价对象位于XX开发区，园区建设成熟度XX，产业集聚程度XX</v>
      </c>
    </row>
    <row r="16" spans="1:29" ht="38.25">
      <c r="A16" s="2446"/>
      <c r="B16" s="2500" t="s">
        <v>2252</v>
      </c>
      <c r="C16" s="2501" t="str">
        <f>C4</f>
        <v>估价对象位于XX商圈，周边商业氛围成熟，人流量大，商业繁华度好</v>
      </c>
      <c r="D16" s="2465"/>
      <c r="E16" s="2447"/>
      <c r="F16" s="2502" t="s">
        <v>2254</v>
      </c>
      <c r="G16" s="2503" t="str">
        <f>G4</f>
        <v>估价对象周边道路状况、公共交通通达情况、停车便捷程度，综合评价交通便捷度较好</v>
      </c>
    </row>
    <row r="17" spans="1:18" ht="38.25">
      <c r="A17" s="2446"/>
      <c r="B17" s="2500" t="s">
        <v>2256</v>
      </c>
      <c r="C17" s="2501" t="str">
        <f>C5</f>
        <v>估价对象位于望京商圈，周边有利星行、悠乐汇等办公项目，入驻率高，办公集聚程度较好</v>
      </c>
      <c r="D17" s="2471"/>
      <c r="E17" s="2447"/>
      <c r="F17" s="2502" t="s">
        <v>2271</v>
      </c>
      <c r="G17" s="2504"/>
    </row>
    <row r="18" spans="1:18" ht="76.5">
      <c r="A18" s="2446"/>
      <c r="B18" s="2502" t="s">
        <v>2259</v>
      </c>
      <c r="C18" s="2503" t="str">
        <f>C6</f>
        <v>估价对象周边有132路、404路、421路、451路、593路等多条公交线路，距离地铁14号线阜通站约200米，周边道路网线较密集，通达度较好。综合评价交通便捷度较好。</v>
      </c>
      <c r="D18" s="2471"/>
      <c r="E18" s="2447"/>
      <c r="F18" s="2502" t="s">
        <v>2262</v>
      </c>
      <c r="G18" s="2503" t="str">
        <f>G7</f>
        <v>该园区内是否有污染型企业，绿化情况，卫生条件，整体环境状况判断</v>
      </c>
    </row>
    <row r="19" spans="1:18" ht="25.5">
      <c r="A19" s="2446"/>
      <c r="B19" s="2502" t="s">
        <v>2272</v>
      </c>
      <c r="C19" s="2504"/>
      <c r="D19" s="2465"/>
      <c r="E19" s="2447"/>
      <c r="F19" s="323" t="s">
        <v>2257</v>
      </c>
      <c r="G19" s="2503" t="str">
        <f>G5</f>
        <v>估价对象所在区域公共配套设施齐备情况</v>
      </c>
    </row>
    <row r="20" spans="1:18" ht="38.25">
      <c r="A20" s="2446"/>
      <c r="B20" s="2502" t="s">
        <v>2273</v>
      </c>
      <c r="C20" s="2501" t="str">
        <f>C9</f>
        <v>估价对象周边有望京文化体育公园、望京文化广场等自然人文场所，综合评价环境状况一般。</v>
      </c>
      <c r="D20" s="2471"/>
      <c r="E20" s="2447"/>
      <c r="F20" s="323" t="s">
        <v>2260</v>
      </c>
      <c r="G20" s="2503" t="str">
        <f>G6</f>
        <v>估价对象所在区域基础设施水平</v>
      </c>
    </row>
    <row r="21" spans="1:18" ht="165.75">
      <c r="A21" s="2446"/>
      <c r="B21" s="323" t="s">
        <v>2257</v>
      </c>
      <c r="C21" s="2503" t="str">
        <f>C7</f>
        <v>周边1公里内的公共服务配套设施较齐备，有购物场所（凯德MALL、新世界百货、物美大卖场、京客隆等）、医院（中国中医科学院望京医院、北京明德医院、南湖东园社区卫生服务站等）、银行（中国光大银行、广发银行、友利银行等）、学校（中央美术学院、首师大附属实验学校（南校区）、陈经伦中学分校（南湖东园校区）、南湖中园小学、望京新城幼儿园等）等公共服务配套设施。</v>
      </c>
      <c r="D21" s="2465"/>
      <c r="E21" s="2447"/>
      <c r="F21" s="2502" t="s">
        <v>2274</v>
      </c>
      <c r="G21" s="2505"/>
    </row>
    <row r="22" spans="1:18" ht="13.5" customHeight="1">
      <c r="A22" s="2446"/>
      <c r="B22" s="323" t="s">
        <v>2260</v>
      </c>
      <c r="C22" s="2503" t="str">
        <f>C8</f>
        <v>估价对象所在区域基础设施水平</v>
      </c>
      <c r="D22" s="2465"/>
      <c r="E22" s="2447"/>
      <c r="F22" s="2502" t="s">
        <v>2265</v>
      </c>
      <c r="G22" s="2504"/>
    </row>
    <row r="23" spans="1:18" s="799" customFormat="1" ht="15" thickBot="1">
      <c r="A23" s="2446"/>
      <c r="B23" s="2502" t="s">
        <v>2274</v>
      </c>
      <c r="C23" s="2505"/>
      <c r="D23" s="1741"/>
      <c r="E23" s="2448"/>
      <c r="F23" s="2506" t="s">
        <v>2275</v>
      </c>
      <c r="G23" s="2507"/>
      <c r="H23" s="2491"/>
      <c r="I23" s="2492"/>
      <c r="J23" s="2491"/>
      <c r="K23" s="2491"/>
      <c r="L23" s="2492"/>
      <c r="M23" s="2491"/>
      <c r="N23" s="2491"/>
      <c r="O23" s="2492"/>
      <c r="P23" s="2491"/>
      <c r="Q23" s="2491"/>
      <c r="R23" s="2493"/>
    </row>
    <row r="24" spans="1:18" s="799" customFormat="1" ht="15" thickBot="1">
      <c r="A24" s="2449"/>
      <c r="B24" s="2506" t="s">
        <v>2276</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tabSelected="1" view="pageBreakPreview" zoomScale="80" zoomScaleNormal="80" zoomScaleSheetLayoutView="80" workbookViewId="0">
      <selection activeCell="D14" sqref="D14"/>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9265.11</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45033</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22703</v>
      </c>
      <c r="C5" s="2512">
        <f ca="1">IF(B5=D14,结果表!H102,ROUND(B5*10000/$B$1,0))</f>
        <v>0</v>
      </c>
      <c r="D5" s="2512" t="e">
        <f ca="1">ROUND(B5*10000/$B$2,0)</f>
        <v>#DIV/0!</v>
      </c>
      <c r="E5" s="2686"/>
      <c r="F5" s="2687"/>
      <c r="G5" s="2687"/>
      <c r="H5" s="2688"/>
      <c r="I5" s="2688"/>
      <c r="J5" s="2688"/>
      <c r="K5" s="2688"/>
    </row>
    <row r="6" spans="1:11" ht="16.5">
      <c r="A6" s="2512" t="s">
        <v>656</v>
      </c>
      <c r="B6" s="2512">
        <f>SUM(G14:G23)</f>
        <v>0</v>
      </c>
      <c r="C6" s="2512">
        <f ca="1">IF(B6=G14,结果表!H108,ROUND(B6*10000/$B$1,0))</f>
        <v>0</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3926">
        <f ca="1">D14</f>
        <v>22703</v>
      </c>
      <c r="C9" s="2686"/>
      <c r="D9" s="2686"/>
      <c r="E9" s="2686"/>
      <c r="F9" s="2687"/>
      <c r="G9" s="2687"/>
      <c r="H9" s="2688"/>
      <c r="I9" s="2688"/>
      <c r="J9" s="2688"/>
      <c r="K9" s="2688"/>
    </row>
    <row r="10" spans="1:11" ht="16.5">
      <c r="A10" s="2512" t="s">
        <v>654</v>
      </c>
      <c r="B10" s="2512" t="e">
        <f ca="1">IF(E10="",0,ROUND(B1*(E10*365/G10)/10000,0))</f>
        <v>#DIV/0!</v>
      </c>
      <c r="C10" s="2512" t="s">
        <v>3356</v>
      </c>
      <c r="D10" s="2512" t="s">
        <v>3357</v>
      </c>
      <c r="E10" s="3441">
        <f ca="1">D14</f>
        <v>22703</v>
      </c>
      <c r="F10" s="3445" t="s">
        <v>3358</v>
      </c>
      <c r="G10" s="3442"/>
      <c r="H10" s="2688"/>
      <c r="I10" s="2688"/>
      <c r="J10" s="2688"/>
      <c r="K10" s="2688"/>
    </row>
    <row r="11" spans="1:11" ht="16.5">
      <c r="A11" s="2512" t="s">
        <v>670</v>
      </c>
      <c r="B11" s="3926">
        <f ca="1">B9</f>
        <v>22703</v>
      </c>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'数据-汇总表'!F19</f>
        <v>9265.11</v>
      </c>
      <c r="C14" s="2518"/>
      <c r="D14" s="3926">
        <f ca="1">ROUND(E14*B14/10000,0)</f>
        <v>22703</v>
      </c>
      <c r="E14" s="2518">
        <f ca="1">'成本法 (元)'!B3</f>
        <v>24504</v>
      </c>
      <c r="F14" s="2518" t="e">
        <f ca="1">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B0D41-C011-45F5-8490-D9A65B50E8EE}">
  <dimension ref="B2:L21"/>
  <sheetViews>
    <sheetView workbookViewId="0">
      <selection activeCell="F3" sqref="F3:F7"/>
    </sheetView>
  </sheetViews>
  <sheetFormatPr defaultRowHeight="13.5"/>
  <cols>
    <col min="1" max="2" width="9" style="3458"/>
    <col min="3" max="3" width="4.875" style="3458" customWidth="1"/>
    <col min="4" max="5" width="23.5" style="3458" customWidth="1"/>
    <col min="6" max="6" width="29.25" style="3458" bestFit="1" customWidth="1"/>
    <col min="7" max="7" width="14.5" style="3458" customWidth="1"/>
    <col min="8" max="8" width="9.5" style="3458" bestFit="1" customWidth="1"/>
    <col min="9" max="9" width="12.25" style="3458" hidden="1" customWidth="1"/>
    <col min="10" max="10" width="12.75" style="3458" bestFit="1" customWidth="1"/>
    <col min="11" max="16384" width="9" style="3458"/>
  </cols>
  <sheetData>
    <row r="2" spans="2:12">
      <c r="B2" s="3458" t="s">
        <v>3399</v>
      </c>
      <c r="C2" s="3533" t="s">
        <v>3562</v>
      </c>
      <c r="D2" s="3534" t="s">
        <v>3563</v>
      </c>
      <c r="E2" s="3534" t="s">
        <v>3588</v>
      </c>
      <c r="F2" s="3534" t="s">
        <v>3400</v>
      </c>
      <c r="G2" s="3534" t="s">
        <v>672</v>
      </c>
      <c r="H2" s="3533" t="s">
        <v>3564</v>
      </c>
      <c r="I2" s="3460" t="s">
        <v>3401</v>
      </c>
      <c r="J2" s="3462"/>
    </row>
    <row r="3" spans="2:12">
      <c r="B3" s="3458" t="s">
        <v>2811</v>
      </c>
      <c r="C3" s="3535">
        <v>1</v>
      </c>
      <c r="D3" s="3536" t="s">
        <v>3575</v>
      </c>
      <c r="E3" s="3536" t="s">
        <v>3587</v>
      </c>
      <c r="F3" s="3535" t="s">
        <v>3586</v>
      </c>
      <c r="G3" s="3536" t="s">
        <v>3566</v>
      </c>
      <c r="H3" s="3535">
        <v>9265.11</v>
      </c>
      <c r="I3" s="3461">
        <v>6804.14</v>
      </c>
      <c r="J3" s="3462">
        <f ca="1">典型户型修正!R24</f>
        <v>4.9000000000000004</v>
      </c>
    </row>
    <row r="4" spans="2:12">
      <c r="C4" s="3535">
        <v>2</v>
      </c>
      <c r="D4" s="3536" t="s">
        <v>3567</v>
      </c>
      <c r="E4" s="3536" t="s">
        <v>3587</v>
      </c>
      <c r="F4" s="3535" t="s">
        <v>3590</v>
      </c>
      <c r="G4" s="3536" t="s">
        <v>3566</v>
      </c>
      <c r="H4" s="3535">
        <v>8680.8700000000008</v>
      </c>
      <c r="I4" s="3461">
        <v>6159.29</v>
      </c>
      <c r="J4" s="3462">
        <f ca="1">典型户型修正!R25</f>
        <v>4.9000000000000004</v>
      </c>
    </row>
    <row r="5" spans="2:12">
      <c r="C5" s="3535">
        <v>3</v>
      </c>
      <c r="D5" s="3536" t="s">
        <v>3569</v>
      </c>
      <c r="E5" s="3536" t="s">
        <v>3587</v>
      </c>
      <c r="F5" s="3535" t="s">
        <v>3591</v>
      </c>
      <c r="G5" s="3536" t="s">
        <v>3566</v>
      </c>
      <c r="H5" s="3535">
        <v>8680.8700000000008</v>
      </c>
      <c r="I5" s="3461">
        <v>6159.29</v>
      </c>
      <c r="J5" s="3462">
        <f ca="1">典型户型修正!R26</f>
        <v>4.9000000000000004</v>
      </c>
    </row>
    <row r="6" spans="2:12">
      <c r="C6" s="3535">
        <v>4</v>
      </c>
      <c r="D6" s="3536" t="s">
        <v>3571</v>
      </c>
      <c r="E6" s="3536" t="s">
        <v>3587</v>
      </c>
      <c r="F6" s="3535" t="s">
        <v>3592</v>
      </c>
      <c r="G6" s="3536" t="s">
        <v>3566</v>
      </c>
      <c r="H6" s="3535">
        <v>8451.7199999999993</v>
      </c>
      <c r="I6" s="3461">
        <v>6161.58</v>
      </c>
      <c r="J6" s="3462">
        <f ca="1">典型户型修正!R27</f>
        <v>4.9000000000000004</v>
      </c>
    </row>
    <row r="7" spans="2:12">
      <c r="C7" s="3535">
        <v>5</v>
      </c>
      <c r="D7" s="3536" t="s">
        <v>3573</v>
      </c>
      <c r="E7" s="3536" t="s">
        <v>3587</v>
      </c>
      <c r="F7" s="3535" t="s">
        <v>3593</v>
      </c>
      <c r="G7" s="3536" t="s">
        <v>3566</v>
      </c>
      <c r="H7" s="3535">
        <v>2555.0500000000002</v>
      </c>
      <c r="I7" s="3461">
        <v>1304.29</v>
      </c>
      <c r="J7" s="3462">
        <f ca="1">典型户型修正!R28</f>
        <v>5.0999999999999996</v>
      </c>
    </row>
    <row r="8" spans="2:12">
      <c r="C8" s="3632" t="s">
        <v>3561</v>
      </c>
      <c r="D8" s="3632"/>
      <c r="E8" s="3632"/>
      <c r="F8" s="3632"/>
      <c r="G8" s="3632"/>
      <c r="H8" s="3539">
        <f>SUM(H3:H7)</f>
        <v>37633.62000000001</v>
      </c>
      <c r="I8" s="3537">
        <f>SUM(I3:I7)</f>
        <v>26588.590000000004</v>
      </c>
      <c r="J8" s="3538">
        <f ca="1">ROUND(L8/H8,1)</f>
        <v>4.9000000000000004</v>
      </c>
      <c r="L8" s="3458">
        <f ca="1">SUMPRODUCT(H3:H7,J3:J7)</f>
        <v>184915.74800000002</v>
      </c>
    </row>
    <row r="15" spans="2:12">
      <c r="C15" s="3533" t="s">
        <v>3562</v>
      </c>
      <c r="D15" s="3534" t="s">
        <v>3563</v>
      </c>
      <c r="E15" s="3534" t="s">
        <v>3594</v>
      </c>
      <c r="F15" s="3534" t="s">
        <v>3400</v>
      </c>
      <c r="G15" s="3534" t="s">
        <v>672</v>
      </c>
      <c r="H15" s="3533" t="s">
        <v>3564</v>
      </c>
      <c r="I15" s="3460" t="s">
        <v>3401</v>
      </c>
      <c r="J15" s="3462"/>
    </row>
    <row r="16" spans="2:12">
      <c r="C16" s="3535">
        <v>1</v>
      </c>
      <c r="D16" s="3536" t="s">
        <v>3575</v>
      </c>
      <c r="E16" s="3536" t="s">
        <v>3589</v>
      </c>
      <c r="F16" s="3535" t="s">
        <v>3565</v>
      </c>
      <c r="G16" s="3536" t="s">
        <v>3566</v>
      </c>
      <c r="H16" s="3535">
        <v>9265.11</v>
      </c>
      <c r="I16" s="3461">
        <v>6804.14</v>
      </c>
      <c r="J16" s="3462">
        <f>典型户型修正!R37</f>
        <v>0</v>
      </c>
    </row>
    <row r="17" spans="3:10">
      <c r="C17" s="3535">
        <v>2</v>
      </c>
      <c r="D17" s="3536" t="s">
        <v>3567</v>
      </c>
      <c r="E17" s="3536" t="s">
        <v>3589</v>
      </c>
      <c r="F17" s="3535" t="s">
        <v>3568</v>
      </c>
      <c r="G17" s="3536" t="s">
        <v>3566</v>
      </c>
      <c r="H17" s="3535">
        <v>8680.8700000000008</v>
      </c>
      <c r="I17" s="3461">
        <v>6159.29</v>
      </c>
      <c r="J17" s="3462">
        <f>典型户型修正!R38</f>
        <v>0</v>
      </c>
    </row>
    <row r="18" spans="3:10">
      <c r="C18" s="3535">
        <v>3</v>
      </c>
      <c r="D18" s="3536" t="s">
        <v>3569</v>
      </c>
      <c r="E18" s="3536" t="s">
        <v>3589</v>
      </c>
      <c r="F18" s="3535" t="s">
        <v>3570</v>
      </c>
      <c r="G18" s="3536" t="s">
        <v>3566</v>
      </c>
      <c r="H18" s="3535">
        <v>8680.8700000000008</v>
      </c>
      <c r="I18" s="3461">
        <v>6159.29</v>
      </c>
      <c r="J18" s="3462">
        <f>典型户型修正!R39</f>
        <v>0</v>
      </c>
    </row>
    <row r="19" spans="3:10">
      <c r="C19" s="3535">
        <v>4</v>
      </c>
      <c r="D19" s="3536" t="s">
        <v>3571</v>
      </c>
      <c r="E19" s="3536" t="s">
        <v>3589</v>
      </c>
      <c r="F19" s="3535" t="s">
        <v>3572</v>
      </c>
      <c r="G19" s="3536" t="s">
        <v>3566</v>
      </c>
      <c r="H19" s="3535">
        <v>8451.7199999999993</v>
      </c>
      <c r="I19" s="3461">
        <v>6161.58</v>
      </c>
      <c r="J19" s="3462">
        <f>典型户型修正!R40</f>
        <v>0</v>
      </c>
    </row>
    <row r="20" spans="3:10">
      <c r="C20" s="3535">
        <v>5</v>
      </c>
      <c r="D20" s="3536" t="s">
        <v>3573</v>
      </c>
      <c r="E20" s="3536" t="s">
        <v>3589</v>
      </c>
      <c r="F20" s="3535" t="s">
        <v>3574</v>
      </c>
      <c r="G20" s="3536" t="s">
        <v>3566</v>
      </c>
      <c r="H20" s="3535">
        <v>2555.0500000000002</v>
      </c>
      <c r="I20" s="3461">
        <v>1304.29</v>
      </c>
      <c r="J20" s="3462">
        <f>典型户型修正!R41</f>
        <v>0</v>
      </c>
    </row>
    <row r="21" spans="3:10">
      <c r="C21" s="3632" t="s">
        <v>3561</v>
      </c>
      <c r="D21" s="3632"/>
      <c r="E21" s="3632"/>
      <c r="F21" s="3632"/>
      <c r="G21" s="3632"/>
      <c r="H21" s="3539">
        <f>SUM(H16:H20)</f>
        <v>37633.62000000001</v>
      </c>
      <c r="I21" s="3537">
        <f>SUM(I16:I20)</f>
        <v>26588.590000000004</v>
      </c>
      <c r="J21" s="3538">
        <f>ROUND(L21/H21,1)</f>
        <v>0</v>
      </c>
    </row>
  </sheetData>
  <mergeCells count="2">
    <mergeCell ref="C8:G8"/>
    <mergeCell ref="C21:G21"/>
  </mergeCells>
  <phoneticPr fontId="13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R25" sqref="R2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7"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636" t="s">
        <v>2084</v>
      </c>
      <c r="D1" s="3637"/>
      <c r="E1" s="3637"/>
      <c r="F1" s="3637"/>
      <c r="G1" s="3637"/>
      <c r="H1" s="3637"/>
      <c r="I1" s="3637"/>
      <c r="J1" s="3637"/>
      <c r="K1" s="3637"/>
      <c r="L1" s="3637"/>
      <c r="M1" s="3637"/>
      <c r="N1" s="3637"/>
      <c r="O1" s="3637"/>
      <c r="P1" s="3637"/>
      <c r="Q1" s="3637"/>
      <c r="R1" s="3637"/>
      <c r="S1" s="3638"/>
      <c r="T1" s="983" t="s">
        <v>2085</v>
      </c>
    </row>
    <row r="2" spans="1:45" s="655" customFormat="1" ht="38.25">
      <c r="A2" s="984"/>
      <c r="B2" s="651" t="s">
        <v>2086</v>
      </c>
      <c r="C2" s="652" t="str">
        <f t="shared" ref="C2:L2" si="0">C3&amp;"(含)"&amp;"-"&amp;D3</f>
        <v>0(含)-1000</v>
      </c>
      <c r="D2" s="653" t="str">
        <f t="shared" si="0"/>
        <v>1000(含)-3000</v>
      </c>
      <c r="E2" s="653" t="str">
        <f t="shared" si="0"/>
        <v>3000(含)-5000</v>
      </c>
      <c r="F2" s="653" t="str">
        <f t="shared" si="0"/>
        <v>5000(含)-10000</v>
      </c>
      <c r="G2" s="653" t="str">
        <f t="shared" si="0"/>
        <v>10000(含)-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1000</v>
      </c>
      <c r="E3" s="658">
        <v>3000</v>
      </c>
      <c r="F3" s="1305">
        <v>5000</v>
      </c>
      <c r="G3" s="1305">
        <v>10000</v>
      </c>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100</v>
      </c>
      <c r="D4" s="990">
        <f>C4-2</f>
        <v>98</v>
      </c>
      <c r="E4" s="990">
        <f t="shared" ref="E4:G4" si="7">D4-2</f>
        <v>96</v>
      </c>
      <c r="F4" s="990">
        <f t="shared" si="7"/>
        <v>94</v>
      </c>
      <c r="G4" s="990">
        <f t="shared" si="7"/>
        <v>92</v>
      </c>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3524" t="s">
        <v>3526</v>
      </c>
      <c r="C5" s="3525" t="s">
        <v>3528</v>
      </c>
      <c r="D5" s="3526" t="s">
        <v>3530</v>
      </c>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8">D6-$T5</f>
        <v>100</v>
      </c>
      <c r="F6" s="1316">
        <f t="shared" si="8"/>
        <v>100</v>
      </c>
      <c r="G6" s="1316">
        <f t="shared" si="8"/>
        <v>100</v>
      </c>
      <c r="H6" s="1316">
        <f t="shared" si="8"/>
        <v>100</v>
      </c>
      <c r="I6" s="1316">
        <f t="shared" si="8"/>
        <v>100</v>
      </c>
      <c r="J6" s="1316">
        <f t="shared" si="8"/>
        <v>100</v>
      </c>
      <c r="K6" s="1316">
        <f t="shared" si="8"/>
        <v>100</v>
      </c>
      <c r="L6" s="1316">
        <f t="shared" si="8"/>
        <v>100</v>
      </c>
      <c r="M6" s="1316">
        <f t="shared" si="8"/>
        <v>100</v>
      </c>
      <c r="N6" s="1316">
        <f t="shared" si="8"/>
        <v>100</v>
      </c>
      <c r="O6" s="1316">
        <f t="shared" si="8"/>
        <v>100</v>
      </c>
      <c r="P6" s="1316">
        <f t="shared" si="8"/>
        <v>100</v>
      </c>
      <c r="Q6" s="1316">
        <f t="shared" si="8"/>
        <v>100</v>
      </c>
      <c r="R6" s="1316">
        <f t="shared" si="8"/>
        <v>100</v>
      </c>
      <c r="S6" s="1316">
        <f t="shared" si="8"/>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9">D8-$T7</f>
        <v>100</v>
      </c>
      <c r="F8" s="1316">
        <f t="shared" si="9"/>
        <v>100</v>
      </c>
      <c r="G8" s="1316">
        <f t="shared" si="9"/>
        <v>100</v>
      </c>
      <c r="H8" s="1316">
        <f t="shared" si="9"/>
        <v>100</v>
      </c>
      <c r="I8" s="1316">
        <f t="shared" si="9"/>
        <v>100</v>
      </c>
      <c r="J8" s="1316">
        <f t="shared" si="9"/>
        <v>100</v>
      </c>
      <c r="K8" s="1316">
        <f t="shared" si="9"/>
        <v>100</v>
      </c>
      <c r="L8" s="1316">
        <f t="shared" si="9"/>
        <v>100</v>
      </c>
      <c r="M8" s="1316">
        <f t="shared" si="9"/>
        <v>100</v>
      </c>
      <c r="N8" s="1316">
        <f t="shared" si="9"/>
        <v>100</v>
      </c>
      <c r="O8" s="1316">
        <f t="shared" si="9"/>
        <v>100</v>
      </c>
      <c r="P8" s="1316">
        <f t="shared" si="9"/>
        <v>100</v>
      </c>
      <c r="Q8" s="1316">
        <f t="shared" si="9"/>
        <v>100</v>
      </c>
      <c r="R8" s="1316">
        <f t="shared" si="9"/>
        <v>100</v>
      </c>
      <c r="S8" s="1316">
        <f t="shared" si="9"/>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10">D10-$T9</f>
        <v>100</v>
      </c>
      <c r="F10" s="1326">
        <f t="shared" si="10"/>
        <v>100</v>
      </c>
      <c r="G10" s="1326">
        <f t="shared" si="10"/>
        <v>100</v>
      </c>
      <c r="H10" s="1326">
        <f t="shared" si="10"/>
        <v>100</v>
      </c>
      <c r="I10" s="1326">
        <f t="shared" si="10"/>
        <v>100</v>
      </c>
      <c r="J10" s="1326">
        <f t="shared" si="10"/>
        <v>100</v>
      </c>
      <c r="K10" s="1326">
        <f t="shared" si="10"/>
        <v>100</v>
      </c>
      <c r="L10" s="1326">
        <f t="shared" si="10"/>
        <v>100</v>
      </c>
      <c r="M10" s="1326">
        <f t="shared" si="10"/>
        <v>100</v>
      </c>
      <c r="N10" s="1326">
        <f t="shared" si="10"/>
        <v>100</v>
      </c>
      <c r="O10" s="1326">
        <f t="shared" si="10"/>
        <v>100</v>
      </c>
      <c r="P10" s="1326">
        <f t="shared" si="10"/>
        <v>100</v>
      </c>
      <c r="Q10" s="1326">
        <f t="shared" si="10"/>
        <v>100</v>
      </c>
      <c r="R10" s="1326">
        <f t="shared" si="10"/>
        <v>100</v>
      </c>
      <c r="S10" s="1326">
        <f t="shared" si="10"/>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1">D12-$T11</f>
        <v>100</v>
      </c>
      <c r="F12" s="902">
        <f t="shared" si="11"/>
        <v>100</v>
      </c>
      <c r="G12" s="902">
        <f t="shared" si="11"/>
        <v>100</v>
      </c>
      <c r="H12" s="902">
        <f t="shared" si="11"/>
        <v>100</v>
      </c>
      <c r="I12" s="902">
        <f t="shared" si="11"/>
        <v>100</v>
      </c>
      <c r="J12" s="902">
        <f t="shared" si="11"/>
        <v>100</v>
      </c>
      <c r="K12" s="902">
        <f t="shared" si="11"/>
        <v>100</v>
      </c>
      <c r="L12" s="902">
        <f t="shared" si="11"/>
        <v>100</v>
      </c>
      <c r="M12" s="902">
        <f t="shared" si="11"/>
        <v>100</v>
      </c>
      <c r="N12" s="902">
        <f t="shared" si="11"/>
        <v>100</v>
      </c>
      <c r="O12" s="902">
        <f t="shared" si="11"/>
        <v>100</v>
      </c>
      <c r="P12" s="902">
        <f t="shared" si="11"/>
        <v>100</v>
      </c>
      <c r="Q12" s="902">
        <f t="shared" si="11"/>
        <v>100</v>
      </c>
      <c r="R12" s="902">
        <f>Q12-$T11</f>
        <v>100</v>
      </c>
      <c r="S12" s="902">
        <f t="shared" si="11"/>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1"/>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37633.62000000001</v>
      </c>
      <c r="C22" s="3633" t="s">
        <v>27</v>
      </c>
      <c r="D22" s="3634"/>
      <c r="E22" s="3634"/>
      <c r="F22" s="3634"/>
      <c r="G22" s="3634"/>
      <c r="H22" s="3634"/>
      <c r="I22" s="3634"/>
      <c r="J22" s="3634"/>
      <c r="K22" s="3634"/>
      <c r="L22" s="3634"/>
      <c r="M22" s="3634"/>
      <c r="N22" s="3634"/>
      <c r="O22" s="3634"/>
      <c r="P22" s="3634"/>
      <c r="Q22" s="3635"/>
      <c r="R22" s="663">
        <f ca="1">ROUND(S22*10000/B22,0)</f>
        <v>5</v>
      </c>
      <c r="S22" s="21">
        <f ca="1">SUM(S24:S10000)</f>
        <v>18</v>
      </c>
    </row>
    <row r="23" spans="1:45" s="9" customFormat="1" ht="24">
      <c r="A23" s="8" t="s">
        <v>2099</v>
      </c>
      <c r="B23" s="8" t="s">
        <v>2100</v>
      </c>
      <c r="C23" s="8" t="s">
        <v>2101</v>
      </c>
      <c r="D23" s="8" t="str">
        <f>B5</f>
        <v>采光</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f>面积明细表!C3</f>
        <v>1</v>
      </c>
      <c r="B24" s="665">
        <f>面积明细表!H3</f>
        <v>9265.11</v>
      </c>
      <c r="C24" s="2810">
        <v>1</v>
      </c>
      <c r="D24" s="2811"/>
      <c r="E24" s="2810">
        <v>1</v>
      </c>
      <c r="F24" s="2811"/>
      <c r="G24" s="2810">
        <v>1</v>
      </c>
      <c r="H24" s="2811"/>
      <c r="I24" s="2810">
        <v>1</v>
      </c>
      <c r="J24" s="2811"/>
      <c r="K24" s="2810">
        <v>1</v>
      </c>
      <c r="L24" s="2811"/>
      <c r="M24" s="2810">
        <v>1</v>
      </c>
      <c r="N24" s="2811"/>
      <c r="O24" s="2810">
        <v>1</v>
      </c>
      <c r="P24" s="2811"/>
      <c r="Q24" s="2810">
        <v>1</v>
      </c>
      <c r="R24" s="668">
        <f ca="1">'结果一览表-首开广场'!D37</f>
        <v>4.9000000000000004</v>
      </c>
      <c r="S24" s="666">
        <f t="shared" ref="S24:S54" ca="1" si="12">ROUND(R24*B24/10000,0)</f>
        <v>5</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665">
        <f>面积明细表!C4</f>
        <v>2</v>
      </c>
      <c r="B25" s="665">
        <f>面积明细表!H4</f>
        <v>8680.8700000000008</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 ca="1">IF(B25="",0,ROUND($R$24*C25*E25*G25*I25*K25*M25*O25*Q25,1))</f>
        <v>4.9000000000000004</v>
      </c>
      <c r="S25" s="316">
        <f t="shared" ca="1" si="12"/>
        <v>4</v>
      </c>
    </row>
    <row r="26" spans="1:45">
      <c r="A26" s="665">
        <f>面积明细表!C5</f>
        <v>3</v>
      </c>
      <c r="B26" s="665">
        <f>面积明细表!H5</f>
        <v>8680.8700000000008</v>
      </c>
      <c r="C26" s="21">
        <f t="shared" ref="C26:C89" si="13">IF(B26="",1,(LOOKUP(B26,$3:$3,$4:$4)-LOOKUP($B$24,$3:$3,$4:$4)+100)/100)</f>
        <v>1</v>
      </c>
      <c r="D26" s="667"/>
      <c r="E26" s="21">
        <f t="shared" ref="E26:E89" si="14">(SUMIF($5:$5,D26,$6:$6)-SUMIF($5:$5,$D$24,$6:$6)+100)/100</f>
        <v>1</v>
      </c>
      <c r="F26" s="667"/>
      <c r="G26" s="21">
        <f t="shared" ref="G26:G89" si="15">(SUMIF($7:$7,F26,$8:$8)-SUMIF($7:$7,$F$24,$8:$8)+100)/100</f>
        <v>1</v>
      </c>
      <c r="H26" s="667"/>
      <c r="I26" s="21">
        <f t="shared" ref="I26:I89" si="16">(SUMIF($9:$9,H26,$10:$10)-SUMIF($9:$9,$H$24,$10:$10)+100)/100</f>
        <v>1</v>
      </c>
      <c r="J26" s="667"/>
      <c r="K26" s="21">
        <f t="shared" ref="K26:K89" si="17">(SUMIF($11:$11,J26,$12:$12)-SUMIF($11:$11,$J$24,$12:$12)+100)/100</f>
        <v>1</v>
      </c>
      <c r="L26" s="667"/>
      <c r="M26" s="21">
        <f t="shared" ref="M26:M89" si="18">(SUMIF($13:$13,L26,$14:$14)-SUMIF($13:$13,$L$24,$14:$14)+100)/100</f>
        <v>1</v>
      </c>
      <c r="N26" s="667"/>
      <c r="O26" s="21">
        <f t="shared" ref="O26:O89" si="19">(SUMIF($15:$15,N26,$16:$16)-SUMIF($15:$15,$N$24,$16:$16)+100)/100</f>
        <v>1</v>
      </c>
      <c r="P26" s="667"/>
      <c r="Q26" s="21">
        <f t="shared" ref="Q26:Q89" si="20">(SUMIF($17:$17,P26,$18:$18)-SUMIF($17:$17,$P$24,$18:$18)+100)/100</f>
        <v>1</v>
      </c>
      <c r="R26" s="663">
        <f t="shared" ref="R26:R28" ca="1" si="21">IF(B26="",0,ROUND($R$24*C26*E26*G26*I26*K26*M26*O26*Q26,1))</f>
        <v>4.9000000000000004</v>
      </c>
      <c r="S26" s="316">
        <f t="shared" ca="1" si="12"/>
        <v>4</v>
      </c>
    </row>
    <row r="27" spans="1:45">
      <c r="A27" s="665">
        <f>面积明细表!C6</f>
        <v>4</v>
      </c>
      <c r="B27" s="665">
        <f>面积明细表!H6</f>
        <v>8451.7199999999993</v>
      </c>
      <c r="C27" s="21">
        <f t="shared" si="13"/>
        <v>1</v>
      </c>
      <c r="D27" s="667"/>
      <c r="E27" s="21">
        <f t="shared" si="14"/>
        <v>1</v>
      </c>
      <c r="F27" s="667"/>
      <c r="G27" s="21">
        <f t="shared" si="15"/>
        <v>1</v>
      </c>
      <c r="H27" s="667"/>
      <c r="I27" s="21">
        <f t="shared" si="16"/>
        <v>1</v>
      </c>
      <c r="J27" s="667"/>
      <c r="K27" s="21">
        <f t="shared" si="17"/>
        <v>1</v>
      </c>
      <c r="L27" s="667"/>
      <c r="M27" s="21">
        <f t="shared" si="18"/>
        <v>1</v>
      </c>
      <c r="N27" s="667"/>
      <c r="O27" s="21">
        <f t="shared" si="19"/>
        <v>1</v>
      </c>
      <c r="P27" s="667"/>
      <c r="Q27" s="21">
        <f t="shared" si="20"/>
        <v>1</v>
      </c>
      <c r="R27" s="663">
        <f t="shared" ca="1" si="21"/>
        <v>4.9000000000000004</v>
      </c>
      <c r="S27" s="316">
        <f t="shared" ca="1" si="12"/>
        <v>4</v>
      </c>
    </row>
    <row r="28" spans="1:45">
      <c r="A28" s="665">
        <f>面积明细表!C7</f>
        <v>5</v>
      </c>
      <c r="B28" s="665">
        <f>面积明细表!H7</f>
        <v>2555.0500000000002</v>
      </c>
      <c r="C28" s="21">
        <f t="shared" si="13"/>
        <v>1.04</v>
      </c>
      <c r="D28" s="667"/>
      <c r="E28" s="21">
        <f t="shared" si="14"/>
        <v>1</v>
      </c>
      <c r="F28" s="667"/>
      <c r="G28" s="21">
        <f t="shared" si="15"/>
        <v>1</v>
      </c>
      <c r="H28" s="667"/>
      <c r="I28" s="21">
        <f t="shared" si="16"/>
        <v>1</v>
      </c>
      <c r="J28" s="667"/>
      <c r="K28" s="21">
        <f t="shared" si="17"/>
        <v>1</v>
      </c>
      <c r="L28" s="667"/>
      <c r="M28" s="21">
        <f t="shared" si="18"/>
        <v>1</v>
      </c>
      <c r="N28" s="667"/>
      <c r="O28" s="21">
        <f t="shared" si="19"/>
        <v>1</v>
      </c>
      <c r="P28" s="667"/>
      <c r="Q28" s="21">
        <f t="shared" si="20"/>
        <v>1</v>
      </c>
      <c r="R28" s="663">
        <f t="shared" ca="1" si="21"/>
        <v>5.0999999999999996</v>
      </c>
      <c r="S28" s="316">
        <f t="shared" ca="1" si="12"/>
        <v>1</v>
      </c>
    </row>
    <row r="29" spans="1:45">
      <c r="A29" s="665" t="str">
        <f>面积明细表!C8</f>
        <v>合计</v>
      </c>
      <c r="B29" s="54"/>
      <c r="C29" s="21">
        <f t="shared" si="13"/>
        <v>1</v>
      </c>
      <c r="D29" s="667"/>
      <c r="E29" s="21">
        <f t="shared" si="14"/>
        <v>1</v>
      </c>
      <c r="F29" s="667"/>
      <c r="G29" s="21">
        <f t="shared" si="15"/>
        <v>1</v>
      </c>
      <c r="H29" s="667"/>
      <c r="I29" s="21">
        <f t="shared" si="16"/>
        <v>1</v>
      </c>
      <c r="J29" s="667"/>
      <c r="K29" s="21">
        <f t="shared" si="17"/>
        <v>1</v>
      </c>
      <c r="L29" s="667"/>
      <c r="M29" s="21">
        <f t="shared" si="18"/>
        <v>1</v>
      </c>
      <c r="N29" s="667"/>
      <c r="O29" s="21">
        <f t="shared" si="19"/>
        <v>1</v>
      </c>
      <c r="P29" s="667"/>
      <c r="Q29" s="21">
        <f t="shared" si="20"/>
        <v>1</v>
      </c>
      <c r="R29" s="663">
        <f t="shared" ref="R29:R89" si="22">IF(B29="",0,ROUND($R$24*C29*E29*G29*I29*K29*M29*O29*Q29,0))</f>
        <v>0</v>
      </c>
      <c r="S29" s="316">
        <f t="shared" si="12"/>
        <v>0</v>
      </c>
    </row>
    <row r="30" spans="1:45">
      <c r="A30" s="665">
        <f>面积明细表!C9</f>
        <v>0</v>
      </c>
      <c r="B30" s="54"/>
      <c r="C30" s="21">
        <f t="shared" si="13"/>
        <v>1</v>
      </c>
      <c r="D30" s="667"/>
      <c r="E30" s="21">
        <f t="shared" si="14"/>
        <v>1</v>
      </c>
      <c r="F30" s="667"/>
      <c r="G30" s="21">
        <f t="shared" si="15"/>
        <v>1</v>
      </c>
      <c r="H30" s="667"/>
      <c r="I30" s="21">
        <f t="shared" si="16"/>
        <v>1</v>
      </c>
      <c r="J30" s="667"/>
      <c r="K30" s="21">
        <f t="shared" si="17"/>
        <v>1</v>
      </c>
      <c r="L30" s="667"/>
      <c r="M30" s="21">
        <f t="shared" si="18"/>
        <v>1</v>
      </c>
      <c r="N30" s="667"/>
      <c r="O30" s="21">
        <f t="shared" si="19"/>
        <v>1</v>
      </c>
      <c r="P30" s="667"/>
      <c r="Q30" s="21">
        <f t="shared" si="20"/>
        <v>1</v>
      </c>
      <c r="R30" s="663">
        <f t="shared" si="22"/>
        <v>0</v>
      </c>
      <c r="S30" s="316">
        <f t="shared" si="12"/>
        <v>0</v>
      </c>
    </row>
    <row r="31" spans="1:45">
      <c r="A31" s="665">
        <f>面积明细表!C10</f>
        <v>0</v>
      </c>
      <c r="B31" s="54"/>
      <c r="C31" s="21">
        <f t="shared" si="13"/>
        <v>1</v>
      </c>
      <c r="D31" s="667"/>
      <c r="E31" s="21">
        <f t="shared" si="14"/>
        <v>1</v>
      </c>
      <c r="F31" s="667"/>
      <c r="G31" s="21">
        <f t="shared" si="15"/>
        <v>1</v>
      </c>
      <c r="H31" s="667"/>
      <c r="I31" s="21">
        <f t="shared" si="16"/>
        <v>1</v>
      </c>
      <c r="J31" s="667"/>
      <c r="K31" s="21">
        <f t="shared" si="17"/>
        <v>1</v>
      </c>
      <c r="L31" s="667"/>
      <c r="M31" s="21">
        <f t="shared" si="18"/>
        <v>1</v>
      </c>
      <c r="N31" s="667"/>
      <c r="O31" s="21">
        <f t="shared" si="19"/>
        <v>1</v>
      </c>
      <c r="P31" s="667"/>
      <c r="Q31" s="21">
        <f t="shared" si="20"/>
        <v>1</v>
      </c>
      <c r="R31" s="663">
        <f t="shared" si="22"/>
        <v>0</v>
      </c>
      <c r="S31" s="316">
        <f t="shared" si="12"/>
        <v>0</v>
      </c>
    </row>
    <row r="32" spans="1:45">
      <c r="A32" s="665">
        <f>面积明细表!C11</f>
        <v>0</v>
      </c>
      <c r="B32" s="54"/>
      <c r="C32" s="21">
        <f t="shared" si="13"/>
        <v>1</v>
      </c>
      <c r="D32" s="667"/>
      <c r="E32" s="21">
        <f t="shared" si="14"/>
        <v>1</v>
      </c>
      <c r="F32" s="667"/>
      <c r="G32" s="21">
        <f t="shared" si="15"/>
        <v>1</v>
      </c>
      <c r="H32" s="667"/>
      <c r="I32" s="21">
        <f t="shared" si="16"/>
        <v>1</v>
      </c>
      <c r="J32" s="667"/>
      <c r="K32" s="21">
        <f t="shared" si="17"/>
        <v>1</v>
      </c>
      <c r="L32" s="667"/>
      <c r="M32" s="21">
        <f t="shared" si="18"/>
        <v>1</v>
      </c>
      <c r="N32" s="667"/>
      <c r="O32" s="21">
        <f t="shared" si="19"/>
        <v>1</v>
      </c>
      <c r="P32" s="667"/>
      <c r="Q32" s="21">
        <f t="shared" si="20"/>
        <v>1</v>
      </c>
      <c r="R32" s="663">
        <f t="shared" si="22"/>
        <v>0</v>
      </c>
      <c r="S32" s="316">
        <f t="shared" si="12"/>
        <v>0</v>
      </c>
    </row>
    <row r="33" spans="1:19">
      <c r="A33" s="665">
        <f>面积明细表!C12</f>
        <v>0</v>
      </c>
      <c r="B33" s="54"/>
      <c r="C33" s="21">
        <f t="shared" si="13"/>
        <v>1</v>
      </c>
      <c r="D33" s="667"/>
      <c r="E33" s="21">
        <f t="shared" si="14"/>
        <v>1</v>
      </c>
      <c r="F33" s="667"/>
      <c r="G33" s="21">
        <f t="shared" si="15"/>
        <v>1</v>
      </c>
      <c r="H33" s="667"/>
      <c r="I33" s="21">
        <f t="shared" si="16"/>
        <v>1</v>
      </c>
      <c r="J33" s="667"/>
      <c r="K33" s="21">
        <f t="shared" si="17"/>
        <v>1</v>
      </c>
      <c r="L33" s="667"/>
      <c r="M33" s="21">
        <f t="shared" si="18"/>
        <v>1</v>
      </c>
      <c r="N33" s="667"/>
      <c r="O33" s="21">
        <f t="shared" si="19"/>
        <v>1</v>
      </c>
      <c r="P33" s="667"/>
      <c r="Q33" s="21">
        <f t="shared" si="20"/>
        <v>1</v>
      </c>
      <c r="R33" s="663">
        <f t="shared" si="22"/>
        <v>0</v>
      </c>
      <c r="S33" s="316">
        <f t="shared" si="12"/>
        <v>0</v>
      </c>
    </row>
    <row r="34" spans="1:19">
      <c r="A34" s="665">
        <f>面积明细表!C13</f>
        <v>0</v>
      </c>
      <c r="B34" s="54"/>
      <c r="C34" s="21">
        <f t="shared" si="13"/>
        <v>1</v>
      </c>
      <c r="D34" s="667"/>
      <c r="E34" s="21">
        <f t="shared" si="14"/>
        <v>1</v>
      </c>
      <c r="F34" s="667"/>
      <c r="G34" s="21">
        <f t="shared" si="15"/>
        <v>1</v>
      </c>
      <c r="H34" s="667"/>
      <c r="I34" s="21">
        <f t="shared" si="16"/>
        <v>1</v>
      </c>
      <c r="J34" s="667"/>
      <c r="K34" s="21">
        <f t="shared" si="17"/>
        <v>1</v>
      </c>
      <c r="L34" s="667"/>
      <c r="M34" s="21">
        <f t="shared" si="18"/>
        <v>1</v>
      </c>
      <c r="N34" s="667"/>
      <c r="O34" s="21">
        <f t="shared" si="19"/>
        <v>1</v>
      </c>
      <c r="P34" s="667"/>
      <c r="Q34" s="21">
        <f t="shared" si="20"/>
        <v>1</v>
      </c>
      <c r="R34" s="663">
        <f t="shared" si="22"/>
        <v>0</v>
      </c>
      <c r="S34" s="316">
        <f t="shared" si="12"/>
        <v>0</v>
      </c>
    </row>
    <row r="35" spans="1:19">
      <c r="A35" s="665">
        <f>面积明细表!C14</f>
        <v>0</v>
      </c>
      <c r="B35" s="54"/>
      <c r="C35" s="21">
        <f t="shared" si="13"/>
        <v>1</v>
      </c>
      <c r="D35" s="667"/>
      <c r="E35" s="21">
        <f t="shared" si="14"/>
        <v>1</v>
      </c>
      <c r="F35" s="667"/>
      <c r="G35" s="21">
        <f t="shared" si="15"/>
        <v>1</v>
      </c>
      <c r="H35" s="667"/>
      <c r="I35" s="21">
        <f t="shared" si="16"/>
        <v>1</v>
      </c>
      <c r="J35" s="667"/>
      <c r="K35" s="21">
        <f t="shared" si="17"/>
        <v>1</v>
      </c>
      <c r="L35" s="667"/>
      <c r="M35" s="21">
        <f t="shared" si="18"/>
        <v>1</v>
      </c>
      <c r="N35" s="667"/>
      <c r="O35" s="21">
        <f t="shared" si="19"/>
        <v>1</v>
      </c>
      <c r="P35" s="667"/>
      <c r="Q35" s="21">
        <f t="shared" si="20"/>
        <v>1</v>
      </c>
      <c r="R35" s="663">
        <f t="shared" si="22"/>
        <v>0</v>
      </c>
      <c r="S35" s="316">
        <f t="shared" si="12"/>
        <v>0</v>
      </c>
    </row>
    <row r="36" spans="1:19">
      <c r="A36" s="665" t="str">
        <f>面积明细表!C15</f>
        <v>序号</v>
      </c>
      <c r="B36" s="54"/>
      <c r="C36" s="21">
        <f t="shared" si="13"/>
        <v>1</v>
      </c>
      <c r="D36" s="667"/>
      <c r="E36" s="21">
        <f t="shared" si="14"/>
        <v>1</v>
      </c>
      <c r="F36" s="667"/>
      <c r="G36" s="21">
        <f t="shared" si="15"/>
        <v>1</v>
      </c>
      <c r="H36" s="667"/>
      <c r="I36" s="21">
        <f t="shared" si="16"/>
        <v>1</v>
      </c>
      <c r="J36" s="667"/>
      <c r="K36" s="21">
        <f t="shared" si="17"/>
        <v>1</v>
      </c>
      <c r="L36" s="667"/>
      <c r="M36" s="21">
        <f t="shared" si="18"/>
        <v>1</v>
      </c>
      <c r="N36" s="667"/>
      <c r="O36" s="21">
        <f t="shared" si="19"/>
        <v>1</v>
      </c>
      <c r="P36" s="667"/>
      <c r="Q36" s="21">
        <f t="shared" si="20"/>
        <v>1</v>
      </c>
      <c r="R36" s="663">
        <f t="shared" si="22"/>
        <v>0</v>
      </c>
      <c r="S36" s="316">
        <f t="shared" si="12"/>
        <v>0</v>
      </c>
    </row>
    <row r="37" spans="1:19">
      <c r="A37" s="665">
        <f>面积明细表!C16</f>
        <v>1</v>
      </c>
      <c r="B37" s="54"/>
      <c r="C37" s="21">
        <f t="shared" si="13"/>
        <v>1</v>
      </c>
      <c r="D37" s="667"/>
      <c r="E37" s="21">
        <f t="shared" si="14"/>
        <v>1</v>
      </c>
      <c r="F37" s="667"/>
      <c r="G37" s="21">
        <f t="shared" si="15"/>
        <v>1</v>
      </c>
      <c r="H37" s="667"/>
      <c r="I37" s="21">
        <f t="shared" si="16"/>
        <v>1</v>
      </c>
      <c r="J37" s="667"/>
      <c r="K37" s="21">
        <f t="shared" si="17"/>
        <v>1</v>
      </c>
      <c r="L37" s="667"/>
      <c r="M37" s="21">
        <f t="shared" si="18"/>
        <v>1</v>
      </c>
      <c r="N37" s="667"/>
      <c r="O37" s="21">
        <f t="shared" si="19"/>
        <v>1</v>
      </c>
      <c r="P37" s="667"/>
      <c r="Q37" s="21">
        <f t="shared" si="20"/>
        <v>1</v>
      </c>
      <c r="R37" s="663">
        <f t="shared" si="22"/>
        <v>0</v>
      </c>
      <c r="S37" s="316">
        <f t="shared" si="12"/>
        <v>0</v>
      </c>
    </row>
    <row r="38" spans="1:19">
      <c r="A38" s="665">
        <f>面积明细表!C17</f>
        <v>2</v>
      </c>
      <c r="B38" s="54"/>
      <c r="C38" s="21">
        <f t="shared" si="13"/>
        <v>1</v>
      </c>
      <c r="D38" s="667"/>
      <c r="E38" s="21">
        <f t="shared" si="14"/>
        <v>1</v>
      </c>
      <c r="F38" s="667"/>
      <c r="G38" s="21">
        <f t="shared" si="15"/>
        <v>1</v>
      </c>
      <c r="H38" s="667"/>
      <c r="I38" s="21">
        <f t="shared" si="16"/>
        <v>1</v>
      </c>
      <c r="J38" s="667"/>
      <c r="K38" s="21">
        <f t="shared" si="17"/>
        <v>1</v>
      </c>
      <c r="L38" s="667"/>
      <c r="M38" s="21">
        <f t="shared" si="18"/>
        <v>1</v>
      </c>
      <c r="N38" s="667"/>
      <c r="O38" s="21">
        <f t="shared" si="19"/>
        <v>1</v>
      </c>
      <c r="P38" s="667"/>
      <c r="Q38" s="21">
        <f t="shared" si="20"/>
        <v>1</v>
      </c>
      <c r="R38" s="663">
        <f t="shared" si="22"/>
        <v>0</v>
      </c>
      <c r="S38" s="316">
        <f t="shared" si="12"/>
        <v>0</v>
      </c>
    </row>
    <row r="39" spans="1:19">
      <c r="A39" s="665">
        <f>面积明细表!C18</f>
        <v>3</v>
      </c>
      <c r="B39" s="54"/>
      <c r="C39" s="21">
        <f t="shared" si="13"/>
        <v>1</v>
      </c>
      <c r="D39" s="667"/>
      <c r="E39" s="21">
        <f t="shared" si="14"/>
        <v>1</v>
      </c>
      <c r="F39" s="667"/>
      <c r="G39" s="21">
        <f t="shared" si="15"/>
        <v>1</v>
      </c>
      <c r="H39" s="667"/>
      <c r="I39" s="21">
        <f t="shared" si="16"/>
        <v>1</v>
      </c>
      <c r="J39" s="667"/>
      <c r="K39" s="21">
        <f t="shared" si="17"/>
        <v>1</v>
      </c>
      <c r="L39" s="667"/>
      <c r="M39" s="21">
        <f t="shared" si="18"/>
        <v>1</v>
      </c>
      <c r="N39" s="667"/>
      <c r="O39" s="21">
        <f t="shared" si="19"/>
        <v>1</v>
      </c>
      <c r="P39" s="667"/>
      <c r="Q39" s="21">
        <f t="shared" si="20"/>
        <v>1</v>
      </c>
      <c r="R39" s="663">
        <f t="shared" si="22"/>
        <v>0</v>
      </c>
      <c r="S39" s="316">
        <f t="shared" si="12"/>
        <v>0</v>
      </c>
    </row>
    <row r="40" spans="1:19">
      <c r="A40" s="665">
        <f>面积明细表!C19</f>
        <v>4</v>
      </c>
      <c r="B40" s="54"/>
      <c r="C40" s="21">
        <f t="shared" si="13"/>
        <v>1</v>
      </c>
      <c r="D40" s="667"/>
      <c r="E40" s="21">
        <f t="shared" si="14"/>
        <v>1</v>
      </c>
      <c r="F40" s="667"/>
      <c r="G40" s="21">
        <f t="shared" si="15"/>
        <v>1</v>
      </c>
      <c r="H40" s="667"/>
      <c r="I40" s="21">
        <f t="shared" si="16"/>
        <v>1</v>
      </c>
      <c r="J40" s="667"/>
      <c r="K40" s="21">
        <f t="shared" si="17"/>
        <v>1</v>
      </c>
      <c r="L40" s="667"/>
      <c r="M40" s="21">
        <f t="shared" si="18"/>
        <v>1</v>
      </c>
      <c r="N40" s="667"/>
      <c r="O40" s="21">
        <f t="shared" si="19"/>
        <v>1</v>
      </c>
      <c r="P40" s="667"/>
      <c r="Q40" s="21">
        <f t="shared" si="20"/>
        <v>1</v>
      </c>
      <c r="R40" s="663">
        <f t="shared" si="22"/>
        <v>0</v>
      </c>
      <c r="S40" s="316">
        <f t="shared" si="12"/>
        <v>0</v>
      </c>
    </row>
    <row r="41" spans="1:19">
      <c r="A41" s="665">
        <f>面积明细表!C20</f>
        <v>5</v>
      </c>
      <c r="B41" s="54"/>
      <c r="C41" s="21">
        <f t="shared" si="13"/>
        <v>1</v>
      </c>
      <c r="D41" s="667"/>
      <c r="E41" s="21">
        <f t="shared" si="14"/>
        <v>1</v>
      </c>
      <c r="F41" s="667"/>
      <c r="G41" s="21">
        <f t="shared" si="15"/>
        <v>1</v>
      </c>
      <c r="H41" s="667"/>
      <c r="I41" s="21">
        <f t="shared" si="16"/>
        <v>1</v>
      </c>
      <c r="J41" s="667"/>
      <c r="K41" s="21">
        <f t="shared" si="17"/>
        <v>1</v>
      </c>
      <c r="L41" s="667"/>
      <c r="M41" s="21">
        <f t="shared" si="18"/>
        <v>1</v>
      </c>
      <c r="N41" s="667"/>
      <c r="O41" s="21">
        <f t="shared" si="19"/>
        <v>1</v>
      </c>
      <c r="P41" s="667"/>
      <c r="Q41" s="21">
        <f t="shared" si="20"/>
        <v>1</v>
      </c>
      <c r="R41" s="663">
        <f t="shared" si="22"/>
        <v>0</v>
      </c>
      <c r="S41" s="316">
        <f t="shared" si="12"/>
        <v>0</v>
      </c>
    </row>
    <row r="42" spans="1:19">
      <c r="A42" s="665" t="str">
        <f>面积明细表!C21</f>
        <v>合计</v>
      </c>
      <c r="B42" s="54"/>
      <c r="C42" s="21">
        <f t="shared" si="13"/>
        <v>1</v>
      </c>
      <c r="D42" s="667"/>
      <c r="E42" s="21">
        <f t="shared" si="14"/>
        <v>1</v>
      </c>
      <c r="F42" s="667"/>
      <c r="G42" s="21">
        <f t="shared" si="15"/>
        <v>1</v>
      </c>
      <c r="H42" s="667"/>
      <c r="I42" s="21">
        <f t="shared" si="16"/>
        <v>1</v>
      </c>
      <c r="J42" s="667"/>
      <c r="K42" s="21">
        <f t="shared" si="17"/>
        <v>1</v>
      </c>
      <c r="L42" s="667"/>
      <c r="M42" s="21">
        <f t="shared" si="18"/>
        <v>1</v>
      </c>
      <c r="N42" s="667"/>
      <c r="O42" s="21">
        <f t="shared" si="19"/>
        <v>1</v>
      </c>
      <c r="P42" s="667"/>
      <c r="Q42" s="21">
        <f t="shared" si="20"/>
        <v>1</v>
      </c>
      <c r="R42" s="663">
        <f t="shared" si="22"/>
        <v>0</v>
      </c>
      <c r="S42" s="316">
        <f t="shared" si="12"/>
        <v>0</v>
      </c>
    </row>
    <row r="43" spans="1:19">
      <c r="A43" s="665">
        <f>面积明细表!C22</f>
        <v>0</v>
      </c>
      <c r="B43" s="54"/>
      <c r="C43" s="21">
        <f t="shared" si="13"/>
        <v>1</v>
      </c>
      <c r="D43" s="667"/>
      <c r="E43" s="21">
        <f t="shared" si="14"/>
        <v>1</v>
      </c>
      <c r="F43" s="667"/>
      <c r="G43" s="21">
        <f t="shared" si="15"/>
        <v>1</v>
      </c>
      <c r="H43" s="667"/>
      <c r="I43" s="21">
        <f t="shared" si="16"/>
        <v>1</v>
      </c>
      <c r="J43" s="667"/>
      <c r="K43" s="21">
        <f t="shared" si="17"/>
        <v>1</v>
      </c>
      <c r="L43" s="667"/>
      <c r="M43" s="21">
        <f t="shared" si="18"/>
        <v>1</v>
      </c>
      <c r="N43" s="667"/>
      <c r="O43" s="21">
        <f t="shared" si="19"/>
        <v>1</v>
      </c>
      <c r="P43" s="667"/>
      <c r="Q43" s="21">
        <f t="shared" si="20"/>
        <v>1</v>
      </c>
      <c r="R43" s="663">
        <f t="shared" si="22"/>
        <v>0</v>
      </c>
      <c r="S43" s="316">
        <f t="shared" si="12"/>
        <v>0</v>
      </c>
    </row>
    <row r="44" spans="1:19">
      <c r="A44" s="665">
        <f>面积明细表!C23</f>
        <v>0</v>
      </c>
      <c r="B44" s="54"/>
      <c r="C44" s="21">
        <f t="shared" si="13"/>
        <v>1</v>
      </c>
      <c r="D44" s="667"/>
      <c r="E44" s="21">
        <f t="shared" si="14"/>
        <v>1</v>
      </c>
      <c r="F44" s="667"/>
      <c r="G44" s="21">
        <f t="shared" si="15"/>
        <v>1</v>
      </c>
      <c r="H44" s="667"/>
      <c r="I44" s="21">
        <f t="shared" si="16"/>
        <v>1</v>
      </c>
      <c r="J44" s="667"/>
      <c r="K44" s="21">
        <f t="shared" si="17"/>
        <v>1</v>
      </c>
      <c r="L44" s="667"/>
      <c r="M44" s="21">
        <f t="shared" si="18"/>
        <v>1</v>
      </c>
      <c r="N44" s="667"/>
      <c r="O44" s="21">
        <f t="shared" si="19"/>
        <v>1</v>
      </c>
      <c r="P44" s="667"/>
      <c r="Q44" s="21">
        <f t="shared" si="20"/>
        <v>1</v>
      </c>
      <c r="R44" s="663">
        <f t="shared" si="22"/>
        <v>0</v>
      </c>
      <c r="S44" s="316">
        <f t="shared" si="12"/>
        <v>0</v>
      </c>
    </row>
    <row r="45" spans="1:19">
      <c r="A45" s="665">
        <f>面积明细表!C24</f>
        <v>0</v>
      </c>
      <c r="B45" s="54"/>
      <c r="C45" s="21">
        <f t="shared" si="13"/>
        <v>1</v>
      </c>
      <c r="D45" s="667"/>
      <c r="E45" s="21">
        <f t="shared" si="14"/>
        <v>1</v>
      </c>
      <c r="F45" s="667"/>
      <c r="G45" s="21">
        <f t="shared" si="15"/>
        <v>1</v>
      </c>
      <c r="H45" s="667"/>
      <c r="I45" s="21">
        <f t="shared" si="16"/>
        <v>1</v>
      </c>
      <c r="J45" s="667"/>
      <c r="K45" s="21">
        <f t="shared" si="17"/>
        <v>1</v>
      </c>
      <c r="L45" s="667"/>
      <c r="M45" s="21">
        <f t="shared" si="18"/>
        <v>1</v>
      </c>
      <c r="N45" s="667"/>
      <c r="O45" s="21">
        <f t="shared" si="19"/>
        <v>1</v>
      </c>
      <c r="P45" s="667"/>
      <c r="Q45" s="21">
        <f t="shared" si="20"/>
        <v>1</v>
      </c>
      <c r="R45" s="663">
        <f t="shared" si="22"/>
        <v>0</v>
      </c>
      <c r="S45" s="316">
        <f t="shared" si="12"/>
        <v>0</v>
      </c>
    </row>
    <row r="46" spans="1:19">
      <c r="A46" s="665">
        <f>面积明细表!C25</f>
        <v>0</v>
      </c>
      <c r="B46" s="54"/>
      <c r="C46" s="21">
        <f t="shared" si="13"/>
        <v>1</v>
      </c>
      <c r="D46" s="667"/>
      <c r="E46" s="21">
        <f t="shared" si="14"/>
        <v>1</v>
      </c>
      <c r="F46" s="667"/>
      <c r="G46" s="21">
        <f t="shared" si="15"/>
        <v>1</v>
      </c>
      <c r="H46" s="667"/>
      <c r="I46" s="21">
        <f t="shared" si="16"/>
        <v>1</v>
      </c>
      <c r="J46" s="667"/>
      <c r="K46" s="21">
        <f t="shared" si="17"/>
        <v>1</v>
      </c>
      <c r="L46" s="667"/>
      <c r="M46" s="21">
        <f t="shared" si="18"/>
        <v>1</v>
      </c>
      <c r="N46" s="667"/>
      <c r="O46" s="21">
        <f t="shared" si="19"/>
        <v>1</v>
      </c>
      <c r="P46" s="667"/>
      <c r="Q46" s="21">
        <f t="shared" si="20"/>
        <v>1</v>
      </c>
      <c r="R46" s="663">
        <f t="shared" si="22"/>
        <v>0</v>
      </c>
      <c r="S46" s="316">
        <f t="shared" si="12"/>
        <v>0</v>
      </c>
    </row>
    <row r="47" spans="1:19">
      <c r="A47" s="665">
        <f>面积明细表!C26</f>
        <v>0</v>
      </c>
      <c r="B47" s="54"/>
      <c r="C47" s="21">
        <f t="shared" si="13"/>
        <v>1</v>
      </c>
      <c r="D47" s="667"/>
      <c r="E47" s="21">
        <f t="shared" si="14"/>
        <v>1</v>
      </c>
      <c r="F47" s="667"/>
      <c r="G47" s="21">
        <f t="shared" si="15"/>
        <v>1</v>
      </c>
      <c r="H47" s="667"/>
      <c r="I47" s="21">
        <f t="shared" si="16"/>
        <v>1</v>
      </c>
      <c r="J47" s="667"/>
      <c r="K47" s="21">
        <f t="shared" si="17"/>
        <v>1</v>
      </c>
      <c r="L47" s="667"/>
      <c r="M47" s="21">
        <f t="shared" si="18"/>
        <v>1</v>
      </c>
      <c r="N47" s="667"/>
      <c r="O47" s="21">
        <f t="shared" si="19"/>
        <v>1</v>
      </c>
      <c r="P47" s="667"/>
      <c r="Q47" s="21">
        <f t="shared" si="20"/>
        <v>1</v>
      </c>
      <c r="R47" s="663">
        <f t="shared" si="22"/>
        <v>0</v>
      </c>
      <c r="S47" s="316">
        <f t="shared" si="12"/>
        <v>0</v>
      </c>
    </row>
    <row r="48" spans="1:19">
      <c r="A48" s="665">
        <f>面积明细表!C27</f>
        <v>0</v>
      </c>
      <c r="B48" s="54"/>
      <c r="C48" s="21">
        <f t="shared" si="13"/>
        <v>1</v>
      </c>
      <c r="D48" s="667"/>
      <c r="E48" s="21">
        <f t="shared" si="14"/>
        <v>1</v>
      </c>
      <c r="F48" s="667"/>
      <c r="G48" s="21">
        <f t="shared" si="15"/>
        <v>1</v>
      </c>
      <c r="H48" s="667"/>
      <c r="I48" s="21">
        <f t="shared" si="16"/>
        <v>1</v>
      </c>
      <c r="J48" s="667"/>
      <c r="K48" s="21">
        <f t="shared" si="17"/>
        <v>1</v>
      </c>
      <c r="L48" s="667"/>
      <c r="M48" s="21">
        <f t="shared" si="18"/>
        <v>1</v>
      </c>
      <c r="N48" s="667"/>
      <c r="O48" s="21">
        <f t="shared" si="19"/>
        <v>1</v>
      </c>
      <c r="P48" s="667"/>
      <c r="Q48" s="21">
        <f t="shared" si="20"/>
        <v>1</v>
      </c>
      <c r="R48" s="663">
        <f t="shared" si="22"/>
        <v>0</v>
      </c>
      <c r="S48" s="316">
        <f t="shared" si="12"/>
        <v>0</v>
      </c>
    </row>
    <row r="49" spans="1:19">
      <c r="A49" s="665">
        <f>面积明细表!C28</f>
        <v>0</v>
      </c>
      <c r="B49" s="54"/>
      <c r="C49" s="21">
        <f t="shared" si="13"/>
        <v>1</v>
      </c>
      <c r="D49" s="667"/>
      <c r="E49" s="21">
        <f t="shared" si="14"/>
        <v>1</v>
      </c>
      <c r="F49" s="667"/>
      <c r="G49" s="21">
        <f t="shared" si="15"/>
        <v>1</v>
      </c>
      <c r="H49" s="667"/>
      <c r="I49" s="21">
        <f t="shared" si="16"/>
        <v>1</v>
      </c>
      <c r="J49" s="667"/>
      <c r="K49" s="21">
        <f t="shared" si="17"/>
        <v>1</v>
      </c>
      <c r="L49" s="667"/>
      <c r="M49" s="21">
        <f t="shared" si="18"/>
        <v>1</v>
      </c>
      <c r="N49" s="667"/>
      <c r="O49" s="21">
        <f t="shared" si="19"/>
        <v>1</v>
      </c>
      <c r="P49" s="667"/>
      <c r="Q49" s="21">
        <f t="shared" si="20"/>
        <v>1</v>
      </c>
      <c r="R49" s="663">
        <f t="shared" si="22"/>
        <v>0</v>
      </c>
      <c r="S49" s="316">
        <f t="shared" si="12"/>
        <v>0</v>
      </c>
    </row>
    <row r="50" spans="1:19">
      <c r="A50" s="665">
        <f>面积明细表!C29</f>
        <v>0</v>
      </c>
      <c r="B50" s="54"/>
      <c r="C50" s="21">
        <f t="shared" si="13"/>
        <v>1</v>
      </c>
      <c r="D50" s="667"/>
      <c r="E50" s="21">
        <f t="shared" si="14"/>
        <v>1</v>
      </c>
      <c r="F50" s="667"/>
      <c r="G50" s="21">
        <f t="shared" si="15"/>
        <v>1</v>
      </c>
      <c r="H50" s="667"/>
      <c r="I50" s="21">
        <f t="shared" si="16"/>
        <v>1</v>
      </c>
      <c r="J50" s="667"/>
      <c r="K50" s="21">
        <f t="shared" si="17"/>
        <v>1</v>
      </c>
      <c r="L50" s="667"/>
      <c r="M50" s="21">
        <f t="shared" si="18"/>
        <v>1</v>
      </c>
      <c r="N50" s="667"/>
      <c r="O50" s="21">
        <f t="shared" si="19"/>
        <v>1</v>
      </c>
      <c r="P50" s="667"/>
      <c r="Q50" s="21">
        <f t="shared" si="20"/>
        <v>1</v>
      </c>
      <c r="R50" s="663">
        <f t="shared" si="22"/>
        <v>0</v>
      </c>
      <c r="S50" s="316">
        <f t="shared" si="12"/>
        <v>0</v>
      </c>
    </row>
    <row r="51" spans="1:19">
      <c r="A51" s="665">
        <f>面积明细表!C30</f>
        <v>0</v>
      </c>
      <c r="B51" s="54"/>
      <c r="C51" s="21">
        <f t="shared" si="13"/>
        <v>1</v>
      </c>
      <c r="D51" s="667"/>
      <c r="E51" s="21">
        <f t="shared" si="14"/>
        <v>1</v>
      </c>
      <c r="F51" s="667"/>
      <c r="G51" s="21">
        <f t="shared" si="15"/>
        <v>1</v>
      </c>
      <c r="H51" s="667"/>
      <c r="I51" s="21">
        <f t="shared" si="16"/>
        <v>1</v>
      </c>
      <c r="J51" s="667"/>
      <c r="K51" s="21">
        <f t="shared" si="17"/>
        <v>1</v>
      </c>
      <c r="L51" s="667"/>
      <c r="M51" s="21">
        <f t="shared" si="18"/>
        <v>1</v>
      </c>
      <c r="N51" s="667"/>
      <c r="O51" s="21">
        <f t="shared" si="19"/>
        <v>1</v>
      </c>
      <c r="P51" s="667"/>
      <c r="Q51" s="21">
        <f t="shared" si="20"/>
        <v>1</v>
      </c>
      <c r="R51" s="663">
        <f t="shared" si="22"/>
        <v>0</v>
      </c>
      <c r="S51" s="316">
        <f t="shared" si="12"/>
        <v>0</v>
      </c>
    </row>
    <row r="52" spans="1:19">
      <c r="A52" s="665">
        <f>面积明细表!C31</f>
        <v>0</v>
      </c>
      <c r="B52" s="54"/>
      <c r="C52" s="21">
        <f t="shared" si="13"/>
        <v>1</v>
      </c>
      <c r="D52" s="667"/>
      <c r="E52" s="21">
        <f t="shared" si="14"/>
        <v>1</v>
      </c>
      <c r="F52" s="667"/>
      <c r="G52" s="21">
        <f t="shared" si="15"/>
        <v>1</v>
      </c>
      <c r="H52" s="667"/>
      <c r="I52" s="21">
        <f t="shared" si="16"/>
        <v>1</v>
      </c>
      <c r="J52" s="667"/>
      <c r="K52" s="21">
        <f t="shared" si="17"/>
        <v>1</v>
      </c>
      <c r="L52" s="667"/>
      <c r="M52" s="21">
        <f t="shared" si="18"/>
        <v>1</v>
      </c>
      <c r="N52" s="667"/>
      <c r="O52" s="21">
        <f t="shared" si="19"/>
        <v>1</v>
      </c>
      <c r="P52" s="667"/>
      <c r="Q52" s="21">
        <f t="shared" si="20"/>
        <v>1</v>
      </c>
      <c r="R52" s="663">
        <f t="shared" si="22"/>
        <v>0</v>
      </c>
      <c r="S52" s="316">
        <f t="shared" si="12"/>
        <v>0</v>
      </c>
    </row>
    <row r="53" spans="1:19">
      <c r="A53" s="665">
        <f>面积明细表!C32</f>
        <v>0</v>
      </c>
      <c r="B53" s="54"/>
      <c r="C53" s="21">
        <f t="shared" si="13"/>
        <v>1</v>
      </c>
      <c r="D53" s="667"/>
      <c r="E53" s="21">
        <f t="shared" si="14"/>
        <v>1</v>
      </c>
      <c r="F53" s="667"/>
      <c r="G53" s="21">
        <f t="shared" si="15"/>
        <v>1</v>
      </c>
      <c r="H53" s="667"/>
      <c r="I53" s="21">
        <f t="shared" si="16"/>
        <v>1</v>
      </c>
      <c r="J53" s="667"/>
      <c r="K53" s="21">
        <f t="shared" si="17"/>
        <v>1</v>
      </c>
      <c r="L53" s="667"/>
      <c r="M53" s="21">
        <f t="shared" si="18"/>
        <v>1</v>
      </c>
      <c r="N53" s="667"/>
      <c r="O53" s="21">
        <f t="shared" si="19"/>
        <v>1</v>
      </c>
      <c r="P53" s="667"/>
      <c r="Q53" s="21">
        <f t="shared" si="20"/>
        <v>1</v>
      </c>
      <c r="R53" s="663">
        <f t="shared" si="22"/>
        <v>0</v>
      </c>
      <c r="S53" s="316">
        <f t="shared" si="12"/>
        <v>0</v>
      </c>
    </row>
    <row r="54" spans="1:19">
      <c r="A54" s="665">
        <f>面积明细表!C33</f>
        <v>0</v>
      </c>
      <c r="B54" s="54"/>
      <c r="C54" s="21">
        <f t="shared" si="13"/>
        <v>1</v>
      </c>
      <c r="D54" s="667"/>
      <c r="E54" s="21">
        <f t="shared" si="14"/>
        <v>1</v>
      </c>
      <c r="F54" s="667"/>
      <c r="G54" s="21">
        <f t="shared" si="15"/>
        <v>1</v>
      </c>
      <c r="H54" s="667"/>
      <c r="I54" s="21">
        <f t="shared" si="16"/>
        <v>1</v>
      </c>
      <c r="J54" s="667"/>
      <c r="K54" s="21">
        <f t="shared" si="17"/>
        <v>1</v>
      </c>
      <c r="L54" s="667"/>
      <c r="M54" s="21">
        <f t="shared" si="18"/>
        <v>1</v>
      </c>
      <c r="N54" s="667"/>
      <c r="O54" s="21">
        <f t="shared" si="19"/>
        <v>1</v>
      </c>
      <c r="P54" s="667"/>
      <c r="Q54" s="21">
        <f t="shared" si="20"/>
        <v>1</v>
      </c>
      <c r="R54" s="663">
        <f t="shared" si="22"/>
        <v>0</v>
      </c>
      <c r="S54" s="316">
        <f t="shared" si="12"/>
        <v>0</v>
      </c>
    </row>
    <row r="55" spans="1:19">
      <c r="A55" s="665">
        <f>面积明细表!C34</f>
        <v>0</v>
      </c>
      <c r="B55" s="54"/>
      <c r="C55" s="21">
        <f t="shared" si="13"/>
        <v>1</v>
      </c>
      <c r="D55" s="667"/>
      <c r="E55" s="21">
        <f t="shared" si="14"/>
        <v>1</v>
      </c>
      <c r="F55" s="667"/>
      <c r="G55" s="21">
        <f t="shared" si="15"/>
        <v>1</v>
      </c>
      <c r="H55" s="667"/>
      <c r="I55" s="21">
        <f t="shared" si="16"/>
        <v>1</v>
      </c>
      <c r="J55" s="667"/>
      <c r="K55" s="21">
        <f t="shared" si="17"/>
        <v>1</v>
      </c>
      <c r="L55" s="667"/>
      <c r="M55" s="21">
        <f t="shared" si="18"/>
        <v>1</v>
      </c>
      <c r="N55" s="667"/>
      <c r="O55" s="21">
        <f t="shared" si="19"/>
        <v>1</v>
      </c>
      <c r="P55" s="667"/>
      <c r="Q55" s="21">
        <f t="shared" si="20"/>
        <v>1</v>
      </c>
      <c r="R55" s="663">
        <f t="shared" si="22"/>
        <v>0</v>
      </c>
      <c r="S55" s="316">
        <f t="shared" ref="S55:S77" si="23">ROUND(R55*B55/10000,0)</f>
        <v>0</v>
      </c>
    </row>
    <row r="56" spans="1:19">
      <c r="A56" s="665">
        <f>面积明细表!C35</f>
        <v>0</v>
      </c>
      <c r="B56" s="54"/>
      <c r="C56" s="21">
        <f t="shared" si="13"/>
        <v>1</v>
      </c>
      <c r="D56" s="667"/>
      <c r="E56" s="21">
        <f t="shared" si="14"/>
        <v>1</v>
      </c>
      <c r="F56" s="667"/>
      <c r="G56" s="21">
        <f t="shared" si="15"/>
        <v>1</v>
      </c>
      <c r="H56" s="667"/>
      <c r="I56" s="21">
        <f t="shared" si="16"/>
        <v>1</v>
      </c>
      <c r="J56" s="667"/>
      <c r="K56" s="21">
        <f t="shared" si="17"/>
        <v>1</v>
      </c>
      <c r="L56" s="667"/>
      <c r="M56" s="21">
        <f t="shared" si="18"/>
        <v>1</v>
      </c>
      <c r="N56" s="667"/>
      <c r="O56" s="21">
        <f t="shared" si="19"/>
        <v>1</v>
      </c>
      <c r="P56" s="667"/>
      <c r="Q56" s="21">
        <f t="shared" si="20"/>
        <v>1</v>
      </c>
      <c r="R56" s="663">
        <f t="shared" si="22"/>
        <v>0</v>
      </c>
      <c r="S56" s="316">
        <f t="shared" si="23"/>
        <v>0</v>
      </c>
    </row>
    <row r="57" spans="1:19">
      <c r="A57" s="665">
        <f>面积明细表!C36</f>
        <v>0</v>
      </c>
      <c r="B57" s="54"/>
      <c r="C57" s="21">
        <f t="shared" si="13"/>
        <v>1</v>
      </c>
      <c r="D57" s="667"/>
      <c r="E57" s="21">
        <f t="shared" si="14"/>
        <v>1</v>
      </c>
      <c r="F57" s="667"/>
      <c r="G57" s="21">
        <f t="shared" si="15"/>
        <v>1</v>
      </c>
      <c r="H57" s="667"/>
      <c r="I57" s="21">
        <f t="shared" si="16"/>
        <v>1</v>
      </c>
      <c r="J57" s="667"/>
      <c r="K57" s="21">
        <f t="shared" si="17"/>
        <v>1</v>
      </c>
      <c r="L57" s="667"/>
      <c r="M57" s="21">
        <f t="shared" si="18"/>
        <v>1</v>
      </c>
      <c r="N57" s="667"/>
      <c r="O57" s="21">
        <f t="shared" si="19"/>
        <v>1</v>
      </c>
      <c r="P57" s="667"/>
      <c r="Q57" s="21">
        <f t="shared" si="20"/>
        <v>1</v>
      </c>
      <c r="R57" s="663">
        <f t="shared" si="22"/>
        <v>0</v>
      </c>
      <c r="S57" s="316">
        <f t="shared" si="23"/>
        <v>0</v>
      </c>
    </row>
    <row r="58" spans="1:19">
      <c r="A58" s="665">
        <f>面积明细表!C37</f>
        <v>0</v>
      </c>
      <c r="B58" s="54"/>
      <c r="C58" s="21">
        <f t="shared" si="13"/>
        <v>1</v>
      </c>
      <c r="D58" s="667"/>
      <c r="E58" s="21">
        <f t="shared" si="14"/>
        <v>1</v>
      </c>
      <c r="F58" s="667"/>
      <c r="G58" s="21">
        <f t="shared" si="15"/>
        <v>1</v>
      </c>
      <c r="H58" s="667"/>
      <c r="I58" s="21">
        <f t="shared" si="16"/>
        <v>1</v>
      </c>
      <c r="J58" s="667"/>
      <c r="K58" s="21">
        <f t="shared" si="17"/>
        <v>1</v>
      </c>
      <c r="L58" s="667"/>
      <c r="M58" s="21">
        <f t="shared" si="18"/>
        <v>1</v>
      </c>
      <c r="N58" s="667"/>
      <c r="O58" s="21">
        <f t="shared" si="19"/>
        <v>1</v>
      </c>
      <c r="P58" s="667"/>
      <c r="Q58" s="21">
        <f t="shared" si="20"/>
        <v>1</v>
      </c>
      <c r="R58" s="663">
        <f t="shared" si="22"/>
        <v>0</v>
      </c>
      <c r="S58" s="316">
        <f t="shared" si="23"/>
        <v>0</v>
      </c>
    </row>
    <row r="59" spans="1:19">
      <c r="A59" s="665">
        <f>面积明细表!C38</f>
        <v>0</v>
      </c>
      <c r="B59" s="54"/>
      <c r="C59" s="21">
        <f t="shared" si="13"/>
        <v>1</v>
      </c>
      <c r="D59" s="667"/>
      <c r="E59" s="21">
        <f t="shared" si="14"/>
        <v>1</v>
      </c>
      <c r="F59" s="667"/>
      <c r="G59" s="21">
        <f t="shared" si="15"/>
        <v>1</v>
      </c>
      <c r="H59" s="667"/>
      <c r="I59" s="21">
        <f t="shared" si="16"/>
        <v>1</v>
      </c>
      <c r="J59" s="667"/>
      <c r="K59" s="21">
        <f t="shared" si="17"/>
        <v>1</v>
      </c>
      <c r="L59" s="667"/>
      <c r="M59" s="21">
        <f t="shared" si="18"/>
        <v>1</v>
      </c>
      <c r="N59" s="667"/>
      <c r="O59" s="21">
        <f t="shared" si="19"/>
        <v>1</v>
      </c>
      <c r="P59" s="667"/>
      <c r="Q59" s="21">
        <f t="shared" si="20"/>
        <v>1</v>
      </c>
      <c r="R59" s="663">
        <f t="shared" si="22"/>
        <v>0</v>
      </c>
      <c r="S59" s="316">
        <f t="shared" si="23"/>
        <v>0</v>
      </c>
    </row>
    <row r="60" spans="1:19">
      <c r="A60" s="665">
        <f>面积明细表!C39</f>
        <v>0</v>
      </c>
      <c r="B60" s="54"/>
      <c r="C60" s="21">
        <f t="shared" si="13"/>
        <v>1</v>
      </c>
      <c r="D60" s="667"/>
      <c r="E60" s="21">
        <f t="shared" si="14"/>
        <v>1</v>
      </c>
      <c r="F60" s="667"/>
      <c r="G60" s="21">
        <f t="shared" si="15"/>
        <v>1</v>
      </c>
      <c r="H60" s="667"/>
      <c r="I60" s="21">
        <f t="shared" si="16"/>
        <v>1</v>
      </c>
      <c r="J60" s="667"/>
      <c r="K60" s="21">
        <f t="shared" si="17"/>
        <v>1</v>
      </c>
      <c r="L60" s="667"/>
      <c r="M60" s="21">
        <f t="shared" si="18"/>
        <v>1</v>
      </c>
      <c r="N60" s="667"/>
      <c r="O60" s="21">
        <f t="shared" si="19"/>
        <v>1</v>
      </c>
      <c r="P60" s="667"/>
      <c r="Q60" s="21">
        <f t="shared" si="20"/>
        <v>1</v>
      </c>
      <c r="R60" s="663">
        <f t="shared" si="22"/>
        <v>0</v>
      </c>
      <c r="S60" s="316">
        <f t="shared" si="23"/>
        <v>0</v>
      </c>
    </row>
    <row r="61" spans="1:19">
      <c r="A61" s="665">
        <f>面积明细表!C40</f>
        <v>0</v>
      </c>
      <c r="B61" s="54"/>
      <c r="C61" s="21">
        <f t="shared" si="13"/>
        <v>1</v>
      </c>
      <c r="D61" s="667"/>
      <c r="E61" s="21">
        <f t="shared" si="14"/>
        <v>1</v>
      </c>
      <c r="F61" s="667"/>
      <c r="G61" s="21">
        <f t="shared" si="15"/>
        <v>1</v>
      </c>
      <c r="H61" s="667"/>
      <c r="I61" s="21">
        <f t="shared" si="16"/>
        <v>1</v>
      </c>
      <c r="J61" s="667"/>
      <c r="K61" s="21">
        <f t="shared" si="17"/>
        <v>1</v>
      </c>
      <c r="L61" s="667"/>
      <c r="M61" s="21">
        <f t="shared" si="18"/>
        <v>1</v>
      </c>
      <c r="N61" s="667"/>
      <c r="O61" s="21">
        <f t="shared" si="19"/>
        <v>1</v>
      </c>
      <c r="P61" s="667"/>
      <c r="Q61" s="21">
        <f t="shared" si="20"/>
        <v>1</v>
      </c>
      <c r="R61" s="663">
        <f t="shared" si="22"/>
        <v>0</v>
      </c>
      <c r="S61" s="316">
        <f t="shared" si="23"/>
        <v>0</v>
      </c>
    </row>
    <row r="62" spans="1:19">
      <c r="A62" s="665">
        <f>面积明细表!C41</f>
        <v>0</v>
      </c>
      <c r="B62" s="54"/>
      <c r="C62" s="21">
        <f t="shared" si="13"/>
        <v>1</v>
      </c>
      <c r="D62" s="667"/>
      <c r="E62" s="21">
        <f t="shared" si="14"/>
        <v>1</v>
      </c>
      <c r="F62" s="667"/>
      <c r="G62" s="21">
        <f t="shared" si="15"/>
        <v>1</v>
      </c>
      <c r="H62" s="667"/>
      <c r="I62" s="21">
        <f t="shared" si="16"/>
        <v>1</v>
      </c>
      <c r="J62" s="667"/>
      <c r="K62" s="21">
        <f t="shared" si="17"/>
        <v>1</v>
      </c>
      <c r="L62" s="667"/>
      <c r="M62" s="21">
        <f t="shared" si="18"/>
        <v>1</v>
      </c>
      <c r="N62" s="667"/>
      <c r="O62" s="21">
        <f t="shared" si="19"/>
        <v>1</v>
      </c>
      <c r="P62" s="667"/>
      <c r="Q62" s="21">
        <f t="shared" si="20"/>
        <v>1</v>
      </c>
      <c r="R62" s="663">
        <f t="shared" si="22"/>
        <v>0</v>
      </c>
      <c r="S62" s="316">
        <f t="shared" si="23"/>
        <v>0</v>
      </c>
    </row>
    <row r="63" spans="1:19">
      <c r="A63" s="665">
        <f>面积明细表!C42</f>
        <v>0</v>
      </c>
      <c r="B63" s="54"/>
      <c r="C63" s="21">
        <f t="shared" si="13"/>
        <v>1</v>
      </c>
      <c r="D63" s="667"/>
      <c r="E63" s="21">
        <f t="shared" si="14"/>
        <v>1</v>
      </c>
      <c r="F63" s="667"/>
      <c r="G63" s="21">
        <f t="shared" si="15"/>
        <v>1</v>
      </c>
      <c r="H63" s="667"/>
      <c r="I63" s="21">
        <f t="shared" si="16"/>
        <v>1</v>
      </c>
      <c r="J63" s="667"/>
      <c r="K63" s="21">
        <f t="shared" si="17"/>
        <v>1</v>
      </c>
      <c r="L63" s="667"/>
      <c r="M63" s="21">
        <f t="shared" si="18"/>
        <v>1</v>
      </c>
      <c r="N63" s="667"/>
      <c r="O63" s="21">
        <f t="shared" si="19"/>
        <v>1</v>
      </c>
      <c r="P63" s="667"/>
      <c r="Q63" s="21">
        <f t="shared" si="20"/>
        <v>1</v>
      </c>
      <c r="R63" s="663">
        <f t="shared" si="22"/>
        <v>0</v>
      </c>
      <c r="S63" s="316">
        <f t="shared" si="23"/>
        <v>0</v>
      </c>
    </row>
    <row r="64" spans="1:19">
      <c r="A64" s="665">
        <f>面积明细表!C43</f>
        <v>0</v>
      </c>
      <c r="B64" s="54"/>
      <c r="C64" s="21">
        <f t="shared" si="13"/>
        <v>1</v>
      </c>
      <c r="D64" s="667"/>
      <c r="E64" s="21">
        <f t="shared" si="14"/>
        <v>1</v>
      </c>
      <c r="F64" s="667"/>
      <c r="G64" s="21">
        <f t="shared" si="15"/>
        <v>1</v>
      </c>
      <c r="H64" s="667"/>
      <c r="I64" s="21">
        <f t="shared" si="16"/>
        <v>1</v>
      </c>
      <c r="J64" s="667"/>
      <c r="K64" s="21">
        <f t="shared" si="17"/>
        <v>1</v>
      </c>
      <c r="L64" s="667"/>
      <c r="M64" s="21">
        <f t="shared" si="18"/>
        <v>1</v>
      </c>
      <c r="N64" s="667"/>
      <c r="O64" s="21">
        <f t="shared" si="19"/>
        <v>1</v>
      </c>
      <c r="P64" s="667"/>
      <c r="Q64" s="21">
        <f t="shared" si="20"/>
        <v>1</v>
      </c>
      <c r="R64" s="663">
        <f t="shared" si="22"/>
        <v>0</v>
      </c>
      <c r="S64" s="316">
        <f t="shared" si="23"/>
        <v>0</v>
      </c>
    </row>
    <row r="65" spans="1:19">
      <c r="A65" s="665">
        <f>面积明细表!C44</f>
        <v>0</v>
      </c>
      <c r="B65" s="54"/>
      <c r="C65" s="21">
        <f t="shared" si="13"/>
        <v>1</v>
      </c>
      <c r="D65" s="667"/>
      <c r="E65" s="21">
        <f t="shared" si="14"/>
        <v>1</v>
      </c>
      <c r="F65" s="667"/>
      <c r="G65" s="21">
        <f t="shared" si="15"/>
        <v>1</v>
      </c>
      <c r="H65" s="667"/>
      <c r="I65" s="21">
        <f t="shared" si="16"/>
        <v>1</v>
      </c>
      <c r="J65" s="667"/>
      <c r="K65" s="21">
        <f t="shared" si="17"/>
        <v>1</v>
      </c>
      <c r="L65" s="667"/>
      <c r="M65" s="21">
        <f t="shared" si="18"/>
        <v>1</v>
      </c>
      <c r="N65" s="667"/>
      <c r="O65" s="21">
        <f t="shared" si="19"/>
        <v>1</v>
      </c>
      <c r="P65" s="667"/>
      <c r="Q65" s="21">
        <f t="shared" si="20"/>
        <v>1</v>
      </c>
      <c r="R65" s="663">
        <f t="shared" si="22"/>
        <v>0</v>
      </c>
      <c r="S65" s="316">
        <f t="shared" si="23"/>
        <v>0</v>
      </c>
    </row>
    <row r="66" spans="1:19">
      <c r="A66" s="665">
        <f>面积明细表!C45</f>
        <v>0</v>
      </c>
      <c r="B66" s="54"/>
      <c r="C66" s="21">
        <f t="shared" si="13"/>
        <v>1</v>
      </c>
      <c r="D66" s="667"/>
      <c r="E66" s="21">
        <f t="shared" si="14"/>
        <v>1</v>
      </c>
      <c r="F66" s="667"/>
      <c r="G66" s="21">
        <f t="shared" si="15"/>
        <v>1</v>
      </c>
      <c r="H66" s="667"/>
      <c r="I66" s="21">
        <f t="shared" si="16"/>
        <v>1</v>
      </c>
      <c r="J66" s="667"/>
      <c r="K66" s="21">
        <f t="shared" si="17"/>
        <v>1</v>
      </c>
      <c r="L66" s="667"/>
      <c r="M66" s="21">
        <f t="shared" si="18"/>
        <v>1</v>
      </c>
      <c r="N66" s="667"/>
      <c r="O66" s="21">
        <f t="shared" si="19"/>
        <v>1</v>
      </c>
      <c r="P66" s="667"/>
      <c r="Q66" s="21">
        <f t="shared" si="20"/>
        <v>1</v>
      </c>
      <c r="R66" s="663">
        <f t="shared" si="22"/>
        <v>0</v>
      </c>
      <c r="S66" s="316">
        <f t="shared" si="23"/>
        <v>0</v>
      </c>
    </row>
    <row r="67" spans="1:19">
      <c r="A67" s="665">
        <f>面积明细表!C46</f>
        <v>0</v>
      </c>
      <c r="B67" s="54"/>
      <c r="C67" s="21">
        <f t="shared" si="13"/>
        <v>1</v>
      </c>
      <c r="D67" s="667"/>
      <c r="E67" s="21">
        <f t="shared" si="14"/>
        <v>1</v>
      </c>
      <c r="F67" s="667"/>
      <c r="G67" s="21">
        <f t="shared" si="15"/>
        <v>1</v>
      </c>
      <c r="H67" s="667"/>
      <c r="I67" s="21">
        <f t="shared" si="16"/>
        <v>1</v>
      </c>
      <c r="J67" s="667"/>
      <c r="K67" s="21">
        <f t="shared" si="17"/>
        <v>1</v>
      </c>
      <c r="L67" s="667"/>
      <c r="M67" s="21">
        <f t="shared" si="18"/>
        <v>1</v>
      </c>
      <c r="N67" s="667"/>
      <c r="O67" s="21">
        <f t="shared" si="19"/>
        <v>1</v>
      </c>
      <c r="P67" s="667"/>
      <c r="Q67" s="21">
        <f t="shared" si="20"/>
        <v>1</v>
      </c>
      <c r="R67" s="663">
        <f t="shared" si="22"/>
        <v>0</v>
      </c>
      <c r="S67" s="316">
        <f t="shared" si="23"/>
        <v>0</v>
      </c>
    </row>
    <row r="68" spans="1:19">
      <c r="A68" s="665">
        <f>面积明细表!C47</f>
        <v>0</v>
      </c>
      <c r="B68" s="54"/>
      <c r="C68" s="21">
        <f t="shared" si="13"/>
        <v>1</v>
      </c>
      <c r="D68" s="667"/>
      <c r="E68" s="21">
        <f t="shared" si="14"/>
        <v>1</v>
      </c>
      <c r="F68" s="667"/>
      <c r="G68" s="21">
        <f t="shared" si="15"/>
        <v>1</v>
      </c>
      <c r="H68" s="667"/>
      <c r="I68" s="21">
        <f t="shared" si="16"/>
        <v>1</v>
      </c>
      <c r="J68" s="667"/>
      <c r="K68" s="21">
        <f t="shared" si="17"/>
        <v>1</v>
      </c>
      <c r="L68" s="667"/>
      <c r="M68" s="21">
        <f t="shared" si="18"/>
        <v>1</v>
      </c>
      <c r="N68" s="667"/>
      <c r="O68" s="21">
        <f t="shared" si="19"/>
        <v>1</v>
      </c>
      <c r="P68" s="667"/>
      <c r="Q68" s="21">
        <f t="shared" si="20"/>
        <v>1</v>
      </c>
      <c r="R68" s="663">
        <f t="shared" si="22"/>
        <v>0</v>
      </c>
      <c r="S68" s="316">
        <f t="shared" si="23"/>
        <v>0</v>
      </c>
    </row>
    <row r="69" spans="1:19">
      <c r="A69" s="665">
        <f>面积明细表!C48</f>
        <v>0</v>
      </c>
      <c r="B69" s="54"/>
      <c r="C69" s="21">
        <f t="shared" si="13"/>
        <v>1</v>
      </c>
      <c r="D69" s="667"/>
      <c r="E69" s="21">
        <f t="shared" si="14"/>
        <v>1</v>
      </c>
      <c r="F69" s="667"/>
      <c r="G69" s="21">
        <f t="shared" si="15"/>
        <v>1</v>
      </c>
      <c r="H69" s="667"/>
      <c r="I69" s="21">
        <f t="shared" si="16"/>
        <v>1</v>
      </c>
      <c r="J69" s="667"/>
      <c r="K69" s="21">
        <f t="shared" si="17"/>
        <v>1</v>
      </c>
      <c r="L69" s="667"/>
      <c r="M69" s="21">
        <f t="shared" si="18"/>
        <v>1</v>
      </c>
      <c r="N69" s="667"/>
      <c r="O69" s="21">
        <f t="shared" si="19"/>
        <v>1</v>
      </c>
      <c r="P69" s="667"/>
      <c r="Q69" s="21">
        <f t="shared" si="20"/>
        <v>1</v>
      </c>
      <c r="R69" s="663">
        <f t="shared" si="22"/>
        <v>0</v>
      </c>
      <c r="S69" s="316">
        <f t="shared" si="23"/>
        <v>0</v>
      </c>
    </row>
    <row r="70" spans="1:19">
      <c r="A70" s="665">
        <f>面积明细表!C49</f>
        <v>0</v>
      </c>
      <c r="B70" s="54"/>
      <c r="C70" s="21">
        <f t="shared" si="13"/>
        <v>1</v>
      </c>
      <c r="D70" s="667"/>
      <c r="E70" s="21">
        <f t="shared" si="14"/>
        <v>1</v>
      </c>
      <c r="F70" s="667"/>
      <c r="G70" s="21">
        <f t="shared" si="15"/>
        <v>1</v>
      </c>
      <c r="H70" s="667"/>
      <c r="I70" s="21">
        <f t="shared" si="16"/>
        <v>1</v>
      </c>
      <c r="J70" s="667"/>
      <c r="K70" s="21">
        <f t="shared" si="17"/>
        <v>1</v>
      </c>
      <c r="L70" s="667"/>
      <c r="M70" s="21">
        <f t="shared" si="18"/>
        <v>1</v>
      </c>
      <c r="N70" s="667"/>
      <c r="O70" s="21">
        <f t="shared" si="19"/>
        <v>1</v>
      </c>
      <c r="P70" s="667"/>
      <c r="Q70" s="21">
        <f t="shared" si="20"/>
        <v>1</v>
      </c>
      <c r="R70" s="663">
        <f t="shared" si="22"/>
        <v>0</v>
      </c>
      <c r="S70" s="316">
        <f t="shared" si="23"/>
        <v>0</v>
      </c>
    </row>
    <row r="71" spans="1:19">
      <c r="A71" s="665">
        <f>面积明细表!C50</f>
        <v>0</v>
      </c>
      <c r="B71" s="54"/>
      <c r="C71" s="21">
        <f t="shared" si="13"/>
        <v>1</v>
      </c>
      <c r="D71" s="667"/>
      <c r="E71" s="21">
        <f t="shared" si="14"/>
        <v>1</v>
      </c>
      <c r="F71" s="667"/>
      <c r="G71" s="21">
        <f t="shared" si="15"/>
        <v>1</v>
      </c>
      <c r="H71" s="667"/>
      <c r="I71" s="21">
        <f t="shared" si="16"/>
        <v>1</v>
      </c>
      <c r="J71" s="667"/>
      <c r="K71" s="21">
        <f t="shared" si="17"/>
        <v>1</v>
      </c>
      <c r="L71" s="667"/>
      <c r="M71" s="21">
        <f t="shared" si="18"/>
        <v>1</v>
      </c>
      <c r="N71" s="667"/>
      <c r="O71" s="21">
        <f t="shared" si="19"/>
        <v>1</v>
      </c>
      <c r="P71" s="667"/>
      <c r="Q71" s="21">
        <f t="shared" si="20"/>
        <v>1</v>
      </c>
      <c r="R71" s="663">
        <f t="shared" si="22"/>
        <v>0</v>
      </c>
      <c r="S71" s="316">
        <f t="shared" si="23"/>
        <v>0</v>
      </c>
    </row>
    <row r="72" spans="1:19">
      <c r="A72" s="665">
        <f>面积明细表!C51</f>
        <v>0</v>
      </c>
      <c r="B72" s="54"/>
      <c r="C72" s="21">
        <f t="shared" si="13"/>
        <v>1</v>
      </c>
      <c r="D72" s="667"/>
      <c r="E72" s="21">
        <f t="shared" si="14"/>
        <v>1</v>
      </c>
      <c r="F72" s="667"/>
      <c r="G72" s="21">
        <f t="shared" si="15"/>
        <v>1</v>
      </c>
      <c r="H72" s="667"/>
      <c r="I72" s="21">
        <f t="shared" si="16"/>
        <v>1</v>
      </c>
      <c r="J72" s="667"/>
      <c r="K72" s="21">
        <f t="shared" si="17"/>
        <v>1</v>
      </c>
      <c r="L72" s="667"/>
      <c r="M72" s="21">
        <f t="shared" si="18"/>
        <v>1</v>
      </c>
      <c r="N72" s="667"/>
      <c r="O72" s="21">
        <f t="shared" si="19"/>
        <v>1</v>
      </c>
      <c r="P72" s="667"/>
      <c r="Q72" s="21">
        <f t="shared" si="20"/>
        <v>1</v>
      </c>
      <c r="R72" s="663">
        <f t="shared" si="22"/>
        <v>0</v>
      </c>
      <c r="S72" s="316">
        <f t="shared" si="23"/>
        <v>0</v>
      </c>
    </row>
    <row r="73" spans="1:19">
      <c r="A73" s="665">
        <f>面积明细表!C52</f>
        <v>0</v>
      </c>
      <c r="B73" s="54"/>
      <c r="C73" s="21">
        <f t="shared" si="13"/>
        <v>1</v>
      </c>
      <c r="D73" s="667"/>
      <c r="E73" s="21">
        <f t="shared" si="14"/>
        <v>1</v>
      </c>
      <c r="F73" s="667"/>
      <c r="G73" s="21">
        <f t="shared" si="15"/>
        <v>1</v>
      </c>
      <c r="H73" s="667"/>
      <c r="I73" s="21">
        <f t="shared" si="16"/>
        <v>1</v>
      </c>
      <c r="J73" s="667"/>
      <c r="K73" s="21">
        <f t="shared" si="17"/>
        <v>1</v>
      </c>
      <c r="L73" s="667"/>
      <c r="M73" s="21">
        <f t="shared" si="18"/>
        <v>1</v>
      </c>
      <c r="N73" s="667"/>
      <c r="O73" s="21">
        <f t="shared" si="19"/>
        <v>1</v>
      </c>
      <c r="P73" s="667"/>
      <c r="Q73" s="21">
        <f t="shared" si="20"/>
        <v>1</v>
      </c>
      <c r="R73" s="663">
        <f t="shared" si="22"/>
        <v>0</v>
      </c>
      <c r="S73" s="316">
        <f t="shared" si="23"/>
        <v>0</v>
      </c>
    </row>
    <row r="74" spans="1:19">
      <c r="A74" s="665">
        <f>面积明细表!C53</f>
        <v>0</v>
      </c>
      <c r="B74" s="54"/>
      <c r="C74" s="21">
        <f t="shared" si="13"/>
        <v>1</v>
      </c>
      <c r="D74" s="667"/>
      <c r="E74" s="21">
        <f t="shared" si="14"/>
        <v>1</v>
      </c>
      <c r="F74" s="667"/>
      <c r="G74" s="21">
        <f t="shared" si="15"/>
        <v>1</v>
      </c>
      <c r="H74" s="667"/>
      <c r="I74" s="21">
        <f t="shared" si="16"/>
        <v>1</v>
      </c>
      <c r="J74" s="667"/>
      <c r="K74" s="21">
        <f t="shared" si="17"/>
        <v>1</v>
      </c>
      <c r="L74" s="667"/>
      <c r="M74" s="21">
        <f t="shared" si="18"/>
        <v>1</v>
      </c>
      <c r="N74" s="667"/>
      <c r="O74" s="21">
        <f t="shared" si="19"/>
        <v>1</v>
      </c>
      <c r="P74" s="667"/>
      <c r="Q74" s="21">
        <f t="shared" si="20"/>
        <v>1</v>
      </c>
      <c r="R74" s="663">
        <f t="shared" si="22"/>
        <v>0</v>
      </c>
      <c r="S74" s="316">
        <f t="shared" si="23"/>
        <v>0</v>
      </c>
    </row>
    <row r="75" spans="1:19">
      <c r="A75" s="665">
        <f>面积明细表!C54</f>
        <v>0</v>
      </c>
      <c r="B75" s="54"/>
      <c r="C75" s="21">
        <f t="shared" si="13"/>
        <v>1</v>
      </c>
      <c r="D75" s="667"/>
      <c r="E75" s="21">
        <f t="shared" si="14"/>
        <v>1</v>
      </c>
      <c r="F75" s="667"/>
      <c r="G75" s="21">
        <f t="shared" si="15"/>
        <v>1</v>
      </c>
      <c r="H75" s="667"/>
      <c r="I75" s="21">
        <f t="shared" si="16"/>
        <v>1</v>
      </c>
      <c r="J75" s="667"/>
      <c r="K75" s="21">
        <f t="shared" si="17"/>
        <v>1</v>
      </c>
      <c r="L75" s="667"/>
      <c r="M75" s="21">
        <f t="shared" si="18"/>
        <v>1</v>
      </c>
      <c r="N75" s="667"/>
      <c r="O75" s="21">
        <f t="shared" si="19"/>
        <v>1</v>
      </c>
      <c r="P75" s="667"/>
      <c r="Q75" s="21">
        <f t="shared" si="20"/>
        <v>1</v>
      </c>
      <c r="R75" s="663">
        <f t="shared" si="22"/>
        <v>0</v>
      </c>
      <c r="S75" s="316">
        <f t="shared" si="23"/>
        <v>0</v>
      </c>
    </row>
    <row r="76" spans="1:19">
      <c r="A76" s="665">
        <f>面积明细表!C55</f>
        <v>0</v>
      </c>
      <c r="B76" s="54"/>
      <c r="C76" s="21">
        <f t="shared" si="13"/>
        <v>1</v>
      </c>
      <c r="D76" s="667"/>
      <c r="E76" s="21">
        <f t="shared" si="14"/>
        <v>1</v>
      </c>
      <c r="F76" s="667"/>
      <c r="G76" s="21">
        <f t="shared" si="15"/>
        <v>1</v>
      </c>
      <c r="H76" s="667"/>
      <c r="I76" s="21">
        <f t="shared" si="16"/>
        <v>1</v>
      </c>
      <c r="J76" s="667"/>
      <c r="K76" s="21">
        <f t="shared" si="17"/>
        <v>1</v>
      </c>
      <c r="L76" s="667"/>
      <c r="M76" s="21">
        <f t="shared" si="18"/>
        <v>1</v>
      </c>
      <c r="N76" s="667"/>
      <c r="O76" s="21">
        <f t="shared" si="19"/>
        <v>1</v>
      </c>
      <c r="P76" s="667"/>
      <c r="Q76" s="21">
        <f t="shared" si="20"/>
        <v>1</v>
      </c>
      <c r="R76" s="663">
        <f t="shared" si="22"/>
        <v>0</v>
      </c>
      <c r="S76" s="316">
        <f t="shared" si="23"/>
        <v>0</v>
      </c>
    </row>
    <row r="77" spans="1:19">
      <c r="A77" s="665">
        <f>面积明细表!C56</f>
        <v>0</v>
      </c>
      <c r="B77" s="54"/>
      <c r="C77" s="21">
        <f t="shared" si="13"/>
        <v>1</v>
      </c>
      <c r="D77" s="667"/>
      <c r="E77" s="21">
        <f t="shared" si="14"/>
        <v>1</v>
      </c>
      <c r="F77" s="667"/>
      <c r="G77" s="21">
        <f t="shared" si="15"/>
        <v>1</v>
      </c>
      <c r="H77" s="667"/>
      <c r="I77" s="21">
        <f t="shared" si="16"/>
        <v>1</v>
      </c>
      <c r="J77" s="667"/>
      <c r="K77" s="21">
        <f t="shared" si="17"/>
        <v>1</v>
      </c>
      <c r="L77" s="667"/>
      <c r="M77" s="21">
        <f t="shared" si="18"/>
        <v>1</v>
      </c>
      <c r="N77" s="667"/>
      <c r="O77" s="21">
        <f t="shared" si="19"/>
        <v>1</v>
      </c>
      <c r="P77" s="667"/>
      <c r="Q77" s="21">
        <f t="shared" si="20"/>
        <v>1</v>
      </c>
      <c r="R77" s="663">
        <f t="shared" si="22"/>
        <v>0</v>
      </c>
      <c r="S77" s="316">
        <f t="shared" si="23"/>
        <v>0</v>
      </c>
    </row>
    <row r="78" spans="1:19">
      <c r="A78" s="665">
        <f>面积明细表!C57</f>
        <v>0</v>
      </c>
      <c r="B78" s="54"/>
      <c r="C78" s="21">
        <f t="shared" si="13"/>
        <v>1</v>
      </c>
      <c r="D78" s="667"/>
      <c r="E78" s="21">
        <f t="shared" si="14"/>
        <v>1</v>
      </c>
      <c r="F78" s="667"/>
      <c r="G78" s="21">
        <f t="shared" si="15"/>
        <v>1</v>
      </c>
      <c r="H78" s="667"/>
      <c r="I78" s="21">
        <f t="shared" si="16"/>
        <v>1</v>
      </c>
      <c r="J78" s="667"/>
      <c r="K78" s="21">
        <f t="shared" si="17"/>
        <v>1</v>
      </c>
      <c r="L78" s="667"/>
      <c r="M78" s="21">
        <f t="shared" si="18"/>
        <v>1</v>
      </c>
      <c r="N78" s="667"/>
      <c r="O78" s="21">
        <f t="shared" si="19"/>
        <v>1</v>
      </c>
      <c r="P78" s="667"/>
      <c r="Q78" s="21">
        <f t="shared" si="20"/>
        <v>1</v>
      </c>
      <c r="R78" s="663">
        <f t="shared" si="22"/>
        <v>0</v>
      </c>
      <c r="S78" s="316">
        <f t="shared" ref="S78:S122" si="24">ROUND(R78*B78/10000,0)</f>
        <v>0</v>
      </c>
    </row>
    <row r="79" spans="1:19">
      <c r="A79" s="665">
        <f>面积明细表!C58</f>
        <v>0</v>
      </c>
      <c r="B79" s="54"/>
      <c r="C79" s="21">
        <f t="shared" si="13"/>
        <v>1</v>
      </c>
      <c r="D79" s="667"/>
      <c r="E79" s="21">
        <f t="shared" si="14"/>
        <v>1</v>
      </c>
      <c r="F79" s="667"/>
      <c r="G79" s="21">
        <f t="shared" si="15"/>
        <v>1</v>
      </c>
      <c r="H79" s="667"/>
      <c r="I79" s="21">
        <f t="shared" si="16"/>
        <v>1</v>
      </c>
      <c r="J79" s="667"/>
      <c r="K79" s="21">
        <f t="shared" si="17"/>
        <v>1</v>
      </c>
      <c r="L79" s="667"/>
      <c r="M79" s="21">
        <f t="shared" si="18"/>
        <v>1</v>
      </c>
      <c r="N79" s="667"/>
      <c r="O79" s="21">
        <f t="shared" si="19"/>
        <v>1</v>
      </c>
      <c r="P79" s="667"/>
      <c r="Q79" s="21">
        <f t="shared" si="20"/>
        <v>1</v>
      </c>
      <c r="R79" s="663">
        <f t="shared" si="22"/>
        <v>0</v>
      </c>
      <c r="S79" s="316">
        <f t="shared" si="24"/>
        <v>0</v>
      </c>
    </row>
    <row r="80" spans="1:19">
      <c r="A80" s="665">
        <f>面积明细表!C59</f>
        <v>0</v>
      </c>
      <c r="B80" s="54"/>
      <c r="C80" s="21">
        <f t="shared" si="13"/>
        <v>1</v>
      </c>
      <c r="D80" s="667"/>
      <c r="E80" s="21">
        <f t="shared" si="14"/>
        <v>1</v>
      </c>
      <c r="F80" s="667"/>
      <c r="G80" s="21">
        <f t="shared" si="15"/>
        <v>1</v>
      </c>
      <c r="H80" s="667"/>
      <c r="I80" s="21">
        <f t="shared" si="16"/>
        <v>1</v>
      </c>
      <c r="J80" s="667"/>
      <c r="K80" s="21">
        <f t="shared" si="17"/>
        <v>1</v>
      </c>
      <c r="L80" s="667"/>
      <c r="M80" s="21">
        <f t="shared" si="18"/>
        <v>1</v>
      </c>
      <c r="N80" s="667"/>
      <c r="O80" s="21">
        <f t="shared" si="19"/>
        <v>1</v>
      </c>
      <c r="P80" s="667"/>
      <c r="Q80" s="21">
        <f t="shared" si="20"/>
        <v>1</v>
      </c>
      <c r="R80" s="663">
        <f t="shared" si="22"/>
        <v>0</v>
      </c>
      <c r="S80" s="316">
        <f t="shared" si="24"/>
        <v>0</v>
      </c>
    </row>
    <row r="81" spans="1:19">
      <c r="A81" s="665">
        <f>面积明细表!C60</f>
        <v>0</v>
      </c>
      <c r="B81" s="54"/>
      <c r="C81" s="21">
        <f t="shared" si="13"/>
        <v>1</v>
      </c>
      <c r="D81" s="667"/>
      <c r="E81" s="21">
        <f t="shared" si="14"/>
        <v>1</v>
      </c>
      <c r="F81" s="667"/>
      <c r="G81" s="21">
        <f t="shared" si="15"/>
        <v>1</v>
      </c>
      <c r="H81" s="667"/>
      <c r="I81" s="21">
        <f t="shared" si="16"/>
        <v>1</v>
      </c>
      <c r="J81" s="667"/>
      <c r="K81" s="21">
        <f t="shared" si="17"/>
        <v>1</v>
      </c>
      <c r="L81" s="667"/>
      <c r="M81" s="21">
        <f t="shared" si="18"/>
        <v>1</v>
      </c>
      <c r="N81" s="667"/>
      <c r="O81" s="21">
        <f t="shared" si="19"/>
        <v>1</v>
      </c>
      <c r="P81" s="667"/>
      <c r="Q81" s="21">
        <f t="shared" si="20"/>
        <v>1</v>
      </c>
      <c r="R81" s="663">
        <f t="shared" si="22"/>
        <v>0</v>
      </c>
      <c r="S81" s="316">
        <f t="shared" si="24"/>
        <v>0</v>
      </c>
    </row>
    <row r="82" spans="1:19">
      <c r="A82" s="665">
        <f>面积明细表!C61</f>
        <v>0</v>
      </c>
      <c r="B82" s="54"/>
      <c r="C82" s="21">
        <f t="shared" si="13"/>
        <v>1</v>
      </c>
      <c r="D82" s="667"/>
      <c r="E82" s="21">
        <f t="shared" si="14"/>
        <v>1</v>
      </c>
      <c r="F82" s="667"/>
      <c r="G82" s="21">
        <f t="shared" si="15"/>
        <v>1</v>
      </c>
      <c r="H82" s="667"/>
      <c r="I82" s="21">
        <f t="shared" si="16"/>
        <v>1</v>
      </c>
      <c r="J82" s="667"/>
      <c r="K82" s="21">
        <f t="shared" si="17"/>
        <v>1</v>
      </c>
      <c r="L82" s="667"/>
      <c r="M82" s="21">
        <f t="shared" si="18"/>
        <v>1</v>
      </c>
      <c r="N82" s="667"/>
      <c r="O82" s="21">
        <f t="shared" si="19"/>
        <v>1</v>
      </c>
      <c r="P82" s="667"/>
      <c r="Q82" s="21">
        <f t="shared" si="20"/>
        <v>1</v>
      </c>
      <c r="R82" s="663">
        <f t="shared" si="22"/>
        <v>0</v>
      </c>
      <c r="S82" s="316">
        <f t="shared" si="24"/>
        <v>0</v>
      </c>
    </row>
    <row r="83" spans="1:19">
      <c r="A83" s="665">
        <f>面积明细表!C62</f>
        <v>0</v>
      </c>
      <c r="B83" s="54"/>
      <c r="C83" s="21">
        <f t="shared" si="13"/>
        <v>1</v>
      </c>
      <c r="D83" s="667"/>
      <c r="E83" s="21">
        <f t="shared" si="14"/>
        <v>1</v>
      </c>
      <c r="F83" s="667"/>
      <c r="G83" s="21">
        <f t="shared" si="15"/>
        <v>1</v>
      </c>
      <c r="H83" s="667"/>
      <c r="I83" s="21">
        <f t="shared" si="16"/>
        <v>1</v>
      </c>
      <c r="J83" s="667"/>
      <c r="K83" s="21">
        <f t="shared" si="17"/>
        <v>1</v>
      </c>
      <c r="L83" s="667"/>
      <c r="M83" s="21">
        <f t="shared" si="18"/>
        <v>1</v>
      </c>
      <c r="N83" s="667"/>
      <c r="O83" s="21">
        <f t="shared" si="19"/>
        <v>1</v>
      </c>
      <c r="P83" s="667"/>
      <c r="Q83" s="21">
        <f t="shared" si="20"/>
        <v>1</v>
      </c>
      <c r="R83" s="663">
        <f t="shared" si="22"/>
        <v>0</v>
      </c>
      <c r="S83" s="316">
        <f t="shared" si="24"/>
        <v>0</v>
      </c>
    </row>
    <row r="84" spans="1:19">
      <c r="A84" s="665">
        <f>面积明细表!C63</f>
        <v>0</v>
      </c>
      <c r="B84" s="54"/>
      <c r="C84" s="21">
        <f t="shared" si="13"/>
        <v>1</v>
      </c>
      <c r="D84" s="667"/>
      <c r="E84" s="21">
        <f t="shared" si="14"/>
        <v>1</v>
      </c>
      <c r="F84" s="667"/>
      <c r="G84" s="21">
        <f t="shared" si="15"/>
        <v>1</v>
      </c>
      <c r="H84" s="667"/>
      <c r="I84" s="21">
        <f t="shared" si="16"/>
        <v>1</v>
      </c>
      <c r="J84" s="667"/>
      <c r="K84" s="21">
        <f t="shared" si="17"/>
        <v>1</v>
      </c>
      <c r="L84" s="667"/>
      <c r="M84" s="21">
        <f t="shared" si="18"/>
        <v>1</v>
      </c>
      <c r="N84" s="667"/>
      <c r="O84" s="21">
        <f t="shared" si="19"/>
        <v>1</v>
      </c>
      <c r="P84" s="667"/>
      <c r="Q84" s="21">
        <f t="shared" si="20"/>
        <v>1</v>
      </c>
      <c r="R84" s="663">
        <f t="shared" si="22"/>
        <v>0</v>
      </c>
      <c r="S84" s="316">
        <f t="shared" si="24"/>
        <v>0</v>
      </c>
    </row>
    <row r="85" spans="1:19">
      <c r="A85" s="665">
        <f>面积明细表!C64</f>
        <v>0</v>
      </c>
      <c r="B85" s="54"/>
      <c r="C85" s="21">
        <f t="shared" si="13"/>
        <v>1</v>
      </c>
      <c r="D85" s="667"/>
      <c r="E85" s="21">
        <f t="shared" si="14"/>
        <v>1</v>
      </c>
      <c r="F85" s="667"/>
      <c r="G85" s="21">
        <f t="shared" si="15"/>
        <v>1</v>
      </c>
      <c r="H85" s="667"/>
      <c r="I85" s="21">
        <f t="shared" si="16"/>
        <v>1</v>
      </c>
      <c r="J85" s="667"/>
      <c r="K85" s="21">
        <f t="shared" si="17"/>
        <v>1</v>
      </c>
      <c r="L85" s="667"/>
      <c r="M85" s="21">
        <f t="shared" si="18"/>
        <v>1</v>
      </c>
      <c r="N85" s="667"/>
      <c r="O85" s="21">
        <f t="shared" si="19"/>
        <v>1</v>
      </c>
      <c r="P85" s="667"/>
      <c r="Q85" s="21">
        <f t="shared" si="20"/>
        <v>1</v>
      </c>
      <c r="R85" s="663">
        <f t="shared" si="22"/>
        <v>0</v>
      </c>
      <c r="S85" s="316">
        <f t="shared" si="24"/>
        <v>0</v>
      </c>
    </row>
    <row r="86" spans="1:19">
      <c r="A86" s="665">
        <f>面积明细表!C65</f>
        <v>0</v>
      </c>
      <c r="B86" s="54"/>
      <c r="C86" s="21">
        <f t="shared" si="13"/>
        <v>1</v>
      </c>
      <c r="D86" s="667"/>
      <c r="E86" s="21">
        <f t="shared" si="14"/>
        <v>1</v>
      </c>
      <c r="F86" s="667"/>
      <c r="G86" s="21">
        <f t="shared" si="15"/>
        <v>1</v>
      </c>
      <c r="H86" s="667"/>
      <c r="I86" s="21">
        <f t="shared" si="16"/>
        <v>1</v>
      </c>
      <c r="J86" s="667"/>
      <c r="K86" s="21">
        <f t="shared" si="17"/>
        <v>1</v>
      </c>
      <c r="L86" s="667"/>
      <c r="M86" s="21">
        <f t="shared" si="18"/>
        <v>1</v>
      </c>
      <c r="N86" s="667"/>
      <c r="O86" s="21">
        <f t="shared" si="19"/>
        <v>1</v>
      </c>
      <c r="P86" s="667"/>
      <c r="Q86" s="21">
        <f t="shared" si="20"/>
        <v>1</v>
      </c>
      <c r="R86" s="663">
        <f t="shared" si="22"/>
        <v>0</v>
      </c>
      <c r="S86" s="316">
        <f t="shared" si="24"/>
        <v>0</v>
      </c>
    </row>
    <row r="87" spans="1:19">
      <c r="A87" s="665">
        <f>面积明细表!C66</f>
        <v>0</v>
      </c>
      <c r="B87" s="54"/>
      <c r="C87" s="21">
        <f t="shared" si="13"/>
        <v>1</v>
      </c>
      <c r="D87" s="667"/>
      <c r="E87" s="21">
        <f t="shared" si="14"/>
        <v>1</v>
      </c>
      <c r="F87" s="667"/>
      <c r="G87" s="21">
        <f t="shared" si="15"/>
        <v>1</v>
      </c>
      <c r="H87" s="667"/>
      <c r="I87" s="21">
        <f t="shared" si="16"/>
        <v>1</v>
      </c>
      <c r="J87" s="667"/>
      <c r="K87" s="21">
        <f t="shared" si="17"/>
        <v>1</v>
      </c>
      <c r="L87" s="667"/>
      <c r="M87" s="21">
        <f t="shared" si="18"/>
        <v>1</v>
      </c>
      <c r="N87" s="667"/>
      <c r="O87" s="21">
        <f t="shared" si="19"/>
        <v>1</v>
      </c>
      <c r="P87" s="667"/>
      <c r="Q87" s="21">
        <f t="shared" si="20"/>
        <v>1</v>
      </c>
      <c r="R87" s="663">
        <f t="shared" si="22"/>
        <v>0</v>
      </c>
      <c r="S87" s="316">
        <f t="shared" si="24"/>
        <v>0</v>
      </c>
    </row>
    <row r="88" spans="1:19">
      <c r="A88" s="665">
        <f>面积明细表!C67</f>
        <v>0</v>
      </c>
      <c r="B88" s="54"/>
      <c r="C88" s="21">
        <f t="shared" si="13"/>
        <v>1</v>
      </c>
      <c r="D88" s="667"/>
      <c r="E88" s="21">
        <f t="shared" si="14"/>
        <v>1</v>
      </c>
      <c r="F88" s="667"/>
      <c r="G88" s="21">
        <f t="shared" si="15"/>
        <v>1</v>
      </c>
      <c r="H88" s="667"/>
      <c r="I88" s="21">
        <f t="shared" si="16"/>
        <v>1</v>
      </c>
      <c r="J88" s="667"/>
      <c r="K88" s="21">
        <f t="shared" si="17"/>
        <v>1</v>
      </c>
      <c r="L88" s="667"/>
      <c r="M88" s="21">
        <f t="shared" si="18"/>
        <v>1</v>
      </c>
      <c r="N88" s="667"/>
      <c r="O88" s="21">
        <f t="shared" si="19"/>
        <v>1</v>
      </c>
      <c r="P88" s="667"/>
      <c r="Q88" s="21">
        <f t="shared" si="20"/>
        <v>1</v>
      </c>
      <c r="R88" s="663">
        <f t="shared" si="22"/>
        <v>0</v>
      </c>
      <c r="S88" s="316">
        <f t="shared" si="24"/>
        <v>0</v>
      </c>
    </row>
    <row r="89" spans="1:19">
      <c r="A89" s="665">
        <f>面积明细表!C68</f>
        <v>0</v>
      </c>
      <c r="B89" s="54"/>
      <c r="C89" s="21">
        <f t="shared" si="13"/>
        <v>1</v>
      </c>
      <c r="D89" s="667"/>
      <c r="E89" s="21">
        <f t="shared" si="14"/>
        <v>1</v>
      </c>
      <c r="F89" s="667"/>
      <c r="G89" s="21">
        <f t="shared" si="15"/>
        <v>1</v>
      </c>
      <c r="H89" s="667"/>
      <c r="I89" s="21">
        <f t="shared" si="16"/>
        <v>1</v>
      </c>
      <c r="J89" s="667"/>
      <c r="K89" s="21">
        <f t="shared" si="17"/>
        <v>1</v>
      </c>
      <c r="L89" s="667"/>
      <c r="M89" s="21">
        <f t="shared" si="18"/>
        <v>1</v>
      </c>
      <c r="N89" s="667"/>
      <c r="O89" s="21">
        <f t="shared" si="19"/>
        <v>1</v>
      </c>
      <c r="P89" s="667"/>
      <c r="Q89" s="21">
        <f t="shared" si="20"/>
        <v>1</v>
      </c>
      <c r="R89" s="663">
        <f t="shared" si="22"/>
        <v>0</v>
      </c>
      <c r="S89" s="316">
        <f t="shared" si="24"/>
        <v>0</v>
      </c>
    </row>
    <row r="90" spans="1:19">
      <c r="A90" s="665">
        <f>面积明细表!C69</f>
        <v>0</v>
      </c>
      <c r="B90" s="54"/>
      <c r="C90" s="21">
        <f t="shared" ref="C90:C153" si="25">IF(B90="",1,(LOOKUP(B90,$3:$3,$4:$4)-LOOKUP($B$24,$3:$3,$4:$4)+100)/100)</f>
        <v>1</v>
      </c>
      <c r="D90" s="667"/>
      <c r="E90" s="21">
        <f t="shared" ref="E90:E153" si="26">(SUMIF($5:$5,D90,$6:$6)-SUMIF($5:$5,$D$24,$6:$6)+100)/100</f>
        <v>1</v>
      </c>
      <c r="F90" s="667"/>
      <c r="G90" s="21">
        <f t="shared" ref="G90:G153" si="27">(SUMIF($7:$7,F90,$8:$8)-SUMIF($7:$7,$F$24,$8:$8)+100)/100</f>
        <v>1</v>
      </c>
      <c r="H90" s="667"/>
      <c r="I90" s="21">
        <f t="shared" ref="I90:I153" si="28">(SUMIF($9:$9,H90,$10:$10)-SUMIF($9:$9,$H$24,$10:$10)+100)/100</f>
        <v>1</v>
      </c>
      <c r="J90" s="667"/>
      <c r="K90" s="21">
        <f t="shared" ref="K90:K153" si="29">(SUMIF($11:$11,J90,$12:$12)-SUMIF($11:$11,$J$24,$12:$12)+100)/100</f>
        <v>1</v>
      </c>
      <c r="L90" s="667"/>
      <c r="M90" s="21">
        <f t="shared" ref="M90:M153" si="30">(SUMIF($13:$13,L90,$14:$14)-SUMIF($13:$13,$L$24,$14:$14)+100)/100</f>
        <v>1</v>
      </c>
      <c r="N90" s="667"/>
      <c r="O90" s="21">
        <f t="shared" ref="O90:O153" si="31">(SUMIF($15:$15,N90,$16:$16)-SUMIF($15:$15,$N$24,$16:$16)+100)/100</f>
        <v>1</v>
      </c>
      <c r="P90" s="667"/>
      <c r="Q90" s="21">
        <f t="shared" ref="Q90:Q153" si="32">(SUMIF($17:$17,P90,$18:$18)-SUMIF($17:$17,$P$24,$18:$18)+100)/100</f>
        <v>1</v>
      </c>
      <c r="R90" s="663">
        <f t="shared" ref="R90:R153" si="33">IF(B90="",0,ROUND($R$24*C90*E90*G90*I90*K90*M90*O90*Q90,0))</f>
        <v>0</v>
      </c>
      <c r="S90" s="316">
        <f t="shared" si="24"/>
        <v>0</v>
      </c>
    </row>
    <row r="91" spans="1:19">
      <c r="A91" s="665">
        <f>面积明细表!C70</f>
        <v>0</v>
      </c>
      <c r="B91" s="54"/>
      <c r="C91" s="21">
        <f t="shared" si="25"/>
        <v>1</v>
      </c>
      <c r="D91" s="667"/>
      <c r="E91" s="21">
        <f t="shared" si="26"/>
        <v>1</v>
      </c>
      <c r="F91" s="667"/>
      <c r="G91" s="21">
        <f t="shared" si="27"/>
        <v>1</v>
      </c>
      <c r="H91" s="667"/>
      <c r="I91" s="21">
        <f t="shared" si="28"/>
        <v>1</v>
      </c>
      <c r="J91" s="667"/>
      <c r="K91" s="21">
        <f t="shared" si="29"/>
        <v>1</v>
      </c>
      <c r="L91" s="667"/>
      <c r="M91" s="21">
        <f t="shared" si="30"/>
        <v>1</v>
      </c>
      <c r="N91" s="667"/>
      <c r="O91" s="21">
        <f t="shared" si="31"/>
        <v>1</v>
      </c>
      <c r="P91" s="667"/>
      <c r="Q91" s="21">
        <f t="shared" si="32"/>
        <v>1</v>
      </c>
      <c r="R91" s="663">
        <f t="shared" si="33"/>
        <v>0</v>
      </c>
      <c r="S91" s="316">
        <f t="shared" si="24"/>
        <v>0</v>
      </c>
    </row>
    <row r="92" spans="1:19">
      <c r="A92" s="665">
        <f>面积明细表!C71</f>
        <v>0</v>
      </c>
      <c r="B92" s="54"/>
      <c r="C92" s="21">
        <f t="shared" si="25"/>
        <v>1</v>
      </c>
      <c r="D92" s="667"/>
      <c r="E92" s="21">
        <f t="shared" si="26"/>
        <v>1</v>
      </c>
      <c r="F92" s="667"/>
      <c r="G92" s="21">
        <f t="shared" si="27"/>
        <v>1</v>
      </c>
      <c r="H92" s="667"/>
      <c r="I92" s="21">
        <f t="shared" si="28"/>
        <v>1</v>
      </c>
      <c r="J92" s="667"/>
      <c r="K92" s="21">
        <f t="shared" si="29"/>
        <v>1</v>
      </c>
      <c r="L92" s="667"/>
      <c r="M92" s="21">
        <f t="shared" si="30"/>
        <v>1</v>
      </c>
      <c r="N92" s="667"/>
      <c r="O92" s="21">
        <f t="shared" si="31"/>
        <v>1</v>
      </c>
      <c r="P92" s="667"/>
      <c r="Q92" s="21">
        <f t="shared" si="32"/>
        <v>1</v>
      </c>
      <c r="R92" s="663">
        <f t="shared" si="33"/>
        <v>0</v>
      </c>
      <c r="S92" s="316">
        <f t="shared" si="24"/>
        <v>0</v>
      </c>
    </row>
    <row r="93" spans="1:19">
      <c r="A93" s="665">
        <f>面积明细表!C72</f>
        <v>0</v>
      </c>
      <c r="B93" s="54"/>
      <c r="C93" s="21">
        <f t="shared" si="25"/>
        <v>1</v>
      </c>
      <c r="D93" s="667"/>
      <c r="E93" s="21">
        <f t="shared" si="26"/>
        <v>1</v>
      </c>
      <c r="F93" s="667"/>
      <c r="G93" s="21">
        <f t="shared" si="27"/>
        <v>1</v>
      </c>
      <c r="H93" s="667"/>
      <c r="I93" s="21">
        <f t="shared" si="28"/>
        <v>1</v>
      </c>
      <c r="J93" s="667"/>
      <c r="K93" s="21">
        <f t="shared" si="29"/>
        <v>1</v>
      </c>
      <c r="L93" s="667"/>
      <c r="M93" s="21">
        <f t="shared" si="30"/>
        <v>1</v>
      </c>
      <c r="N93" s="667"/>
      <c r="O93" s="21">
        <f t="shared" si="31"/>
        <v>1</v>
      </c>
      <c r="P93" s="667"/>
      <c r="Q93" s="21">
        <f t="shared" si="32"/>
        <v>1</v>
      </c>
      <c r="R93" s="663">
        <f t="shared" si="33"/>
        <v>0</v>
      </c>
      <c r="S93" s="316">
        <f t="shared" si="24"/>
        <v>0</v>
      </c>
    </row>
    <row r="94" spans="1:19">
      <c r="A94" s="665">
        <f>面积明细表!C73</f>
        <v>0</v>
      </c>
      <c r="B94" s="54"/>
      <c r="C94" s="21">
        <f t="shared" si="25"/>
        <v>1</v>
      </c>
      <c r="D94" s="667"/>
      <c r="E94" s="21">
        <f t="shared" si="26"/>
        <v>1</v>
      </c>
      <c r="F94" s="667"/>
      <c r="G94" s="21">
        <f t="shared" si="27"/>
        <v>1</v>
      </c>
      <c r="H94" s="667"/>
      <c r="I94" s="21">
        <f t="shared" si="28"/>
        <v>1</v>
      </c>
      <c r="J94" s="667"/>
      <c r="K94" s="21">
        <f t="shared" si="29"/>
        <v>1</v>
      </c>
      <c r="L94" s="667"/>
      <c r="M94" s="21">
        <f t="shared" si="30"/>
        <v>1</v>
      </c>
      <c r="N94" s="667"/>
      <c r="O94" s="21">
        <f t="shared" si="31"/>
        <v>1</v>
      </c>
      <c r="P94" s="667"/>
      <c r="Q94" s="21">
        <f t="shared" si="32"/>
        <v>1</v>
      </c>
      <c r="R94" s="663">
        <f t="shared" si="33"/>
        <v>0</v>
      </c>
      <c r="S94" s="316">
        <f t="shared" si="24"/>
        <v>0</v>
      </c>
    </row>
    <row r="95" spans="1:19">
      <c r="A95" s="665">
        <f>面积明细表!C74</f>
        <v>0</v>
      </c>
      <c r="B95" s="54"/>
      <c r="C95" s="21">
        <f t="shared" si="25"/>
        <v>1</v>
      </c>
      <c r="D95" s="667"/>
      <c r="E95" s="21">
        <f t="shared" si="26"/>
        <v>1</v>
      </c>
      <c r="F95" s="667"/>
      <c r="G95" s="21">
        <f t="shared" si="27"/>
        <v>1</v>
      </c>
      <c r="H95" s="667"/>
      <c r="I95" s="21">
        <f t="shared" si="28"/>
        <v>1</v>
      </c>
      <c r="J95" s="667"/>
      <c r="K95" s="21">
        <f t="shared" si="29"/>
        <v>1</v>
      </c>
      <c r="L95" s="667"/>
      <c r="M95" s="21">
        <f t="shared" si="30"/>
        <v>1</v>
      </c>
      <c r="N95" s="667"/>
      <c r="O95" s="21">
        <f t="shared" si="31"/>
        <v>1</v>
      </c>
      <c r="P95" s="667"/>
      <c r="Q95" s="21">
        <f t="shared" si="32"/>
        <v>1</v>
      </c>
      <c r="R95" s="663">
        <f t="shared" si="33"/>
        <v>0</v>
      </c>
      <c r="S95" s="316">
        <f t="shared" si="24"/>
        <v>0</v>
      </c>
    </row>
    <row r="96" spans="1:19">
      <c r="A96" s="665">
        <f>面积明细表!C75</f>
        <v>0</v>
      </c>
      <c r="B96" s="54"/>
      <c r="C96" s="21">
        <f t="shared" si="25"/>
        <v>1</v>
      </c>
      <c r="D96" s="667"/>
      <c r="E96" s="21">
        <f t="shared" si="26"/>
        <v>1</v>
      </c>
      <c r="F96" s="667"/>
      <c r="G96" s="21">
        <f t="shared" si="27"/>
        <v>1</v>
      </c>
      <c r="H96" s="667"/>
      <c r="I96" s="21">
        <f t="shared" si="28"/>
        <v>1</v>
      </c>
      <c r="J96" s="667"/>
      <c r="K96" s="21">
        <f t="shared" si="29"/>
        <v>1</v>
      </c>
      <c r="L96" s="667"/>
      <c r="M96" s="21">
        <f t="shared" si="30"/>
        <v>1</v>
      </c>
      <c r="N96" s="667"/>
      <c r="O96" s="21">
        <f t="shared" si="31"/>
        <v>1</v>
      </c>
      <c r="P96" s="667"/>
      <c r="Q96" s="21">
        <f t="shared" si="32"/>
        <v>1</v>
      </c>
      <c r="R96" s="663">
        <f t="shared" si="33"/>
        <v>0</v>
      </c>
      <c r="S96" s="316">
        <f t="shared" si="24"/>
        <v>0</v>
      </c>
    </row>
    <row r="97" spans="1:19">
      <c r="A97" s="665">
        <f>面积明细表!C76</f>
        <v>0</v>
      </c>
      <c r="B97" s="54"/>
      <c r="C97" s="21">
        <f t="shared" si="25"/>
        <v>1</v>
      </c>
      <c r="D97" s="667"/>
      <c r="E97" s="21">
        <f t="shared" si="26"/>
        <v>1</v>
      </c>
      <c r="F97" s="667"/>
      <c r="G97" s="21">
        <f t="shared" si="27"/>
        <v>1</v>
      </c>
      <c r="H97" s="667"/>
      <c r="I97" s="21">
        <f t="shared" si="28"/>
        <v>1</v>
      </c>
      <c r="J97" s="667"/>
      <c r="K97" s="21">
        <f t="shared" si="29"/>
        <v>1</v>
      </c>
      <c r="L97" s="667"/>
      <c r="M97" s="21">
        <f t="shared" si="30"/>
        <v>1</v>
      </c>
      <c r="N97" s="667"/>
      <c r="O97" s="21">
        <f t="shared" si="31"/>
        <v>1</v>
      </c>
      <c r="P97" s="667"/>
      <c r="Q97" s="21">
        <f t="shared" si="32"/>
        <v>1</v>
      </c>
      <c r="R97" s="663">
        <f t="shared" si="33"/>
        <v>0</v>
      </c>
      <c r="S97" s="316">
        <f t="shared" si="24"/>
        <v>0</v>
      </c>
    </row>
    <row r="98" spans="1:19">
      <c r="A98" s="665">
        <f>面积明细表!C77</f>
        <v>0</v>
      </c>
      <c r="B98" s="54"/>
      <c r="C98" s="21">
        <f t="shared" si="25"/>
        <v>1</v>
      </c>
      <c r="D98" s="667"/>
      <c r="E98" s="21">
        <f t="shared" si="26"/>
        <v>1</v>
      </c>
      <c r="F98" s="667"/>
      <c r="G98" s="21">
        <f t="shared" si="27"/>
        <v>1</v>
      </c>
      <c r="H98" s="667"/>
      <c r="I98" s="21">
        <f t="shared" si="28"/>
        <v>1</v>
      </c>
      <c r="J98" s="667"/>
      <c r="K98" s="21">
        <f t="shared" si="29"/>
        <v>1</v>
      </c>
      <c r="L98" s="667"/>
      <c r="M98" s="21">
        <f t="shared" si="30"/>
        <v>1</v>
      </c>
      <c r="N98" s="667"/>
      <c r="O98" s="21">
        <f t="shared" si="31"/>
        <v>1</v>
      </c>
      <c r="P98" s="667"/>
      <c r="Q98" s="21">
        <f t="shared" si="32"/>
        <v>1</v>
      </c>
      <c r="R98" s="663">
        <f t="shared" si="33"/>
        <v>0</v>
      </c>
      <c r="S98" s="316">
        <f t="shared" si="24"/>
        <v>0</v>
      </c>
    </row>
    <row r="99" spans="1:19">
      <c r="A99" s="665">
        <f>面积明细表!C78</f>
        <v>0</v>
      </c>
      <c r="B99" s="54"/>
      <c r="C99" s="21">
        <f t="shared" si="25"/>
        <v>1</v>
      </c>
      <c r="D99" s="667"/>
      <c r="E99" s="21">
        <f t="shared" si="26"/>
        <v>1</v>
      </c>
      <c r="F99" s="667"/>
      <c r="G99" s="21">
        <f t="shared" si="27"/>
        <v>1</v>
      </c>
      <c r="H99" s="667"/>
      <c r="I99" s="21">
        <f t="shared" si="28"/>
        <v>1</v>
      </c>
      <c r="J99" s="667"/>
      <c r="K99" s="21">
        <f t="shared" si="29"/>
        <v>1</v>
      </c>
      <c r="L99" s="667"/>
      <c r="M99" s="21">
        <f t="shared" si="30"/>
        <v>1</v>
      </c>
      <c r="N99" s="667"/>
      <c r="O99" s="21">
        <f t="shared" si="31"/>
        <v>1</v>
      </c>
      <c r="P99" s="667"/>
      <c r="Q99" s="21">
        <f t="shared" si="32"/>
        <v>1</v>
      </c>
      <c r="R99" s="663">
        <f t="shared" si="33"/>
        <v>0</v>
      </c>
      <c r="S99" s="316">
        <f t="shared" si="24"/>
        <v>0</v>
      </c>
    </row>
    <row r="100" spans="1:19">
      <c r="A100" s="665">
        <f>面积明细表!C79</f>
        <v>0</v>
      </c>
      <c r="B100" s="54"/>
      <c r="C100" s="21">
        <f t="shared" si="25"/>
        <v>1</v>
      </c>
      <c r="D100" s="667"/>
      <c r="E100" s="21">
        <f t="shared" si="26"/>
        <v>1</v>
      </c>
      <c r="F100" s="667"/>
      <c r="G100" s="21">
        <f t="shared" si="27"/>
        <v>1</v>
      </c>
      <c r="H100" s="667"/>
      <c r="I100" s="21">
        <f t="shared" si="28"/>
        <v>1</v>
      </c>
      <c r="J100" s="667"/>
      <c r="K100" s="21">
        <f t="shared" si="29"/>
        <v>1</v>
      </c>
      <c r="L100" s="667"/>
      <c r="M100" s="21">
        <f t="shared" si="30"/>
        <v>1</v>
      </c>
      <c r="N100" s="667"/>
      <c r="O100" s="21">
        <f t="shared" si="31"/>
        <v>1</v>
      </c>
      <c r="P100" s="667"/>
      <c r="Q100" s="21">
        <f t="shared" si="32"/>
        <v>1</v>
      </c>
      <c r="R100" s="663">
        <f t="shared" si="33"/>
        <v>0</v>
      </c>
      <c r="S100" s="316">
        <f t="shared" si="24"/>
        <v>0</v>
      </c>
    </row>
    <row r="101" spans="1:19">
      <c r="A101" s="665">
        <f>面积明细表!C80</f>
        <v>0</v>
      </c>
      <c r="B101" s="54"/>
      <c r="C101" s="21">
        <f t="shared" si="25"/>
        <v>1</v>
      </c>
      <c r="D101" s="667"/>
      <c r="E101" s="21">
        <f t="shared" si="26"/>
        <v>1</v>
      </c>
      <c r="F101" s="667"/>
      <c r="G101" s="21">
        <f t="shared" si="27"/>
        <v>1</v>
      </c>
      <c r="H101" s="667"/>
      <c r="I101" s="21">
        <f t="shared" si="28"/>
        <v>1</v>
      </c>
      <c r="J101" s="667"/>
      <c r="K101" s="21">
        <f t="shared" si="29"/>
        <v>1</v>
      </c>
      <c r="L101" s="667"/>
      <c r="M101" s="21">
        <f t="shared" si="30"/>
        <v>1</v>
      </c>
      <c r="N101" s="667"/>
      <c r="O101" s="21">
        <f t="shared" si="31"/>
        <v>1</v>
      </c>
      <c r="P101" s="667"/>
      <c r="Q101" s="21">
        <f t="shared" si="32"/>
        <v>1</v>
      </c>
      <c r="R101" s="663">
        <f t="shared" si="33"/>
        <v>0</v>
      </c>
      <c r="S101" s="316">
        <f t="shared" si="24"/>
        <v>0</v>
      </c>
    </row>
    <row r="102" spans="1:19">
      <c r="A102" s="665">
        <f>面积明细表!C81</f>
        <v>0</v>
      </c>
      <c r="B102" s="54"/>
      <c r="C102" s="21">
        <f t="shared" si="25"/>
        <v>1</v>
      </c>
      <c r="D102" s="667"/>
      <c r="E102" s="21">
        <f t="shared" si="26"/>
        <v>1</v>
      </c>
      <c r="F102" s="667"/>
      <c r="G102" s="21">
        <f t="shared" si="27"/>
        <v>1</v>
      </c>
      <c r="H102" s="667"/>
      <c r="I102" s="21">
        <f t="shared" si="28"/>
        <v>1</v>
      </c>
      <c r="J102" s="667"/>
      <c r="K102" s="21">
        <f t="shared" si="29"/>
        <v>1</v>
      </c>
      <c r="L102" s="667"/>
      <c r="M102" s="21">
        <f t="shared" si="30"/>
        <v>1</v>
      </c>
      <c r="N102" s="667"/>
      <c r="O102" s="21">
        <f t="shared" si="31"/>
        <v>1</v>
      </c>
      <c r="P102" s="667"/>
      <c r="Q102" s="21">
        <f t="shared" si="32"/>
        <v>1</v>
      </c>
      <c r="R102" s="663">
        <f t="shared" si="33"/>
        <v>0</v>
      </c>
      <c r="S102" s="316">
        <f t="shared" si="24"/>
        <v>0</v>
      </c>
    </row>
    <row r="103" spans="1:19">
      <c r="A103" s="665">
        <f>面积明细表!C82</f>
        <v>0</v>
      </c>
      <c r="B103" s="54"/>
      <c r="C103" s="21">
        <f t="shared" si="25"/>
        <v>1</v>
      </c>
      <c r="D103" s="667"/>
      <c r="E103" s="21">
        <f t="shared" si="26"/>
        <v>1</v>
      </c>
      <c r="F103" s="667"/>
      <c r="G103" s="21">
        <f t="shared" si="27"/>
        <v>1</v>
      </c>
      <c r="H103" s="667"/>
      <c r="I103" s="21">
        <f t="shared" si="28"/>
        <v>1</v>
      </c>
      <c r="J103" s="667"/>
      <c r="K103" s="21">
        <f t="shared" si="29"/>
        <v>1</v>
      </c>
      <c r="L103" s="667"/>
      <c r="M103" s="21">
        <f t="shared" si="30"/>
        <v>1</v>
      </c>
      <c r="N103" s="667"/>
      <c r="O103" s="21">
        <f t="shared" si="31"/>
        <v>1</v>
      </c>
      <c r="P103" s="667"/>
      <c r="Q103" s="21">
        <f t="shared" si="32"/>
        <v>1</v>
      </c>
      <c r="R103" s="663">
        <f t="shared" si="33"/>
        <v>0</v>
      </c>
      <c r="S103" s="316">
        <f t="shared" si="24"/>
        <v>0</v>
      </c>
    </row>
    <row r="104" spans="1:19">
      <c r="A104" s="665">
        <f>面积明细表!C83</f>
        <v>0</v>
      </c>
      <c r="B104" s="54"/>
      <c r="C104" s="21">
        <f t="shared" si="25"/>
        <v>1</v>
      </c>
      <c r="D104" s="667"/>
      <c r="E104" s="21">
        <f t="shared" si="26"/>
        <v>1</v>
      </c>
      <c r="F104" s="667"/>
      <c r="G104" s="21">
        <f t="shared" si="27"/>
        <v>1</v>
      </c>
      <c r="H104" s="667"/>
      <c r="I104" s="21">
        <f t="shared" si="28"/>
        <v>1</v>
      </c>
      <c r="J104" s="667"/>
      <c r="K104" s="21">
        <f t="shared" si="29"/>
        <v>1</v>
      </c>
      <c r="L104" s="667"/>
      <c r="M104" s="21">
        <f t="shared" si="30"/>
        <v>1</v>
      </c>
      <c r="N104" s="667"/>
      <c r="O104" s="21">
        <f t="shared" si="31"/>
        <v>1</v>
      </c>
      <c r="P104" s="667"/>
      <c r="Q104" s="21">
        <f t="shared" si="32"/>
        <v>1</v>
      </c>
      <c r="R104" s="663">
        <f t="shared" si="33"/>
        <v>0</v>
      </c>
      <c r="S104" s="316">
        <f t="shared" si="24"/>
        <v>0</v>
      </c>
    </row>
    <row r="105" spans="1:19">
      <c r="A105" s="665">
        <f>面积明细表!C84</f>
        <v>0</v>
      </c>
      <c r="B105" s="54"/>
      <c r="C105" s="21">
        <f t="shared" si="25"/>
        <v>1</v>
      </c>
      <c r="D105" s="667"/>
      <c r="E105" s="21">
        <f t="shared" si="26"/>
        <v>1</v>
      </c>
      <c r="F105" s="667"/>
      <c r="G105" s="21">
        <f t="shared" si="27"/>
        <v>1</v>
      </c>
      <c r="H105" s="667"/>
      <c r="I105" s="21">
        <f t="shared" si="28"/>
        <v>1</v>
      </c>
      <c r="J105" s="667"/>
      <c r="K105" s="21">
        <f t="shared" si="29"/>
        <v>1</v>
      </c>
      <c r="L105" s="667"/>
      <c r="M105" s="21">
        <f t="shared" si="30"/>
        <v>1</v>
      </c>
      <c r="N105" s="667"/>
      <c r="O105" s="21">
        <f t="shared" si="31"/>
        <v>1</v>
      </c>
      <c r="P105" s="667"/>
      <c r="Q105" s="21">
        <f t="shared" si="32"/>
        <v>1</v>
      </c>
      <c r="R105" s="663">
        <f t="shared" si="33"/>
        <v>0</v>
      </c>
      <c r="S105" s="316">
        <f t="shared" si="24"/>
        <v>0</v>
      </c>
    </row>
    <row r="106" spans="1:19">
      <c r="A106" s="665">
        <f>面积明细表!C85</f>
        <v>0</v>
      </c>
      <c r="B106" s="54"/>
      <c r="C106" s="21">
        <f t="shared" si="25"/>
        <v>1</v>
      </c>
      <c r="D106" s="667"/>
      <c r="E106" s="21">
        <f t="shared" si="26"/>
        <v>1</v>
      </c>
      <c r="F106" s="667"/>
      <c r="G106" s="21">
        <f t="shared" si="27"/>
        <v>1</v>
      </c>
      <c r="H106" s="667"/>
      <c r="I106" s="21">
        <f t="shared" si="28"/>
        <v>1</v>
      </c>
      <c r="J106" s="667"/>
      <c r="K106" s="21">
        <f t="shared" si="29"/>
        <v>1</v>
      </c>
      <c r="L106" s="667"/>
      <c r="M106" s="21">
        <f t="shared" si="30"/>
        <v>1</v>
      </c>
      <c r="N106" s="667"/>
      <c r="O106" s="21">
        <f t="shared" si="31"/>
        <v>1</v>
      </c>
      <c r="P106" s="667"/>
      <c r="Q106" s="21">
        <f t="shared" si="32"/>
        <v>1</v>
      </c>
      <c r="R106" s="663">
        <f t="shared" si="33"/>
        <v>0</v>
      </c>
      <c r="S106" s="316">
        <f t="shared" si="24"/>
        <v>0</v>
      </c>
    </row>
    <row r="107" spans="1:19">
      <c r="A107" s="665">
        <f>面积明细表!C86</f>
        <v>0</v>
      </c>
      <c r="B107" s="54"/>
      <c r="C107" s="21">
        <f t="shared" si="25"/>
        <v>1</v>
      </c>
      <c r="D107" s="667"/>
      <c r="E107" s="21">
        <f t="shared" si="26"/>
        <v>1</v>
      </c>
      <c r="F107" s="667"/>
      <c r="G107" s="21">
        <f t="shared" si="27"/>
        <v>1</v>
      </c>
      <c r="H107" s="667"/>
      <c r="I107" s="21">
        <f t="shared" si="28"/>
        <v>1</v>
      </c>
      <c r="J107" s="667"/>
      <c r="K107" s="21">
        <f t="shared" si="29"/>
        <v>1</v>
      </c>
      <c r="L107" s="667"/>
      <c r="M107" s="21">
        <f t="shared" si="30"/>
        <v>1</v>
      </c>
      <c r="N107" s="667"/>
      <c r="O107" s="21">
        <f t="shared" si="31"/>
        <v>1</v>
      </c>
      <c r="P107" s="667"/>
      <c r="Q107" s="21">
        <f t="shared" si="32"/>
        <v>1</v>
      </c>
      <c r="R107" s="663">
        <f t="shared" si="33"/>
        <v>0</v>
      </c>
      <c r="S107" s="316">
        <f t="shared" si="24"/>
        <v>0</v>
      </c>
    </row>
    <row r="108" spans="1:19">
      <c r="A108" s="665">
        <f>面积明细表!C87</f>
        <v>0</v>
      </c>
      <c r="B108" s="54"/>
      <c r="C108" s="21">
        <f t="shared" si="25"/>
        <v>1</v>
      </c>
      <c r="D108" s="667"/>
      <c r="E108" s="21">
        <f t="shared" si="26"/>
        <v>1</v>
      </c>
      <c r="F108" s="667"/>
      <c r="G108" s="21">
        <f t="shared" si="27"/>
        <v>1</v>
      </c>
      <c r="H108" s="667"/>
      <c r="I108" s="21">
        <f t="shared" si="28"/>
        <v>1</v>
      </c>
      <c r="J108" s="667"/>
      <c r="K108" s="21">
        <f t="shared" si="29"/>
        <v>1</v>
      </c>
      <c r="L108" s="667"/>
      <c r="M108" s="21">
        <f t="shared" si="30"/>
        <v>1</v>
      </c>
      <c r="N108" s="667"/>
      <c r="O108" s="21">
        <f t="shared" si="31"/>
        <v>1</v>
      </c>
      <c r="P108" s="667"/>
      <c r="Q108" s="21">
        <f t="shared" si="32"/>
        <v>1</v>
      </c>
      <c r="R108" s="663">
        <f t="shared" si="33"/>
        <v>0</v>
      </c>
      <c r="S108" s="316">
        <f t="shared" si="24"/>
        <v>0</v>
      </c>
    </row>
    <row r="109" spans="1:19">
      <c r="A109" s="665">
        <f>面积明细表!C88</f>
        <v>0</v>
      </c>
      <c r="B109" s="54"/>
      <c r="C109" s="21">
        <f t="shared" si="25"/>
        <v>1</v>
      </c>
      <c r="D109" s="667"/>
      <c r="E109" s="21">
        <f t="shared" si="26"/>
        <v>1</v>
      </c>
      <c r="F109" s="667"/>
      <c r="G109" s="21">
        <f t="shared" si="27"/>
        <v>1</v>
      </c>
      <c r="H109" s="667"/>
      <c r="I109" s="21">
        <f t="shared" si="28"/>
        <v>1</v>
      </c>
      <c r="J109" s="667"/>
      <c r="K109" s="21">
        <f t="shared" si="29"/>
        <v>1</v>
      </c>
      <c r="L109" s="667"/>
      <c r="M109" s="21">
        <f t="shared" si="30"/>
        <v>1</v>
      </c>
      <c r="N109" s="667"/>
      <c r="O109" s="21">
        <f t="shared" si="31"/>
        <v>1</v>
      </c>
      <c r="P109" s="667"/>
      <c r="Q109" s="21">
        <f t="shared" si="32"/>
        <v>1</v>
      </c>
      <c r="R109" s="663">
        <f t="shared" si="33"/>
        <v>0</v>
      </c>
      <c r="S109" s="316">
        <f t="shared" si="24"/>
        <v>0</v>
      </c>
    </row>
    <row r="110" spans="1:19">
      <c r="A110" s="665">
        <f>面积明细表!C89</f>
        <v>0</v>
      </c>
      <c r="B110" s="54"/>
      <c r="C110" s="21">
        <f t="shared" si="25"/>
        <v>1</v>
      </c>
      <c r="D110" s="667"/>
      <c r="E110" s="21">
        <f t="shared" si="26"/>
        <v>1</v>
      </c>
      <c r="F110" s="667"/>
      <c r="G110" s="21">
        <f t="shared" si="27"/>
        <v>1</v>
      </c>
      <c r="H110" s="667"/>
      <c r="I110" s="21">
        <f t="shared" si="28"/>
        <v>1</v>
      </c>
      <c r="J110" s="667"/>
      <c r="K110" s="21">
        <f t="shared" si="29"/>
        <v>1</v>
      </c>
      <c r="L110" s="667"/>
      <c r="M110" s="21">
        <f t="shared" si="30"/>
        <v>1</v>
      </c>
      <c r="N110" s="667"/>
      <c r="O110" s="21">
        <f t="shared" si="31"/>
        <v>1</v>
      </c>
      <c r="P110" s="667"/>
      <c r="Q110" s="21">
        <f t="shared" si="32"/>
        <v>1</v>
      </c>
      <c r="R110" s="663">
        <f t="shared" si="33"/>
        <v>0</v>
      </c>
      <c r="S110" s="316">
        <f t="shared" si="24"/>
        <v>0</v>
      </c>
    </row>
    <row r="111" spans="1:19">
      <c r="A111" s="665">
        <f>面积明细表!C90</f>
        <v>0</v>
      </c>
      <c r="B111" s="54"/>
      <c r="C111" s="21">
        <f t="shared" si="25"/>
        <v>1</v>
      </c>
      <c r="D111" s="667"/>
      <c r="E111" s="21">
        <f t="shared" si="26"/>
        <v>1</v>
      </c>
      <c r="F111" s="667"/>
      <c r="G111" s="21">
        <f t="shared" si="27"/>
        <v>1</v>
      </c>
      <c r="H111" s="667"/>
      <c r="I111" s="21">
        <f t="shared" si="28"/>
        <v>1</v>
      </c>
      <c r="J111" s="667"/>
      <c r="K111" s="21">
        <f t="shared" si="29"/>
        <v>1</v>
      </c>
      <c r="L111" s="667"/>
      <c r="M111" s="21">
        <f t="shared" si="30"/>
        <v>1</v>
      </c>
      <c r="N111" s="667"/>
      <c r="O111" s="21">
        <f t="shared" si="31"/>
        <v>1</v>
      </c>
      <c r="P111" s="667"/>
      <c r="Q111" s="21">
        <f t="shared" si="32"/>
        <v>1</v>
      </c>
      <c r="R111" s="663">
        <f t="shared" si="33"/>
        <v>0</v>
      </c>
      <c r="S111" s="316">
        <f t="shared" si="24"/>
        <v>0</v>
      </c>
    </row>
    <row r="112" spans="1:19">
      <c r="A112" s="665">
        <f>面积明细表!C91</f>
        <v>0</v>
      </c>
      <c r="B112" s="54"/>
      <c r="C112" s="21">
        <f t="shared" si="25"/>
        <v>1</v>
      </c>
      <c r="D112" s="667"/>
      <c r="E112" s="21">
        <f t="shared" si="26"/>
        <v>1</v>
      </c>
      <c r="F112" s="667"/>
      <c r="G112" s="21">
        <f t="shared" si="27"/>
        <v>1</v>
      </c>
      <c r="H112" s="667"/>
      <c r="I112" s="21">
        <f t="shared" si="28"/>
        <v>1</v>
      </c>
      <c r="J112" s="667"/>
      <c r="K112" s="21">
        <f t="shared" si="29"/>
        <v>1</v>
      </c>
      <c r="L112" s="667"/>
      <c r="M112" s="21">
        <f t="shared" si="30"/>
        <v>1</v>
      </c>
      <c r="N112" s="667"/>
      <c r="O112" s="21">
        <f t="shared" si="31"/>
        <v>1</v>
      </c>
      <c r="P112" s="667"/>
      <c r="Q112" s="21">
        <f t="shared" si="32"/>
        <v>1</v>
      </c>
      <c r="R112" s="663">
        <f t="shared" si="33"/>
        <v>0</v>
      </c>
      <c r="S112" s="316">
        <f t="shared" si="24"/>
        <v>0</v>
      </c>
    </row>
    <row r="113" spans="1:19">
      <c r="A113" s="665">
        <f>面积明细表!C92</f>
        <v>0</v>
      </c>
      <c r="B113" s="54"/>
      <c r="C113" s="21">
        <f t="shared" si="25"/>
        <v>1</v>
      </c>
      <c r="D113" s="667"/>
      <c r="E113" s="21">
        <f t="shared" si="26"/>
        <v>1</v>
      </c>
      <c r="F113" s="667"/>
      <c r="G113" s="21">
        <f t="shared" si="27"/>
        <v>1</v>
      </c>
      <c r="H113" s="667"/>
      <c r="I113" s="21">
        <f t="shared" si="28"/>
        <v>1</v>
      </c>
      <c r="J113" s="667"/>
      <c r="K113" s="21">
        <f t="shared" si="29"/>
        <v>1</v>
      </c>
      <c r="L113" s="667"/>
      <c r="M113" s="21">
        <f t="shared" si="30"/>
        <v>1</v>
      </c>
      <c r="N113" s="667"/>
      <c r="O113" s="21">
        <f t="shared" si="31"/>
        <v>1</v>
      </c>
      <c r="P113" s="667"/>
      <c r="Q113" s="21">
        <f t="shared" si="32"/>
        <v>1</v>
      </c>
      <c r="R113" s="663">
        <f t="shared" si="33"/>
        <v>0</v>
      </c>
      <c r="S113" s="316">
        <f t="shared" si="24"/>
        <v>0</v>
      </c>
    </row>
    <row r="114" spans="1:19">
      <c r="A114" s="665">
        <f>面积明细表!C93</f>
        <v>0</v>
      </c>
      <c r="B114" s="54"/>
      <c r="C114" s="21">
        <f t="shared" si="25"/>
        <v>1</v>
      </c>
      <c r="D114" s="667"/>
      <c r="E114" s="21">
        <f t="shared" si="26"/>
        <v>1</v>
      </c>
      <c r="F114" s="667"/>
      <c r="G114" s="21">
        <f t="shared" si="27"/>
        <v>1</v>
      </c>
      <c r="H114" s="667"/>
      <c r="I114" s="21">
        <f t="shared" si="28"/>
        <v>1</v>
      </c>
      <c r="J114" s="667"/>
      <c r="K114" s="21">
        <f t="shared" si="29"/>
        <v>1</v>
      </c>
      <c r="L114" s="667"/>
      <c r="M114" s="21">
        <f t="shared" si="30"/>
        <v>1</v>
      </c>
      <c r="N114" s="667"/>
      <c r="O114" s="21">
        <f t="shared" si="31"/>
        <v>1</v>
      </c>
      <c r="P114" s="667"/>
      <c r="Q114" s="21">
        <f t="shared" si="32"/>
        <v>1</v>
      </c>
      <c r="R114" s="663">
        <f t="shared" si="33"/>
        <v>0</v>
      </c>
      <c r="S114" s="316">
        <f t="shared" si="24"/>
        <v>0</v>
      </c>
    </row>
    <row r="115" spans="1:19">
      <c r="A115" s="665">
        <f>面积明细表!C94</f>
        <v>0</v>
      </c>
      <c r="B115" s="54"/>
      <c r="C115" s="21">
        <f t="shared" si="25"/>
        <v>1</v>
      </c>
      <c r="D115" s="667"/>
      <c r="E115" s="21">
        <f t="shared" si="26"/>
        <v>1</v>
      </c>
      <c r="F115" s="667"/>
      <c r="G115" s="21">
        <f t="shared" si="27"/>
        <v>1</v>
      </c>
      <c r="H115" s="667"/>
      <c r="I115" s="21">
        <f t="shared" si="28"/>
        <v>1</v>
      </c>
      <c r="J115" s="667"/>
      <c r="K115" s="21">
        <f t="shared" si="29"/>
        <v>1</v>
      </c>
      <c r="L115" s="667"/>
      <c r="M115" s="21">
        <f t="shared" si="30"/>
        <v>1</v>
      </c>
      <c r="N115" s="667"/>
      <c r="O115" s="21">
        <f t="shared" si="31"/>
        <v>1</v>
      </c>
      <c r="P115" s="667"/>
      <c r="Q115" s="21">
        <f t="shared" si="32"/>
        <v>1</v>
      </c>
      <c r="R115" s="663">
        <f t="shared" si="33"/>
        <v>0</v>
      </c>
      <c r="S115" s="316">
        <f t="shared" si="24"/>
        <v>0</v>
      </c>
    </row>
    <row r="116" spans="1:19">
      <c r="A116" s="665">
        <f>面积明细表!C95</f>
        <v>0</v>
      </c>
      <c r="B116" s="54"/>
      <c r="C116" s="21">
        <f t="shared" si="25"/>
        <v>1</v>
      </c>
      <c r="D116" s="667"/>
      <c r="E116" s="21">
        <f t="shared" si="26"/>
        <v>1</v>
      </c>
      <c r="F116" s="667"/>
      <c r="G116" s="21">
        <f t="shared" si="27"/>
        <v>1</v>
      </c>
      <c r="H116" s="667"/>
      <c r="I116" s="21">
        <f t="shared" si="28"/>
        <v>1</v>
      </c>
      <c r="J116" s="667"/>
      <c r="K116" s="21">
        <f t="shared" si="29"/>
        <v>1</v>
      </c>
      <c r="L116" s="667"/>
      <c r="M116" s="21">
        <f t="shared" si="30"/>
        <v>1</v>
      </c>
      <c r="N116" s="667"/>
      <c r="O116" s="21">
        <f t="shared" si="31"/>
        <v>1</v>
      </c>
      <c r="P116" s="667"/>
      <c r="Q116" s="21">
        <f t="shared" si="32"/>
        <v>1</v>
      </c>
      <c r="R116" s="663">
        <f t="shared" si="33"/>
        <v>0</v>
      </c>
      <c r="S116" s="316">
        <f t="shared" si="24"/>
        <v>0</v>
      </c>
    </row>
    <row r="117" spans="1:19">
      <c r="A117" s="665">
        <f>面积明细表!C96</f>
        <v>0</v>
      </c>
      <c r="B117" s="54"/>
      <c r="C117" s="21">
        <f t="shared" si="25"/>
        <v>1</v>
      </c>
      <c r="D117" s="667"/>
      <c r="E117" s="21">
        <f t="shared" si="26"/>
        <v>1</v>
      </c>
      <c r="F117" s="667"/>
      <c r="G117" s="21">
        <f t="shared" si="27"/>
        <v>1</v>
      </c>
      <c r="H117" s="667"/>
      <c r="I117" s="21">
        <f t="shared" si="28"/>
        <v>1</v>
      </c>
      <c r="J117" s="667"/>
      <c r="K117" s="21">
        <f t="shared" si="29"/>
        <v>1</v>
      </c>
      <c r="L117" s="667"/>
      <c r="M117" s="21">
        <f t="shared" si="30"/>
        <v>1</v>
      </c>
      <c r="N117" s="667"/>
      <c r="O117" s="21">
        <f t="shared" si="31"/>
        <v>1</v>
      </c>
      <c r="P117" s="667"/>
      <c r="Q117" s="21">
        <f t="shared" si="32"/>
        <v>1</v>
      </c>
      <c r="R117" s="663">
        <f t="shared" si="33"/>
        <v>0</v>
      </c>
      <c r="S117" s="316">
        <f t="shared" si="24"/>
        <v>0</v>
      </c>
    </row>
    <row r="118" spans="1:19">
      <c r="A118" s="665">
        <f>面积明细表!C97</f>
        <v>0</v>
      </c>
      <c r="B118" s="54"/>
      <c r="C118" s="21">
        <f t="shared" si="25"/>
        <v>1</v>
      </c>
      <c r="D118" s="667"/>
      <c r="E118" s="21">
        <f t="shared" si="26"/>
        <v>1</v>
      </c>
      <c r="F118" s="667"/>
      <c r="G118" s="21">
        <f t="shared" si="27"/>
        <v>1</v>
      </c>
      <c r="H118" s="667"/>
      <c r="I118" s="21">
        <f t="shared" si="28"/>
        <v>1</v>
      </c>
      <c r="J118" s="667"/>
      <c r="K118" s="21">
        <f t="shared" si="29"/>
        <v>1</v>
      </c>
      <c r="L118" s="667"/>
      <c r="M118" s="21">
        <f t="shared" si="30"/>
        <v>1</v>
      </c>
      <c r="N118" s="667"/>
      <c r="O118" s="21">
        <f t="shared" si="31"/>
        <v>1</v>
      </c>
      <c r="P118" s="667"/>
      <c r="Q118" s="21">
        <f t="shared" si="32"/>
        <v>1</v>
      </c>
      <c r="R118" s="663">
        <f t="shared" si="33"/>
        <v>0</v>
      </c>
      <c r="S118" s="316">
        <f t="shared" si="24"/>
        <v>0</v>
      </c>
    </row>
    <row r="119" spans="1:19">
      <c r="A119" s="665">
        <f>面积明细表!C98</f>
        <v>0</v>
      </c>
      <c r="B119" s="54"/>
      <c r="C119" s="21">
        <f t="shared" si="25"/>
        <v>1</v>
      </c>
      <c r="D119" s="667"/>
      <c r="E119" s="21">
        <f t="shared" si="26"/>
        <v>1</v>
      </c>
      <c r="F119" s="667"/>
      <c r="G119" s="21">
        <f t="shared" si="27"/>
        <v>1</v>
      </c>
      <c r="H119" s="667"/>
      <c r="I119" s="21">
        <f t="shared" si="28"/>
        <v>1</v>
      </c>
      <c r="J119" s="667"/>
      <c r="K119" s="21">
        <f t="shared" si="29"/>
        <v>1</v>
      </c>
      <c r="L119" s="667"/>
      <c r="M119" s="21">
        <f t="shared" si="30"/>
        <v>1</v>
      </c>
      <c r="N119" s="667"/>
      <c r="O119" s="21">
        <f t="shared" si="31"/>
        <v>1</v>
      </c>
      <c r="P119" s="667"/>
      <c r="Q119" s="21">
        <f t="shared" si="32"/>
        <v>1</v>
      </c>
      <c r="R119" s="663">
        <f t="shared" si="33"/>
        <v>0</v>
      </c>
      <c r="S119" s="316">
        <f t="shared" si="24"/>
        <v>0</v>
      </c>
    </row>
    <row r="120" spans="1:19">
      <c r="A120" s="665">
        <f>面积明细表!C99</f>
        <v>0</v>
      </c>
      <c r="B120" s="54"/>
      <c r="C120" s="21">
        <f t="shared" si="25"/>
        <v>1</v>
      </c>
      <c r="D120" s="667"/>
      <c r="E120" s="21">
        <f t="shared" si="26"/>
        <v>1</v>
      </c>
      <c r="F120" s="667"/>
      <c r="G120" s="21">
        <f t="shared" si="27"/>
        <v>1</v>
      </c>
      <c r="H120" s="667"/>
      <c r="I120" s="21">
        <f t="shared" si="28"/>
        <v>1</v>
      </c>
      <c r="J120" s="667"/>
      <c r="K120" s="21">
        <f t="shared" si="29"/>
        <v>1</v>
      </c>
      <c r="L120" s="667"/>
      <c r="M120" s="21">
        <f t="shared" si="30"/>
        <v>1</v>
      </c>
      <c r="N120" s="667"/>
      <c r="O120" s="21">
        <f t="shared" si="31"/>
        <v>1</v>
      </c>
      <c r="P120" s="667"/>
      <c r="Q120" s="21">
        <f t="shared" si="32"/>
        <v>1</v>
      </c>
      <c r="R120" s="663">
        <f t="shared" si="33"/>
        <v>0</v>
      </c>
      <c r="S120" s="316">
        <f t="shared" si="24"/>
        <v>0</v>
      </c>
    </row>
    <row r="121" spans="1:19">
      <c r="A121" s="665">
        <f>面积明细表!C100</f>
        <v>0</v>
      </c>
      <c r="B121" s="54"/>
      <c r="C121" s="21">
        <f t="shared" si="25"/>
        <v>1</v>
      </c>
      <c r="D121" s="667"/>
      <c r="E121" s="21">
        <f t="shared" si="26"/>
        <v>1</v>
      </c>
      <c r="F121" s="667"/>
      <c r="G121" s="21">
        <f t="shared" si="27"/>
        <v>1</v>
      </c>
      <c r="H121" s="667"/>
      <c r="I121" s="21">
        <f t="shared" si="28"/>
        <v>1</v>
      </c>
      <c r="J121" s="667"/>
      <c r="K121" s="21">
        <f t="shared" si="29"/>
        <v>1</v>
      </c>
      <c r="L121" s="667"/>
      <c r="M121" s="21">
        <f t="shared" si="30"/>
        <v>1</v>
      </c>
      <c r="N121" s="667"/>
      <c r="O121" s="21">
        <f t="shared" si="31"/>
        <v>1</v>
      </c>
      <c r="P121" s="667"/>
      <c r="Q121" s="21">
        <f t="shared" si="32"/>
        <v>1</v>
      </c>
      <c r="R121" s="663">
        <f t="shared" si="33"/>
        <v>0</v>
      </c>
      <c r="S121" s="316">
        <f t="shared" si="24"/>
        <v>0</v>
      </c>
    </row>
    <row r="122" spans="1:19">
      <c r="A122" s="665">
        <f>面积明细表!C101</f>
        <v>0</v>
      </c>
      <c r="B122" s="54"/>
      <c r="C122" s="21">
        <f t="shared" si="25"/>
        <v>1</v>
      </c>
      <c r="D122" s="667"/>
      <c r="E122" s="21">
        <f t="shared" si="26"/>
        <v>1</v>
      </c>
      <c r="F122" s="667"/>
      <c r="G122" s="21">
        <f t="shared" si="27"/>
        <v>1</v>
      </c>
      <c r="H122" s="667"/>
      <c r="I122" s="21">
        <f t="shared" si="28"/>
        <v>1</v>
      </c>
      <c r="J122" s="667"/>
      <c r="K122" s="21">
        <f t="shared" si="29"/>
        <v>1</v>
      </c>
      <c r="L122" s="667"/>
      <c r="M122" s="21">
        <f t="shared" si="30"/>
        <v>1</v>
      </c>
      <c r="N122" s="667"/>
      <c r="O122" s="21">
        <f t="shared" si="31"/>
        <v>1</v>
      </c>
      <c r="P122" s="667"/>
      <c r="Q122" s="21">
        <f t="shared" si="32"/>
        <v>1</v>
      </c>
      <c r="R122" s="663">
        <f t="shared" si="33"/>
        <v>0</v>
      </c>
      <c r="S122" s="316">
        <f t="shared" si="24"/>
        <v>0</v>
      </c>
    </row>
    <row r="123" spans="1:19">
      <c r="A123" s="665">
        <f>面积明细表!C102</f>
        <v>0</v>
      </c>
      <c r="B123" s="54"/>
      <c r="C123" s="21">
        <f t="shared" si="25"/>
        <v>1</v>
      </c>
      <c r="D123" s="667"/>
      <c r="E123" s="21">
        <f t="shared" si="26"/>
        <v>1</v>
      </c>
      <c r="F123" s="667"/>
      <c r="G123" s="21">
        <f t="shared" si="27"/>
        <v>1</v>
      </c>
      <c r="H123" s="667"/>
      <c r="I123" s="21">
        <f t="shared" si="28"/>
        <v>1</v>
      </c>
      <c r="J123" s="667"/>
      <c r="K123" s="21">
        <f t="shared" si="29"/>
        <v>1</v>
      </c>
      <c r="L123" s="667"/>
      <c r="M123" s="21">
        <f t="shared" si="30"/>
        <v>1</v>
      </c>
      <c r="N123" s="667"/>
      <c r="O123" s="21">
        <f t="shared" si="31"/>
        <v>1</v>
      </c>
      <c r="P123" s="667"/>
      <c r="Q123" s="21">
        <f t="shared" si="32"/>
        <v>1</v>
      </c>
      <c r="R123" s="663">
        <f t="shared" si="33"/>
        <v>0</v>
      </c>
      <c r="S123" s="316">
        <f t="shared" ref="S123:S186" si="34">ROUND(R123*B123/10000,0)</f>
        <v>0</v>
      </c>
    </row>
    <row r="124" spans="1:19">
      <c r="A124" s="665">
        <f>面积明细表!C103</f>
        <v>0</v>
      </c>
      <c r="B124" s="54"/>
      <c r="C124" s="21">
        <f t="shared" si="25"/>
        <v>1</v>
      </c>
      <c r="D124" s="667"/>
      <c r="E124" s="21">
        <f t="shared" si="26"/>
        <v>1</v>
      </c>
      <c r="F124" s="667"/>
      <c r="G124" s="21">
        <f t="shared" si="27"/>
        <v>1</v>
      </c>
      <c r="H124" s="667"/>
      <c r="I124" s="21">
        <f t="shared" si="28"/>
        <v>1</v>
      </c>
      <c r="J124" s="667"/>
      <c r="K124" s="21">
        <f t="shared" si="29"/>
        <v>1</v>
      </c>
      <c r="L124" s="667"/>
      <c r="M124" s="21">
        <f t="shared" si="30"/>
        <v>1</v>
      </c>
      <c r="N124" s="667"/>
      <c r="O124" s="21">
        <f t="shared" si="31"/>
        <v>1</v>
      </c>
      <c r="P124" s="667"/>
      <c r="Q124" s="21">
        <f t="shared" si="32"/>
        <v>1</v>
      </c>
      <c r="R124" s="663">
        <f t="shared" si="33"/>
        <v>0</v>
      </c>
      <c r="S124" s="316">
        <f t="shared" si="34"/>
        <v>0</v>
      </c>
    </row>
    <row r="125" spans="1:19">
      <c r="A125" s="665">
        <f>面积明细表!C104</f>
        <v>0</v>
      </c>
      <c r="B125" s="54"/>
      <c r="C125" s="21">
        <f t="shared" si="25"/>
        <v>1</v>
      </c>
      <c r="D125" s="667"/>
      <c r="E125" s="21">
        <f t="shared" si="26"/>
        <v>1</v>
      </c>
      <c r="F125" s="667"/>
      <c r="G125" s="21">
        <f t="shared" si="27"/>
        <v>1</v>
      </c>
      <c r="H125" s="667"/>
      <c r="I125" s="21">
        <f t="shared" si="28"/>
        <v>1</v>
      </c>
      <c r="J125" s="667"/>
      <c r="K125" s="21">
        <f t="shared" si="29"/>
        <v>1</v>
      </c>
      <c r="L125" s="667"/>
      <c r="M125" s="21">
        <f t="shared" si="30"/>
        <v>1</v>
      </c>
      <c r="N125" s="667"/>
      <c r="O125" s="21">
        <f t="shared" si="31"/>
        <v>1</v>
      </c>
      <c r="P125" s="667"/>
      <c r="Q125" s="21">
        <f t="shared" si="32"/>
        <v>1</v>
      </c>
      <c r="R125" s="663">
        <f t="shared" si="33"/>
        <v>0</v>
      </c>
      <c r="S125" s="316">
        <f t="shared" si="34"/>
        <v>0</v>
      </c>
    </row>
    <row r="126" spans="1:19">
      <c r="A126" s="665">
        <f>面积明细表!C105</f>
        <v>0</v>
      </c>
      <c r="B126" s="54"/>
      <c r="C126" s="21">
        <f t="shared" si="25"/>
        <v>1</v>
      </c>
      <c r="D126" s="667"/>
      <c r="E126" s="21">
        <f t="shared" si="26"/>
        <v>1</v>
      </c>
      <c r="F126" s="667"/>
      <c r="G126" s="21">
        <f t="shared" si="27"/>
        <v>1</v>
      </c>
      <c r="H126" s="667"/>
      <c r="I126" s="21">
        <f t="shared" si="28"/>
        <v>1</v>
      </c>
      <c r="J126" s="667"/>
      <c r="K126" s="21">
        <f t="shared" si="29"/>
        <v>1</v>
      </c>
      <c r="L126" s="667"/>
      <c r="M126" s="21">
        <f t="shared" si="30"/>
        <v>1</v>
      </c>
      <c r="N126" s="667"/>
      <c r="O126" s="21">
        <f t="shared" si="31"/>
        <v>1</v>
      </c>
      <c r="P126" s="667"/>
      <c r="Q126" s="21">
        <f t="shared" si="32"/>
        <v>1</v>
      </c>
      <c r="R126" s="663">
        <f t="shared" si="33"/>
        <v>0</v>
      </c>
      <c r="S126" s="316">
        <f t="shared" si="34"/>
        <v>0</v>
      </c>
    </row>
    <row r="127" spans="1:19">
      <c r="A127" s="665">
        <f>面积明细表!C106</f>
        <v>0</v>
      </c>
      <c r="B127" s="54"/>
      <c r="C127" s="21">
        <f t="shared" si="25"/>
        <v>1</v>
      </c>
      <c r="D127" s="667"/>
      <c r="E127" s="21">
        <f t="shared" si="26"/>
        <v>1</v>
      </c>
      <c r="F127" s="667"/>
      <c r="G127" s="21">
        <f t="shared" si="27"/>
        <v>1</v>
      </c>
      <c r="H127" s="667"/>
      <c r="I127" s="21">
        <f t="shared" si="28"/>
        <v>1</v>
      </c>
      <c r="J127" s="667"/>
      <c r="K127" s="21">
        <f t="shared" si="29"/>
        <v>1</v>
      </c>
      <c r="L127" s="667"/>
      <c r="M127" s="21">
        <f t="shared" si="30"/>
        <v>1</v>
      </c>
      <c r="N127" s="667"/>
      <c r="O127" s="21">
        <f t="shared" si="31"/>
        <v>1</v>
      </c>
      <c r="P127" s="667"/>
      <c r="Q127" s="21">
        <f t="shared" si="32"/>
        <v>1</v>
      </c>
      <c r="R127" s="663">
        <f t="shared" si="33"/>
        <v>0</v>
      </c>
      <c r="S127" s="316">
        <f t="shared" si="34"/>
        <v>0</v>
      </c>
    </row>
    <row r="128" spans="1:19">
      <c r="A128" s="665">
        <f>面积明细表!C107</f>
        <v>0</v>
      </c>
      <c r="B128" s="54"/>
      <c r="C128" s="21">
        <f t="shared" si="25"/>
        <v>1</v>
      </c>
      <c r="D128" s="667"/>
      <c r="E128" s="21">
        <f t="shared" si="26"/>
        <v>1</v>
      </c>
      <c r="F128" s="667"/>
      <c r="G128" s="21">
        <f t="shared" si="27"/>
        <v>1</v>
      </c>
      <c r="H128" s="667"/>
      <c r="I128" s="21">
        <f t="shared" si="28"/>
        <v>1</v>
      </c>
      <c r="J128" s="667"/>
      <c r="K128" s="21">
        <f t="shared" si="29"/>
        <v>1</v>
      </c>
      <c r="L128" s="667"/>
      <c r="M128" s="21">
        <f t="shared" si="30"/>
        <v>1</v>
      </c>
      <c r="N128" s="667"/>
      <c r="O128" s="21">
        <f t="shared" si="31"/>
        <v>1</v>
      </c>
      <c r="P128" s="667"/>
      <c r="Q128" s="21">
        <f t="shared" si="32"/>
        <v>1</v>
      </c>
      <c r="R128" s="663">
        <f t="shared" si="33"/>
        <v>0</v>
      </c>
      <c r="S128" s="316">
        <f t="shared" si="34"/>
        <v>0</v>
      </c>
    </row>
    <row r="129" spans="1:19">
      <c r="A129" s="665">
        <f>面积明细表!C108</f>
        <v>0</v>
      </c>
      <c r="B129" s="54"/>
      <c r="C129" s="21">
        <f t="shared" si="25"/>
        <v>1</v>
      </c>
      <c r="D129" s="667"/>
      <c r="E129" s="21">
        <f t="shared" si="26"/>
        <v>1</v>
      </c>
      <c r="F129" s="667"/>
      <c r="G129" s="21">
        <f t="shared" si="27"/>
        <v>1</v>
      </c>
      <c r="H129" s="667"/>
      <c r="I129" s="21">
        <f t="shared" si="28"/>
        <v>1</v>
      </c>
      <c r="J129" s="667"/>
      <c r="K129" s="21">
        <f t="shared" si="29"/>
        <v>1</v>
      </c>
      <c r="L129" s="667"/>
      <c r="M129" s="21">
        <f t="shared" si="30"/>
        <v>1</v>
      </c>
      <c r="N129" s="667"/>
      <c r="O129" s="21">
        <f t="shared" si="31"/>
        <v>1</v>
      </c>
      <c r="P129" s="667"/>
      <c r="Q129" s="21">
        <f t="shared" si="32"/>
        <v>1</v>
      </c>
      <c r="R129" s="663">
        <f t="shared" si="33"/>
        <v>0</v>
      </c>
      <c r="S129" s="316">
        <f t="shared" si="34"/>
        <v>0</v>
      </c>
    </row>
    <row r="130" spans="1:19">
      <c r="A130" s="665">
        <f>面积明细表!C109</f>
        <v>0</v>
      </c>
      <c r="B130" s="54"/>
      <c r="C130" s="21">
        <f t="shared" si="25"/>
        <v>1</v>
      </c>
      <c r="D130" s="667"/>
      <c r="E130" s="21">
        <f t="shared" si="26"/>
        <v>1</v>
      </c>
      <c r="F130" s="667"/>
      <c r="G130" s="21">
        <f t="shared" si="27"/>
        <v>1</v>
      </c>
      <c r="H130" s="667"/>
      <c r="I130" s="21">
        <f t="shared" si="28"/>
        <v>1</v>
      </c>
      <c r="J130" s="667"/>
      <c r="K130" s="21">
        <f t="shared" si="29"/>
        <v>1</v>
      </c>
      <c r="L130" s="667"/>
      <c r="M130" s="21">
        <f t="shared" si="30"/>
        <v>1</v>
      </c>
      <c r="N130" s="667"/>
      <c r="O130" s="21">
        <f t="shared" si="31"/>
        <v>1</v>
      </c>
      <c r="P130" s="667"/>
      <c r="Q130" s="21">
        <f t="shared" si="32"/>
        <v>1</v>
      </c>
      <c r="R130" s="663">
        <f t="shared" si="33"/>
        <v>0</v>
      </c>
      <c r="S130" s="316">
        <f t="shared" si="34"/>
        <v>0</v>
      </c>
    </row>
    <row r="131" spans="1:19">
      <c r="A131" s="665">
        <f>面积明细表!C110</f>
        <v>0</v>
      </c>
      <c r="B131" s="54"/>
      <c r="C131" s="21">
        <f t="shared" si="25"/>
        <v>1</v>
      </c>
      <c r="D131" s="667"/>
      <c r="E131" s="21">
        <f t="shared" si="26"/>
        <v>1</v>
      </c>
      <c r="F131" s="667"/>
      <c r="G131" s="21">
        <f t="shared" si="27"/>
        <v>1</v>
      </c>
      <c r="H131" s="667"/>
      <c r="I131" s="21">
        <f t="shared" si="28"/>
        <v>1</v>
      </c>
      <c r="J131" s="667"/>
      <c r="K131" s="21">
        <f t="shared" si="29"/>
        <v>1</v>
      </c>
      <c r="L131" s="667"/>
      <c r="M131" s="21">
        <f t="shared" si="30"/>
        <v>1</v>
      </c>
      <c r="N131" s="667"/>
      <c r="O131" s="21">
        <f t="shared" si="31"/>
        <v>1</v>
      </c>
      <c r="P131" s="667"/>
      <c r="Q131" s="21">
        <f t="shared" si="32"/>
        <v>1</v>
      </c>
      <c r="R131" s="663">
        <f t="shared" si="33"/>
        <v>0</v>
      </c>
      <c r="S131" s="316">
        <f t="shared" si="34"/>
        <v>0</v>
      </c>
    </row>
    <row r="132" spans="1:19">
      <c r="A132" s="665">
        <f>面积明细表!C111</f>
        <v>0</v>
      </c>
      <c r="B132" s="54"/>
      <c r="C132" s="21">
        <f t="shared" si="25"/>
        <v>1</v>
      </c>
      <c r="D132" s="667"/>
      <c r="E132" s="21">
        <f t="shared" si="26"/>
        <v>1</v>
      </c>
      <c r="F132" s="667"/>
      <c r="G132" s="21">
        <f t="shared" si="27"/>
        <v>1</v>
      </c>
      <c r="H132" s="667"/>
      <c r="I132" s="21">
        <f t="shared" si="28"/>
        <v>1</v>
      </c>
      <c r="J132" s="667"/>
      <c r="K132" s="21">
        <f t="shared" si="29"/>
        <v>1</v>
      </c>
      <c r="L132" s="667"/>
      <c r="M132" s="21">
        <f t="shared" si="30"/>
        <v>1</v>
      </c>
      <c r="N132" s="667"/>
      <c r="O132" s="21">
        <f t="shared" si="31"/>
        <v>1</v>
      </c>
      <c r="P132" s="667"/>
      <c r="Q132" s="21">
        <f t="shared" si="32"/>
        <v>1</v>
      </c>
      <c r="R132" s="663">
        <f t="shared" si="33"/>
        <v>0</v>
      </c>
      <c r="S132" s="316">
        <f t="shared" si="34"/>
        <v>0</v>
      </c>
    </row>
    <row r="133" spans="1:19">
      <c r="A133" s="665">
        <f>面积明细表!C112</f>
        <v>0</v>
      </c>
      <c r="B133" s="54"/>
      <c r="C133" s="21">
        <f t="shared" si="25"/>
        <v>1</v>
      </c>
      <c r="D133" s="667"/>
      <c r="E133" s="21">
        <f t="shared" si="26"/>
        <v>1</v>
      </c>
      <c r="F133" s="667"/>
      <c r="G133" s="21">
        <f t="shared" si="27"/>
        <v>1</v>
      </c>
      <c r="H133" s="667"/>
      <c r="I133" s="21">
        <f t="shared" si="28"/>
        <v>1</v>
      </c>
      <c r="J133" s="667"/>
      <c r="K133" s="21">
        <f t="shared" si="29"/>
        <v>1</v>
      </c>
      <c r="L133" s="667"/>
      <c r="M133" s="21">
        <f t="shared" si="30"/>
        <v>1</v>
      </c>
      <c r="N133" s="667"/>
      <c r="O133" s="21">
        <f t="shared" si="31"/>
        <v>1</v>
      </c>
      <c r="P133" s="667"/>
      <c r="Q133" s="21">
        <f t="shared" si="32"/>
        <v>1</v>
      </c>
      <c r="R133" s="663">
        <f t="shared" si="33"/>
        <v>0</v>
      </c>
      <c r="S133" s="316">
        <f t="shared" si="34"/>
        <v>0</v>
      </c>
    </row>
    <row r="134" spans="1:19">
      <c r="A134" s="665">
        <f>面积明细表!C113</f>
        <v>0</v>
      </c>
      <c r="B134" s="54"/>
      <c r="C134" s="21">
        <f t="shared" si="25"/>
        <v>1</v>
      </c>
      <c r="D134" s="667"/>
      <c r="E134" s="21">
        <f t="shared" si="26"/>
        <v>1</v>
      </c>
      <c r="F134" s="667"/>
      <c r="G134" s="21">
        <f t="shared" si="27"/>
        <v>1</v>
      </c>
      <c r="H134" s="667"/>
      <c r="I134" s="21">
        <f t="shared" si="28"/>
        <v>1</v>
      </c>
      <c r="J134" s="667"/>
      <c r="K134" s="21">
        <f t="shared" si="29"/>
        <v>1</v>
      </c>
      <c r="L134" s="667"/>
      <c r="M134" s="21">
        <f t="shared" si="30"/>
        <v>1</v>
      </c>
      <c r="N134" s="667"/>
      <c r="O134" s="21">
        <f t="shared" si="31"/>
        <v>1</v>
      </c>
      <c r="P134" s="667"/>
      <c r="Q134" s="21">
        <f t="shared" si="32"/>
        <v>1</v>
      </c>
      <c r="R134" s="663">
        <f t="shared" si="33"/>
        <v>0</v>
      </c>
      <c r="S134" s="316">
        <f t="shared" si="34"/>
        <v>0</v>
      </c>
    </row>
    <row r="135" spans="1:19">
      <c r="A135" s="665">
        <f>面积明细表!C114</f>
        <v>0</v>
      </c>
      <c r="B135" s="54"/>
      <c r="C135" s="21">
        <f t="shared" si="25"/>
        <v>1</v>
      </c>
      <c r="D135" s="667"/>
      <c r="E135" s="21">
        <f t="shared" si="26"/>
        <v>1</v>
      </c>
      <c r="F135" s="667"/>
      <c r="G135" s="21">
        <f t="shared" si="27"/>
        <v>1</v>
      </c>
      <c r="H135" s="667"/>
      <c r="I135" s="21">
        <f t="shared" si="28"/>
        <v>1</v>
      </c>
      <c r="J135" s="667"/>
      <c r="K135" s="21">
        <f t="shared" si="29"/>
        <v>1</v>
      </c>
      <c r="L135" s="667"/>
      <c r="M135" s="21">
        <f t="shared" si="30"/>
        <v>1</v>
      </c>
      <c r="N135" s="667"/>
      <c r="O135" s="21">
        <f t="shared" si="31"/>
        <v>1</v>
      </c>
      <c r="P135" s="667"/>
      <c r="Q135" s="21">
        <f t="shared" si="32"/>
        <v>1</v>
      </c>
      <c r="R135" s="663">
        <f t="shared" si="33"/>
        <v>0</v>
      </c>
      <c r="S135" s="316">
        <f t="shared" si="34"/>
        <v>0</v>
      </c>
    </row>
    <row r="136" spans="1:19">
      <c r="A136" s="665">
        <f>面积明细表!C115</f>
        <v>0</v>
      </c>
      <c r="B136" s="54"/>
      <c r="C136" s="21">
        <f t="shared" si="25"/>
        <v>1</v>
      </c>
      <c r="D136" s="667"/>
      <c r="E136" s="21">
        <f t="shared" si="26"/>
        <v>1</v>
      </c>
      <c r="F136" s="667"/>
      <c r="G136" s="21">
        <f t="shared" si="27"/>
        <v>1</v>
      </c>
      <c r="H136" s="667"/>
      <c r="I136" s="21">
        <f t="shared" si="28"/>
        <v>1</v>
      </c>
      <c r="J136" s="667"/>
      <c r="K136" s="21">
        <f t="shared" si="29"/>
        <v>1</v>
      </c>
      <c r="L136" s="667"/>
      <c r="M136" s="21">
        <f t="shared" si="30"/>
        <v>1</v>
      </c>
      <c r="N136" s="667"/>
      <c r="O136" s="21">
        <f t="shared" si="31"/>
        <v>1</v>
      </c>
      <c r="P136" s="667"/>
      <c r="Q136" s="21">
        <f t="shared" si="32"/>
        <v>1</v>
      </c>
      <c r="R136" s="663">
        <f t="shared" si="33"/>
        <v>0</v>
      </c>
      <c r="S136" s="316">
        <f t="shared" si="34"/>
        <v>0</v>
      </c>
    </row>
    <row r="137" spans="1:19">
      <c r="A137" s="665">
        <f>面积明细表!C116</f>
        <v>0</v>
      </c>
      <c r="B137" s="54"/>
      <c r="C137" s="21">
        <f t="shared" si="25"/>
        <v>1</v>
      </c>
      <c r="D137" s="667"/>
      <c r="E137" s="21">
        <f t="shared" si="26"/>
        <v>1</v>
      </c>
      <c r="F137" s="667"/>
      <c r="G137" s="21">
        <f t="shared" si="27"/>
        <v>1</v>
      </c>
      <c r="H137" s="667"/>
      <c r="I137" s="21">
        <f t="shared" si="28"/>
        <v>1</v>
      </c>
      <c r="J137" s="667"/>
      <c r="K137" s="21">
        <f t="shared" si="29"/>
        <v>1</v>
      </c>
      <c r="L137" s="667"/>
      <c r="M137" s="21">
        <f t="shared" si="30"/>
        <v>1</v>
      </c>
      <c r="N137" s="667"/>
      <c r="O137" s="21">
        <f t="shared" si="31"/>
        <v>1</v>
      </c>
      <c r="P137" s="667"/>
      <c r="Q137" s="21">
        <f t="shared" si="32"/>
        <v>1</v>
      </c>
      <c r="R137" s="663">
        <f t="shared" si="33"/>
        <v>0</v>
      </c>
      <c r="S137" s="316">
        <f t="shared" si="34"/>
        <v>0</v>
      </c>
    </row>
    <row r="138" spans="1:19">
      <c r="A138" s="665">
        <f>面积明细表!C117</f>
        <v>0</v>
      </c>
      <c r="B138" s="54"/>
      <c r="C138" s="21">
        <f t="shared" si="25"/>
        <v>1</v>
      </c>
      <c r="D138" s="667"/>
      <c r="E138" s="21">
        <f t="shared" si="26"/>
        <v>1</v>
      </c>
      <c r="F138" s="667"/>
      <c r="G138" s="21">
        <f t="shared" si="27"/>
        <v>1</v>
      </c>
      <c r="H138" s="667"/>
      <c r="I138" s="21">
        <f t="shared" si="28"/>
        <v>1</v>
      </c>
      <c r="J138" s="667"/>
      <c r="K138" s="21">
        <f t="shared" si="29"/>
        <v>1</v>
      </c>
      <c r="L138" s="667"/>
      <c r="M138" s="21">
        <f t="shared" si="30"/>
        <v>1</v>
      </c>
      <c r="N138" s="667"/>
      <c r="O138" s="21">
        <f t="shared" si="31"/>
        <v>1</v>
      </c>
      <c r="P138" s="667"/>
      <c r="Q138" s="21">
        <f t="shared" si="32"/>
        <v>1</v>
      </c>
      <c r="R138" s="663">
        <f t="shared" si="33"/>
        <v>0</v>
      </c>
      <c r="S138" s="316">
        <f t="shared" si="34"/>
        <v>0</v>
      </c>
    </row>
    <row r="139" spans="1:19">
      <c r="A139" s="665">
        <f>面积明细表!C118</f>
        <v>0</v>
      </c>
      <c r="B139" s="54"/>
      <c r="C139" s="21">
        <f t="shared" si="25"/>
        <v>1</v>
      </c>
      <c r="D139" s="667"/>
      <c r="E139" s="21">
        <f t="shared" si="26"/>
        <v>1</v>
      </c>
      <c r="F139" s="667"/>
      <c r="G139" s="21">
        <f t="shared" si="27"/>
        <v>1</v>
      </c>
      <c r="H139" s="667"/>
      <c r="I139" s="21">
        <f t="shared" si="28"/>
        <v>1</v>
      </c>
      <c r="J139" s="667"/>
      <c r="K139" s="21">
        <f t="shared" si="29"/>
        <v>1</v>
      </c>
      <c r="L139" s="667"/>
      <c r="M139" s="21">
        <f t="shared" si="30"/>
        <v>1</v>
      </c>
      <c r="N139" s="667"/>
      <c r="O139" s="21">
        <f t="shared" si="31"/>
        <v>1</v>
      </c>
      <c r="P139" s="667"/>
      <c r="Q139" s="21">
        <f t="shared" si="32"/>
        <v>1</v>
      </c>
      <c r="R139" s="663">
        <f t="shared" si="33"/>
        <v>0</v>
      </c>
      <c r="S139" s="316">
        <f t="shared" si="34"/>
        <v>0</v>
      </c>
    </row>
    <row r="140" spans="1:19">
      <c r="A140" s="665">
        <f>面积明细表!C119</f>
        <v>0</v>
      </c>
      <c r="B140" s="54"/>
      <c r="C140" s="21">
        <f t="shared" si="25"/>
        <v>1</v>
      </c>
      <c r="D140" s="667"/>
      <c r="E140" s="21">
        <f t="shared" si="26"/>
        <v>1</v>
      </c>
      <c r="F140" s="667"/>
      <c r="G140" s="21">
        <f t="shared" si="27"/>
        <v>1</v>
      </c>
      <c r="H140" s="667"/>
      <c r="I140" s="21">
        <f t="shared" si="28"/>
        <v>1</v>
      </c>
      <c r="J140" s="667"/>
      <c r="K140" s="21">
        <f t="shared" si="29"/>
        <v>1</v>
      </c>
      <c r="L140" s="667"/>
      <c r="M140" s="21">
        <f t="shared" si="30"/>
        <v>1</v>
      </c>
      <c r="N140" s="667"/>
      <c r="O140" s="21">
        <f t="shared" si="31"/>
        <v>1</v>
      </c>
      <c r="P140" s="667"/>
      <c r="Q140" s="21">
        <f t="shared" si="32"/>
        <v>1</v>
      </c>
      <c r="R140" s="663">
        <f t="shared" si="33"/>
        <v>0</v>
      </c>
      <c r="S140" s="316">
        <f t="shared" si="34"/>
        <v>0</v>
      </c>
    </row>
    <row r="141" spans="1:19">
      <c r="A141" s="665">
        <f>面积明细表!C120</f>
        <v>0</v>
      </c>
      <c r="B141" s="54"/>
      <c r="C141" s="21">
        <f t="shared" si="25"/>
        <v>1</v>
      </c>
      <c r="D141" s="667"/>
      <c r="E141" s="21">
        <f t="shared" si="26"/>
        <v>1</v>
      </c>
      <c r="F141" s="667"/>
      <c r="G141" s="21">
        <f t="shared" si="27"/>
        <v>1</v>
      </c>
      <c r="H141" s="667"/>
      <c r="I141" s="21">
        <f t="shared" si="28"/>
        <v>1</v>
      </c>
      <c r="J141" s="667"/>
      <c r="K141" s="21">
        <f t="shared" si="29"/>
        <v>1</v>
      </c>
      <c r="L141" s="667"/>
      <c r="M141" s="21">
        <f t="shared" si="30"/>
        <v>1</v>
      </c>
      <c r="N141" s="667"/>
      <c r="O141" s="21">
        <f t="shared" si="31"/>
        <v>1</v>
      </c>
      <c r="P141" s="667"/>
      <c r="Q141" s="21">
        <f t="shared" si="32"/>
        <v>1</v>
      </c>
      <c r="R141" s="663">
        <f t="shared" si="33"/>
        <v>0</v>
      </c>
      <c r="S141" s="316">
        <f t="shared" si="34"/>
        <v>0</v>
      </c>
    </row>
    <row r="142" spans="1:19">
      <c r="A142" s="665">
        <f>面积明细表!C121</f>
        <v>0</v>
      </c>
      <c r="B142" s="54"/>
      <c r="C142" s="21">
        <f t="shared" si="25"/>
        <v>1</v>
      </c>
      <c r="D142" s="667"/>
      <c r="E142" s="21">
        <f t="shared" si="26"/>
        <v>1</v>
      </c>
      <c r="F142" s="667"/>
      <c r="G142" s="21">
        <f t="shared" si="27"/>
        <v>1</v>
      </c>
      <c r="H142" s="667"/>
      <c r="I142" s="21">
        <f t="shared" si="28"/>
        <v>1</v>
      </c>
      <c r="J142" s="667"/>
      <c r="K142" s="21">
        <f t="shared" si="29"/>
        <v>1</v>
      </c>
      <c r="L142" s="667"/>
      <c r="M142" s="21">
        <f t="shared" si="30"/>
        <v>1</v>
      </c>
      <c r="N142" s="667"/>
      <c r="O142" s="21">
        <f t="shared" si="31"/>
        <v>1</v>
      </c>
      <c r="P142" s="667"/>
      <c r="Q142" s="21">
        <f t="shared" si="32"/>
        <v>1</v>
      </c>
      <c r="R142" s="663">
        <f t="shared" si="33"/>
        <v>0</v>
      </c>
      <c r="S142" s="316">
        <f t="shared" si="34"/>
        <v>0</v>
      </c>
    </row>
    <row r="143" spans="1:19">
      <c r="A143" s="665">
        <f>面积明细表!C122</f>
        <v>0</v>
      </c>
      <c r="B143" s="54"/>
      <c r="C143" s="21">
        <f t="shared" si="25"/>
        <v>1</v>
      </c>
      <c r="D143" s="667"/>
      <c r="E143" s="21">
        <f t="shared" si="26"/>
        <v>1</v>
      </c>
      <c r="F143" s="667"/>
      <c r="G143" s="21">
        <f t="shared" si="27"/>
        <v>1</v>
      </c>
      <c r="H143" s="667"/>
      <c r="I143" s="21">
        <f t="shared" si="28"/>
        <v>1</v>
      </c>
      <c r="J143" s="667"/>
      <c r="K143" s="21">
        <f t="shared" si="29"/>
        <v>1</v>
      </c>
      <c r="L143" s="667"/>
      <c r="M143" s="21">
        <f t="shared" si="30"/>
        <v>1</v>
      </c>
      <c r="N143" s="667"/>
      <c r="O143" s="21">
        <f t="shared" si="31"/>
        <v>1</v>
      </c>
      <c r="P143" s="667"/>
      <c r="Q143" s="21">
        <f t="shared" si="32"/>
        <v>1</v>
      </c>
      <c r="R143" s="663">
        <f t="shared" si="33"/>
        <v>0</v>
      </c>
      <c r="S143" s="316">
        <f t="shared" si="34"/>
        <v>0</v>
      </c>
    </row>
    <row r="144" spans="1:19">
      <c r="A144" s="665">
        <f>面积明细表!C123</f>
        <v>0</v>
      </c>
      <c r="B144" s="54"/>
      <c r="C144" s="21">
        <f t="shared" si="25"/>
        <v>1</v>
      </c>
      <c r="D144" s="667"/>
      <c r="E144" s="21">
        <f t="shared" si="26"/>
        <v>1</v>
      </c>
      <c r="F144" s="667"/>
      <c r="G144" s="21">
        <f t="shared" si="27"/>
        <v>1</v>
      </c>
      <c r="H144" s="667"/>
      <c r="I144" s="21">
        <f t="shared" si="28"/>
        <v>1</v>
      </c>
      <c r="J144" s="667"/>
      <c r="K144" s="21">
        <f t="shared" si="29"/>
        <v>1</v>
      </c>
      <c r="L144" s="667"/>
      <c r="M144" s="21">
        <f t="shared" si="30"/>
        <v>1</v>
      </c>
      <c r="N144" s="667"/>
      <c r="O144" s="21">
        <f t="shared" si="31"/>
        <v>1</v>
      </c>
      <c r="P144" s="667"/>
      <c r="Q144" s="21">
        <f t="shared" si="32"/>
        <v>1</v>
      </c>
      <c r="R144" s="663">
        <f t="shared" si="33"/>
        <v>0</v>
      </c>
      <c r="S144" s="316">
        <f t="shared" si="34"/>
        <v>0</v>
      </c>
    </row>
    <row r="145" spans="1:19">
      <c r="A145" s="665">
        <f>面积明细表!C124</f>
        <v>0</v>
      </c>
      <c r="B145" s="54"/>
      <c r="C145" s="21">
        <f t="shared" si="25"/>
        <v>1</v>
      </c>
      <c r="D145" s="667"/>
      <c r="E145" s="21">
        <f t="shared" si="26"/>
        <v>1</v>
      </c>
      <c r="F145" s="667"/>
      <c r="G145" s="21">
        <f t="shared" si="27"/>
        <v>1</v>
      </c>
      <c r="H145" s="667"/>
      <c r="I145" s="21">
        <f t="shared" si="28"/>
        <v>1</v>
      </c>
      <c r="J145" s="667"/>
      <c r="K145" s="21">
        <f t="shared" si="29"/>
        <v>1</v>
      </c>
      <c r="L145" s="667"/>
      <c r="M145" s="21">
        <f t="shared" si="30"/>
        <v>1</v>
      </c>
      <c r="N145" s="667"/>
      <c r="O145" s="21">
        <f t="shared" si="31"/>
        <v>1</v>
      </c>
      <c r="P145" s="667"/>
      <c r="Q145" s="21">
        <f t="shared" si="32"/>
        <v>1</v>
      </c>
      <c r="R145" s="663">
        <f t="shared" si="33"/>
        <v>0</v>
      </c>
      <c r="S145" s="316">
        <f t="shared" si="34"/>
        <v>0</v>
      </c>
    </row>
    <row r="146" spans="1:19">
      <c r="A146" s="665">
        <f>面积明细表!C125</f>
        <v>0</v>
      </c>
      <c r="B146" s="54"/>
      <c r="C146" s="21">
        <f t="shared" si="25"/>
        <v>1</v>
      </c>
      <c r="D146" s="667"/>
      <c r="E146" s="21">
        <f t="shared" si="26"/>
        <v>1</v>
      </c>
      <c r="F146" s="667"/>
      <c r="G146" s="21">
        <f t="shared" si="27"/>
        <v>1</v>
      </c>
      <c r="H146" s="667"/>
      <c r="I146" s="21">
        <f t="shared" si="28"/>
        <v>1</v>
      </c>
      <c r="J146" s="667"/>
      <c r="K146" s="21">
        <f t="shared" si="29"/>
        <v>1</v>
      </c>
      <c r="L146" s="667"/>
      <c r="M146" s="21">
        <f t="shared" si="30"/>
        <v>1</v>
      </c>
      <c r="N146" s="667"/>
      <c r="O146" s="21">
        <f t="shared" si="31"/>
        <v>1</v>
      </c>
      <c r="P146" s="667"/>
      <c r="Q146" s="21">
        <f t="shared" si="32"/>
        <v>1</v>
      </c>
      <c r="R146" s="663">
        <f t="shared" si="33"/>
        <v>0</v>
      </c>
      <c r="S146" s="316">
        <f t="shared" si="34"/>
        <v>0</v>
      </c>
    </row>
    <row r="147" spans="1:19">
      <c r="A147" s="665">
        <f>面积明细表!C126</f>
        <v>0</v>
      </c>
      <c r="B147" s="54"/>
      <c r="C147" s="21">
        <f t="shared" si="25"/>
        <v>1</v>
      </c>
      <c r="D147" s="667"/>
      <c r="E147" s="21">
        <f t="shared" si="26"/>
        <v>1</v>
      </c>
      <c r="F147" s="667"/>
      <c r="G147" s="21">
        <f t="shared" si="27"/>
        <v>1</v>
      </c>
      <c r="H147" s="667"/>
      <c r="I147" s="21">
        <f t="shared" si="28"/>
        <v>1</v>
      </c>
      <c r="J147" s="667"/>
      <c r="K147" s="21">
        <f t="shared" si="29"/>
        <v>1</v>
      </c>
      <c r="L147" s="667"/>
      <c r="M147" s="21">
        <f t="shared" si="30"/>
        <v>1</v>
      </c>
      <c r="N147" s="667"/>
      <c r="O147" s="21">
        <f t="shared" si="31"/>
        <v>1</v>
      </c>
      <c r="P147" s="667"/>
      <c r="Q147" s="21">
        <f t="shared" si="32"/>
        <v>1</v>
      </c>
      <c r="R147" s="663">
        <f t="shared" si="33"/>
        <v>0</v>
      </c>
      <c r="S147" s="316">
        <f t="shared" si="34"/>
        <v>0</v>
      </c>
    </row>
    <row r="148" spans="1:19">
      <c r="A148" s="665">
        <f>面积明细表!C127</f>
        <v>0</v>
      </c>
      <c r="B148" s="54"/>
      <c r="C148" s="21">
        <f t="shared" si="25"/>
        <v>1</v>
      </c>
      <c r="D148" s="667"/>
      <c r="E148" s="21">
        <f t="shared" si="26"/>
        <v>1</v>
      </c>
      <c r="F148" s="667"/>
      <c r="G148" s="21">
        <f t="shared" si="27"/>
        <v>1</v>
      </c>
      <c r="H148" s="667"/>
      <c r="I148" s="21">
        <f t="shared" si="28"/>
        <v>1</v>
      </c>
      <c r="J148" s="667"/>
      <c r="K148" s="21">
        <f t="shared" si="29"/>
        <v>1</v>
      </c>
      <c r="L148" s="667"/>
      <c r="M148" s="21">
        <f t="shared" si="30"/>
        <v>1</v>
      </c>
      <c r="N148" s="667"/>
      <c r="O148" s="21">
        <f t="shared" si="31"/>
        <v>1</v>
      </c>
      <c r="P148" s="667"/>
      <c r="Q148" s="21">
        <f t="shared" si="32"/>
        <v>1</v>
      </c>
      <c r="R148" s="663">
        <f t="shared" si="33"/>
        <v>0</v>
      </c>
      <c r="S148" s="316">
        <f t="shared" si="34"/>
        <v>0</v>
      </c>
    </row>
    <row r="149" spans="1:19">
      <c r="A149" s="665">
        <f>面积明细表!C128</f>
        <v>0</v>
      </c>
      <c r="B149" s="54"/>
      <c r="C149" s="21">
        <f t="shared" si="25"/>
        <v>1</v>
      </c>
      <c r="D149" s="667"/>
      <c r="E149" s="21">
        <f t="shared" si="26"/>
        <v>1</v>
      </c>
      <c r="F149" s="667"/>
      <c r="G149" s="21">
        <f t="shared" si="27"/>
        <v>1</v>
      </c>
      <c r="H149" s="667"/>
      <c r="I149" s="21">
        <f t="shared" si="28"/>
        <v>1</v>
      </c>
      <c r="J149" s="667"/>
      <c r="K149" s="21">
        <f t="shared" si="29"/>
        <v>1</v>
      </c>
      <c r="L149" s="667"/>
      <c r="M149" s="21">
        <f t="shared" si="30"/>
        <v>1</v>
      </c>
      <c r="N149" s="667"/>
      <c r="O149" s="21">
        <f t="shared" si="31"/>
        <v>1</v>
      </c>
      <c r="P149" s="667"/>
      <c r="Q149" s="21">
        <f t="shared" si="32"/>
        <v>1</v>
      </c>
      <c r="R149" s="663">
        <f t="shared" si="33"/>
        <v>0</v>
      </c>
      <c r="S149" s="316">
        <f t="shared" si="34"/>
        <v>0</v>
      </c>
    </row>
    <row r="150" spans="1:19">
      <c r="A150" s="665">
        <f>面积明细表!C129</f>
        <v>0</v>
      </c>
      <c r="B150" s="54"/>
      <c r="C150" s="21">
        <f t="shared" si="25"/>
        <v>1</v>
      </c>
      <c r="D150" s="667"/>
      <c r="E150" s="21">
        <f t="shared" si="26"/>
        <v>1</v>
      </c>
      <c r="F150" s="667"/>
      <c r="G150" s="21">
        <f t="shared" si="27"/>
        <v>1</v>
      </c>
      <c r="H150" s="667"/>
      <c r="I150" s="21">
        <f t="shared" si="28"/>
        <v>1</v>
      </c>
      <c r="J150" s="667"/>
      <c r="K150" s="21">
        <f t="shared" si="29"/>
        <v>1</v>
      </c>
      <c r="L150" s="667"/>
      <c r="M150" s="21">
        <f t="shared" si="30"/>
        <v>1</v>
      </c>
      <c r="N150" s="667"/>
      <c r="O150" s="21">
        <f t="shared" si="31"/>
        <v>1</v>
      </c>
      <c r="P150" s="667"/>
      <c r="Q150" s="21">
        <f t="shared" si="32"/>
        <v>1</v>
      </c>
      <c r="R150" s="663">
        <f t="shared" si="33"/>
        <v>0</v>
      </c>
      <c r="S150" s="316">
        <f t="shared" si="34"/>
        <v>0</v>
      </c>
    </row>
    <row r="151" spans="1:19">
      <c r="A151" s="665">
        <f>面积明细表!C130</f>
        <v>0</v>
      </c>
      <c r="B151" s="54"/>
      <c r="C151" s="21">
        <f t="shared" si="25"/>
        <v>1</v>
      </c>
      <c r="D151" s="667"/>
      <c r="E151" s="21">
        <f t="shared" si="26"/>
        <v>1</v>
      </c>
      <c r="F151" s="667"/>
      <c r="G151" s="21">
        <f t="shared" si="27"/>
        <v>1</v>
      </c>
      <c r="H151" s="667"/>
      <c r="I151" s="21">
        <f t="shared" si="28"/>
        <v>1</v>
      </c>
      <c r="J151" s="667"/>
      <c r="K151" s="21">
        <f t="shared" si="29"/>
        <v>1</v>
      </c>
      <c r="L151" s="667"/>
      <c r="M151" s="21">
        <f t="shared" si="30"/>
        <v>1</v>
      </c>
      <c r="N151" s="667"/>
      <c r="O151" s="21">
        <f t="shared" si="31"/>
        <v>1</v>
      </c>
      <c r="P151" s="667"/>
      <c r="Q151" s="21">
        <f t="shared" si="32"/>
        <v>1</v>
      </c>
      <c r="R151" s="663">
        <f t="shared" si="33"/>
        <v>0</v>
      </c>
      <c r="S151" s="316">
        <f t="shared" si="34"/>
        <v>0</v>
      </c>
    </row>
    <row r="152" spans="1:19">
      <c r="A152" s="665">
        <f>面积明细表!C131</f>
        <v>0</v>
      </c>
      <c r="B152" s="54"/>
      <c r="C152" s="21">
        <f t="shared" si="25"/>
        <v>1</v>
      </c>
      <c r="D152" s="667"/>
      <c r="E152" s="21">
        <f t="shared" si="26"/>
        <v>1</v>
      </c>
      <c r="F152" s="667"/>
      <c r="G152" s="21">
        <f t="shared" si="27"/>
        <v>1</v>
      </c>
      <c r="H152" s="667"/>
      <c r="I152" s="21">
        <f t="shared" si="28"/>
        <v>1</v>
      </c>
      <c r="J152" s="667"/>
      <c r="K152" s="21">
        <f t="shared" si="29"/>
        <v>1</v>
      </c>
      <c r="L152" s="667"/>
      <c r="M152" s="21">
        <f t="shared" si="30"/>
        <v>1</v>
      </c>
      <c r="N152" s="667"/>
      <c r="O152" s="21">
        <f t="shared" si="31"/>
        <v>1</v>
      </c>
      <c r="P152" s="667"/>
      <c r="Q152" s="21">
        <f t="shared" si="32"/>
        <v>1</v>
      </c>
      <c r="R152" s="663">
        <f t="shared" si="33"/>
        <v>0</v>
      </c>
      <c r="S152" s="316">
        <f t="shared" si="34"/>
        <v>0</v>
      </c>
    </row>
    <row r="153" spans="1:19">
      <c r="A153" s="665">
        <f>面积明细表!C132</f>
        <v>0</v>
      </c>
      <c r="B153" s="54"/>
      <c r="C153" s="21">
        <f t="shared" si="25"/>
        <v>1</v>
      </c>
      <c r="D153" s="667"/>
      <c r="E153" s="21">
        <f t="shared" si="26"/>
        <v>1</v>
      </c>
      <c r="F153" s="667"/>
      <c r="G153" s="21">
        <f t="shared" si="27"/>
        <v>1</v>
      </c>
      <c r="H153" s="667"/>
      <c r="I153" s="21">
        <f t="shared" si="28"/>
        <v>1</v>
      </c>
      <c r="J153" s="667"/>
      <c r="K153" s="21">
        <f t="shared" si="29"/>
        <v>1</v>
      </c>
      <c r="L153" s="667"/>
      <c r="M153" s="21">
        <f t="shared" si="30"/>
        <v>1</v>
      </c>
      <c r="N153" s="667"/>
      <c r="O153" s="21">
        <f t="shared" si="31"/>
        <v>1</v>
      </c>
      <c r="P153" s="667"/>
      <c r="Q153" s="21">
        <f t="shared" si="32"/>
        <v>1</v>
      </c>
      <c r="R153" s="663">
        <f t="shared" si="33"/>
        <v>0</v>
      </c>
      <c r="S153" s="316">
        <f t="shared" si="34"/>
        <v>0</v>
      </c>
    </row>
    <row r="154" spans="1:19">
      <c r="A154" s="665">
        <f>面积明细表!C133</f>
        <v>0</v>
      </c>
      <c r="B154" s="54"/>
      <c r="C154" s="21">
        <f t="shared" ref="C154:C217" si="35">IF(B154="",1,(LOOKUP(B154,$3:$3,$4:$4)-LOOKUP($B$24,$3:$3,$4:$4)+100)/100)</f>
        <v>1</v>
      </c>
      <c r="D154" s="667"/>
      <c r="E154" s="21">
        <f t="shared" ref="E154:E217" si="36">(SUMIF($5:$5,D154,$6:$6)-SUMIF($5:$5,$D$24,$6:$6)+100)/100</f>
        <v>1</v>
      </c>
      <c r="F154" s="667"/>
      <c r="G154" s="21">
        <f t="shared" ref="G154:G217" si="37">(SUMIF($7:$7,F154,$8:$8)-SUMIF($7:$7,$F$24,$8:$8)+100)/100</f>
        <v>1</v>
      </c>
      <c r="H154" s="667"/>
      <c r="I154" s="21">
        <f t="shared" ref="I154:I217" si="38">(SUMIF($9:$9,H154,$10:$10)-SUMIF($9:$9,$H$24,$10:$10)+100)/100</f>
        <v>1</v>
      </c>
      <c r="J154" s="667"/>
      <c r="K154" s="21">
        <f t="shared" ref="K154:K217" si="39">(SUMIF($11:$11,J154,$12:$12)-SUMIF($11:$11,$J$24,$12:$12)+100)/100</f>
        <v>1</v>
      </c>
      <c r="L154" s="667"/>
      <c r="M154" s="21">
        <f t="shared" ref="M154:M217" si="40">(SUMIF($13:$13,L154,$14:$14)-SUMIF($13:$13,$L$24,$14:$14)+100)/100</f>
        <v>1</v>
      </c>
      <c r="N154" s="667"/>
      <c r="O154" s="21">
        <f t="shared" ref="O154:O217" si="41">(SUMIF($15:$15,N154,$16:$16)-SUMIF($15:$15,$N$24,$16:$16)+100)/100</f>
        <v>1</v>
      </c>
      <c r="P154" s="667"/>
      <c r="Q154" s="21">
        <f t="shared" ref="Q154:Q217" si="42">(SUMIF($17:$17,P154,$18:$18)-SUMIF($17:$17,$P$24,$18:$18)+100)/100</f>
        <v>1</v>
      </c>
      <c r="R154" s="663">
        <f t="shared" ref="R154:R217" si="43">IF(B154="",0,ROUND($R$24*C154*E154*G154*I154*K154*M154*O154*Q154,0))</f>
        <v>0</v>
      </c>
      <c r="S154" s="316">
        <f t="shared" si="34"/>
        <v>0</v>
      </c>
    </row>
    <row r="155" spans="1:19">
      <c r="A155" s="665">
        <f>面积明细表!C134</f>
        <v>0</v>
      </c>
      <c r="B155" s="54"/>
      <c r="C155" s="21">
        <f t="shared" si="35"/>
        <v>1</v>
      </c>
      <c r="D155" s="667"/>
      <c r="E155" s="21">
        <f t="shared" si="36"/>
        <v>1</v>
      </c>
      <c r="F155" s="667"/>
      <c r="G155" s="21">
        <f t="shared" si="37"/>
        <v>1</v>
      </c>
      <c r="H155" s="667"/>
      <c r="I155" s="21">
        <f t="shared" si="38"/>
        <v>1</v>
      </c>
      <c r="J155" s="667"/>
      <c r="K155" s="21">
        <f t="shared" si="39"/>
        <v>1</v>
      </c>
      <c r="L155" s="667"/>
      <c r="M155" s="21">
        <f t="shared" si="40"/>
        <v>1</v>
      </c>
      <c r="N155" s="667"/>
      <c r="O155" s="21">
        <f t="shared" si="41"/>
        <v>1</v>
      </c>
      <c r="P155" s="667"/>
      <c r="Q155" s="21">
        <f t="shared" si="42"/>
        <v>1</v>
      </c>
      <c r="R155" s="663">
        <f t="shared" si="43"/>
        <v>0</v>
      </c>
      <c r="S155" s="316">
        <f t="shared" si="34"/>
        <v>0</v>
      </c>
    </row>
    <row r="156" spans="1:19">
      <c r="A156" s="665">
        <f>面积明细表!C135</f>
        <v>0</v>
      </c>
      <c r="B156" s="54"/>
      <c r="C156" s="21">
        <f t="shared" si="35"/>
        <v>1</v>
      </c>
      <c r="D156" s="667"/>
      <c r="E156" s="21">
        <f t="shared" si="36"/>
        <v>1</v>
      </c>
      <c r="F156" s="667"/>
      <c r="G156" s="21">
        <f t="shared" si="37"/>
        <v>1</v>
      </c>
      <c r="H156" s="667"/>
      <c r="I156" s="21">
        <f t="shared" si="38"/>
        <v>1</v>
      </c>
      <c r="J156" s="667"/>
      <c r="K156" s="21">
        <f t="shared" si="39"/>
        <v>1</v>
      </c>
      <c r="L156" s="667"/>
      <c r="M156" s="21">
        <f t="shared" si="40"/>
        <v>1</v>
      </c>
      <c r="N156" s="667"/>
      <c r="O156" s="21">
        <f t="shared" si="41"/>
        <v>1</v>
      </c>
      <c r="P156" s="667"/>
      <c r="Q156" s="21">
        <f t="shared" si="42"/>
        <v>1</v>
      </c>
      <c r="R156" s="663">
        <f t="shared" si="43"/>
        <v>0</v>
      </c>
      <c r="S156" s="316">
        <f t="shared" si="34"/>
        <v>0</v>
      </c>
    </row>
    <row r="157" spans="1:19">
      <c r="A157" s="665">
        <f>面积明细表!C136</f>
        <v>0</v>
      </c>
      <c r="B157" s="54"/>
      <c r="C157" s="21">
        <f t="shared" si="35"/>
        <v>1</v>
      </c>
      <c r="D157" s="667"/>
      <c r="E157" s="21">
        <f t="shared" si="36"/>
        <v>1</v>
      </c>
      <c r="F157" s="667"/>
      <c r="G157" s="21">
        <f t="shared" si="37"/>
        <v>1</v>
      </c>
      <c r="H157" s="667"/>
      <c r="I157" s="21">
        <f t="shared" si="38"/>
        <v>1</v>
      </c>
      <c r="J157" s="667"/>
      <c r="K157" s="21">
        <f t="shared" si="39"/>
        <v>1</v>
      </c>
      <c r="L157" s="667"/>
      <c r="M157" s="21">
        <f t="shared" si="40"/>
        <v>1</v>
      </c>
      <c r="N157" s="667"/>
      <c r="O157" s="21">
        <f t="shared" si="41"/>
        <v>1</v>
      </c>
      <c r="P157" s="667"/>
      <c r="Q157" s="21">
        <f t="shared" si="42"/>
        <v>1</v>
      </c>
      <c r="R157" s="663">
        <f t="shared" si="43"/>
        <v>0</v>
      </c>
      <c r="S157" s="316">
        <f t="shared" si="34"/>
        <v>0</v>
      </c>
    </row>
    <row r="158" spans="1:19">
      <c r="A158" s="665">
        <f>面积明细表!C137</f>
        <v>0</v>
      </c>
      <c r="B158" s="54"/>
      <c r="C158" s="21">
        <f t="shared" si="35"/>
        <v>1</v>
      </c>
      <c r="D158" s="667"/>
      <c r="E158" s="21">
        <f t="shared" si="36"/>
        <v>1</v>
      </c>
      <c r="F158" s="667"/>
      <c r="G158" s="21">
        <f t="shared" si="37"/>
        <v>1</v>
      </c>
      <c r="H158" s="667"/>
      <c r="I158" s="21">
        <f t="shared" si="38"/>
        <v>1</v>
      </c>
      <c r="J158" s="667"/>
      <c r="K158" s="21">
        <f t="shared" si="39"/>
        <v>1</v>
      </c>
      <c r="L158" s="667"/>
      <c r="M158" s="21">
        <f t="shared" si="40"/>
        <v>1</v>
      </c>
      <c r="N158" s="667"/>
      <c r="O158" s="21">
        <f t="shared" si="41"/>
        <v>1</v>
      </c>
      <c r="P158" s="667"/>
      <c r="Q158" s="21">
        <f t="shared" si="42"/>
        <v>1</v>
      </c>
      <c r="R158" s="663">
        <f t="shared" si="43"/>
        <v>0</v>
      </c>
      <c r="S158" s="316">
        <f t="shared" si="34"/>
        <v>0</v>
      </c>
    </row>
    <row r="159" spans="1:19">
      <c r="A159" s="665">
        <f>面积明细表!C138</f>
        <v>0</v>
      </c>
      <c r="B159" s="54"/>
      <c r="C159" s="21">
        <f t="shared" si="35"/>
        <v>1</v>
      </c>
      <c r="D159" s="667"/>
      <c r="E159" s="21">
        <f t="shared" si="36"/>
        <v>1</v>
      </c>
      <c r="F159" s="667"/>
      <c r="G159" s="21">
        <f t="shared" si="37"/>
        <v>1</v>
      </c>
      <c r="H159" s="667"/>
      <c r="I159" s="21">
        <f t="shared" si="38"/>
        <v>1</v>
      </c>
      <c r="J159" s="667"/>
      <c r="K159" s="21">
        <f t="shared" si="39"/>
        <v>1</v>
      </c>
      <c r="L159" s="667"/>
      <c r="M159" s="21">
        <f t="shared" si="40"/>
        <v>1</v>
      </c>
      <c r="N159" s="667"/>
      <c r="O159" s="21">
        <f t="shared" si="41"/>
        <v>1</v>
      </c>
      <c r="P159" s="667"/>
      <c r="Q159" s="21">
        <f t="shared" si="42"/>
        <v>1</v>
      </c>
      <c r="R159" s="663">
        <f t="shared" si="43"/>
        <v>0</v>
      </c>
      <c r="S159" s="316">
        <f t="shared" si="34"/>
        <v>0</v>
      </c>
    </row>
    <row r="160" spans="1:19">
      <c r="A160" s="665">
        <f>面积明细表!C139</f>
        <v>0</v>
      </c>
      <c r="B160" s="54"/>
      <c r="C160" s="21">
        <f t="shared" si="35"/>
        <v>1</v>
      </c>
      <c r="D160" s="667"/>
      <c r="E160" s="21">
        <f t="shared" si="36"/>
        <v>1</v>
      </c>
      <c r="F160" s="667"/>
      <c r="G160" s="21">
        <f t="shared" si="37"/>
        <v>1</v>
      </c>
      <c r="H160" s="667"/>
      <c r="I160" s="21">
        <f t="shared" si="38"/>
        <v>1</v>
      </c>
      <c r="J160" s="667"/>
      <c r="K160" s="21">
        <f t="shared" si="39"/>
        <v>1</v>
      </c>
      <c r="L160" s="667"/>
      <c r="M160" s="21">
        <f t="shared" si="40"/>
        <v>1</v>
      </c>
      <c r="N160" s="667"/>
      <c r="O160" s="21">
        <f t="shared" si="41"/>
        <v>1</v>
      </c>
      <c r="P160" s="667"/>
      <c r="Q160" s="21">
        <f t="shared" si="42"/>
        <v>1</v>
      </c>
      <c r="R160" s="663">
        <f t="shared" si="43"/>
        <v>0</v>
      </c>
      <c r="S160" s="316">
        <f t="shared" si="34"/>
        <v>0</v>
      </c>
    </row>
    <row r="161" spans="1:19">
      <c r="A161" s="665">
        <f>面积明细表!C140</f>
        <v>0</v>
      </c>
      <c r="B161" s="54"/>
      <c r="C161" s="21">
        <f t="shared" si="35"/>
        <v>1</v>
      </c>
      <c r="D161" s="667"/>
      <c r="E161" s="21">
        <f t="shared" si="36"/>
        <v>1</v>
      </c>
      <c r="F161" s="667"/>
      <c r="G161" s="21">
        <f t="shared" si="37"/>
        <v>1</v>
      </c>
      <c r="H161" s="667"/>
      <c r="I161" s="21">
        <f t="shared" si="38"/>
        <v>1</v>
      </c>
      <c r="J161" s="667"/>
      <c r="K161" s="21">
        <f t="shared" si="39"/>
        <v>1</v>
      </c>
      <c r="L161" s="667"/>
      <c r="M161" s="21">
        <f t="shared" si="40"/>
        <v>1</v>
      </c>
      <c r="N161" s="667"/>
      <c r="O161" s="21">
        <f t="shared" si="41"/>
        <v>1</v>
      </c>
      <c r="P161" s="667"/>
      <c r="Q161" s="21">
        <f t="shared" si="42"/>
        <v>1</v>
      </c>
      <c r="R161" s="663">
        <f t="shared" si="43"/>
        <v>0</v>
      </c>
      <c r="S161" s="316">
        <f t="shared" si="34"/>
        <v>0</v>
      </c>
    </row>
    <row r="162" spans="1:19">
      <c r="A162" s="665">
        <f>面积明细表!C141</f>
        <v>0</v>
      </c>
      <c r="B162" s="54"/>
      <c r="C162" s="21">
        <f t="shared" si="35"/>
        <v>1</v>
      </c>
      <c r="D162" s="667"/>
      <c r="E162" s="21">
        <f t="shared" si="36"/>
        <v>1</v>
      </c>
      <c r="F162" s="667"/>
      <c r="G162" s="21">
        <f t="shared" si="37"/>
        <v>1</v>
      </c>
      <c r="H162" s="667"/>
      <c r="I162" s="21">
        <f t="shared" si="38"/>
        <v>1</v>
      </c>
      <c r="J162" s="667"/>
      <c r="K162" s="21">
        <f t="shared" si="39"/>
        <v>1</v>
      </c>
      <c r="L162" s="667"/>
      <c r="M162" s="21">
        <f t="shared" si="40"/>
        <v>1</v>
      </c>
      <c r="N162" s="667"/>
      <c r="O162" s="21">
        <f t="shared" si="41"/>
        <v>1</v>
      </c>
      <c r="P162" s="667"/>
      <c r="Q162" s="21">
        <f t="shared" si="42"/>
        <v>1</v>
      </c>
      <c r="R162" s="663">
        <f t="shared" si="43"/>
        <v>0</v>
      </c>
      <c r="S162" s="316">
        <f t="shared" si="34"/>
        <v>0</v>
      </c>
    </row>
    <row r="163" spans="1:19">
      <c r="A163" s="665">
        <f>面积明细表!C142</f>
        <v>0</v>
      </c>
      <c r="B163" s="54"/>
      <c r="C163" s="21">
        <f t="shared" si="35"/>
        <v>1</v>
      </c>
      <c r="D163" s="667"/>
      <c r="E163" s="21">
        <f t="shared" si="36"/>
        <v>1</v>
      </c>
      <c r="F163" s="667"/>
      <c r="G163" s="21">
        <f t="shared" si="37"/>
        <v>1</v>
      </c>
      <c r="H163" s="667"/>
      <c r="I163" s="21">
        <f t="shared" si="38"/>
        <v>1</v>
      </c>
      <c r="J163" s="667"/>
      <c r="K163" s="21">
        <f t="shared" si="39"/>
        <v>1</v>
      </c>
      <c r="L163" s="667"/>
      <c r="M163" s="21">
        <f t="shared" si="40"/>
        <v>1</v>
      </c>
      <c r="N163" s="667"/>
      <c r="O163" s="21">
        <f t="shared" si="41"/>
        <v>1</v>
      </c>
      <c r="P163" s="667"/>
      <c r="Q163" s="21">
        <f t="shared" si="42"/>
        <v>1</v>
      </c>
      <c r="R163" s="663">
        <f t="shared" si="43"/>
        <v>0</v>
      </c>
      <c r="S163" s="316">
        <f t="shared" si="34"/>
        <v>0</v>
      </c>
    </row>
    <row r="164" spans="1:19">
      <c r="A164" s="665">
        <f>面积明细表!C143</f>
        <v>0</v>
      </c>
      <c r="B164" s="54"/>
      <c r="C164" s="21">
        <f t="shared" si="35"/>
        <v>1</v>
      </c>
      <c r="D164" s="667"/>
      <c r="E164" s="21">
        <f t="shared" si="36"/>
        <v>1</v>
      </c>
      <c r="F164" s="667"/>
      <c r="G164" s="21">
        <f t="shared" si="37"/>
        <v>1</v>
      </c>
      <c r="H164" s="667"/>
      <c r="I164" s="21">
        <f t="shared" si="38"/>
        <v>1</v>
      </c>
      <c r="J164" s="667"/>
      <c r="K164" s="21">
        <f t="shared" si="39"/>
        <v>1</v>
      </c>
      <c r="L164" s="667"/>
      <c r="M164" s="21">
        <f t="shared" si="40"/>
        <v>1</v>
      </c>
      <c r="N164" s="667"/>
      <c r="O164" s="21">
        <f t="shared" si="41"/>
        <v>1</v>
      </c>
      <c r="P164" s="667"/>
      <c r="Q164" s="21">
        <f t="shared" si="42"/>
        <v>1</v>
      </c>
      <c r="R164" s="663">
        <f t="shared" si="43"/>
        <v>0</v>
      </c>
      <c r="S164" s="316">
        <f t="shared" si="34"/>
        <v>0</v>
      </c>
    </row>
    <row r="165" spans="1:19">
      <c r="A165" s="665">
        <f>面积明细表!C144</f>
        <v>0</v>
      </c>
      <c r="B165" s="54"/>
      <c r="C165" s="21">
        <f t="shared" si="35"/>
        <v>1</v>
      </c>
      <c r="D165" s="667"/>
      <c r="E165" s="21">
        <f t="shared" si="36"/>
        <v>1</v>
      </c>
      <c r="F165" s="667"/>
      <c r="G165" s="21">
        <f t="shared" si="37"/>
        <v>1</v>
      </c>
      <c r="H165" s="667"/>
      <c r="I165" s="21">
        <f t="shared" si="38"/>
        <v>1</v>
      </c>
      <c r="J165" s="667"/>
      <c r="K165" s="21">
        <f t="shared" si="39"/>
        <v>1</v>
      </c>
      <c r="L165" s="667"/>
      <c r="M165" s="21">
        <f t="shared" si="40"/>
        <v>1</v>
      </c>
      <c r="N165" s="667"/>
      <c r="O165" s="21">
        <f t="shared" si="41"/>
        <v>1</v>
      </c>
      <c r="P165" s="667"/>
      <c r="Q165" s="21">
        <f t="shared" si="42"/>
        <v>1</v>
      </c>
      <c r="R165" s="663">
        <f t="shared" si="43"/>
        <v>0</v>
      </c>
      <c r="S165" s="316">
        <f t="shared" si="34"/>
        <v>0</v>
      </c>
    </row>
    <row r="166" spans="1:19">
      <c r="A166" s="665">
        <f>面积明细表!C145</f>
        <v>0</v>
      </c>
      <c r="B166" s="54"/>
      <c r="C166" s="21">
        <f t="shared" si="35"/>
        <v>1</v>
      </c>
      <c r="D166" s="667"/>
      <c r="E166" s="21">
        <f t="shared" si="36"/>
        <v>1</v>
      </c>
      <c r="F166" s="667"/>
      <c r="G166" s="21">
        <f t="shared" si="37"/>
        <v>1</v>
      </c>
      <c r="H166" s="667"/>
      <c r="I166" s="21">
        <f t="shared" si="38"/>
        <v>1</v>
      </c>
      <c r="J166" s="667"/>
      <c r="K166" s="21">
        <f t="shared" si="39"/>
        <v>1</v>
      </c>
      <c r="L166" s="667"/>
      <c r="M166" s="21">
        <f t="shared" si="40"/>
        <v>1</v>
      </c>
      <c r="N166" s="667"/>
      <c r="O166" s="21">
        <f t="shared" si="41"/>
        <v>1</v>
      </c>
      <c r="P166" s="667"/>
      <c r="Q166" s="21">
        <f t="shared" si="42"/>
        <v>1</v>
      </c>
      <c r="R166" s="663">
        <f t="shared" si="43"/>
        <v>0</v>
      </c>
      <c r="S166" s="316">
        <f t="shared" si="34"/>
        <v>0</v>
      </c>
    </row>
    <row r="167" spans="1:19">
      <c r="A167" s="665">
        <f>面积明细表!C146</f>
        <v>0</v>
      </c>
      <c r="B167" s="54"/>
      <c r="C167" s="21">
        <f t="shared" si="35"/>
        <v>1</v>
      </c>
      <c r="D167" s="667"/>
      <c r="E167" s="21">
        <f t="shared" si="36"/>
        <v>1</v>
      </c>
      <c r="F167" s="667"/>
      <c r="G167" s="21">
        <f t="shared" si="37"/>
        <v>1</v>
      </c>
      <c r="H167" s="667"/>
      <c r="I167" s="21">
        <f t="shared" si="38"/>
        <v>1</v>
      </c>
      <c r="J167" s="667"/>
      <c r="K167" s="21">
        <f t="shared" si="39"/>
        <v>1</v>
      </c>
      <c r="L167" s="667"/>
      <c r="M167" s="21">
        <f t="shared" si="40"/>
        <v>1</v>
      </c>
      <c r="N167" s="667"/>
      <c r="O167" s="21">
        <f t="shared" si="41"/>
        <v>1</v>
      </c>
      <c r="P167" s="667"/>
      <c r="Q167" s="21">
        <f t="shared" si="42"/>
        <v>1</v>
      </c>
      <c r="R167" s="663">
        <f t="shared" si="43"/>
        <v>0</v>
      </c>
      <c r="S167" s="316">
        <f t="shared" si="34"/>
        <v>0</v>
      </c>
    </row>
    <row r="168" spans="1:19">
      <c r="A168" s="665">
        <f>面积明细表!C147</f>
        <v>0</v>
      </c>
      <c r="B168" s="54"/>
      <c r="C168" s="21">
        <f t="shared" si="35"/>
        <v>1</v>
      </c>
      <c r="D168" s="667"/>
      <c r="E168" s="21">
        <f t="shared" si="36"/>
        <v>1</v>
      </c>
      <c r="F168" s="667"/>
      <c r="G168" s="21">
        <f t="shared" si="37"/>
        <v>1</v>
      </c>
      <c r="H168" s="667"/>
      <c r="I168" s="21">
        <f t="shared" si="38"/>
        <v>1</v>
      </c>
      <c r="J168" s="667"/>
      <c r="K168" s="21">
        <f t="shared" si="39"/>
        <v>1</v>
      </c>
      <c r="L168" s="667"/>
      <c r="M168" s="21">
        <f t="shared" si="40"/>
        <v>1</v>
      </c>
      <c r="N168" s="667"/>
      <c r="O168" s="21">
        <f t="shared" si="41"/>
        <v>1</v>
      </c>
      <c r="P168" s="667"/>
      <c r="Q168" s="21">
        <f t="shared" si="42"/>
        <v>1</v>
      </c>
      <c r="R168" s="663">
        <f t="shared" si="43"/>
        <v>0</v>
      </c>
      <c r="S168" s="316">
        <f t="shared" si="34"/>
        <v>0</v>
      </c>
    </row>
    <row r="169" spans="1:19">
      <c r="A169" s="665">
        <f>面积明细表!C148</f>
        <v>0</v>
      </c>
      <c r="B169" s="54"/>
      <c r="C169" s="21">
        <f t="shared" si="35"/>
        <v>1</v>
      </c>
      <c r="D169" s="667"/>
      <c r="E169" s="21">
        <f t="shared" si="36"/>
        <v>1</v>
      </c>
      <c r="F169" s="667"/>
      <c r="G169" s="21">
        <f t="shared" si="37"/>
        <v>1</v>
      </c>
      <c r="H169" s="667"/>
      <c r="I169" s="21">
        <f t="shared" si="38"/>
        <v>1</v>
      </c>
      <c r="J169" s="667"/>
      <c r="K169" s="21">
        <f t="shared" si="39"/>
        <v>1</v>
      </c>
      <c r="L169" s="667"/>
      <c r="M169" s="21">
        <f t="shared" si="40"/>
        <v>1</v>
      </c>
      <c r="N169" s="667"/>
      <c r="O169" s="21">
        <f t="shared" si="41"/>
        <v>1</v>
      </c>
      <c r="P169" s="667"/>
      <c r="Q169" s="21">
        <f t="shared" si="42"/>
        <v>1</v>
      </c>
      <c r="R169" s="663">
        <f t="shared" si="43"/>
        <v>0</v>
      </c>
      <c r="S169" s="316">
        <f t="shared" si="34"/>
        <v>0</v>
      </c>
    </row>
    <row r="170" spans="1:19">
      <c r="A170" s="665">
        <f>面积明细表!C149</f>
        <v>0</v>
      </c>
      <c r="B170" s="54"/>
      <c r="C170" s="21">
        <f t="shared" si="35"/>
        <v>1</v>
      </c>
      <c r="D170" s="667"/>
      <c r="E170" s="21">
        <f t="shared" si="36"/>
        <v>1</v>
      </c>
      <c r="F170" s="667"/>
      <c r="G170" s="21">
        <f t="shared" si="37"/>
        <v>1</v>
      </c>
      <c r="H170" s="667"/>
      <c r="I170" s="21">
        <f t="shared" si="38"/>
        <v>1</v>
      </c>
      <c r="J170" s="667"/>
      <c r="K170" s="21">
        <f t="shared" si="39"/>
        <v>1</v>
      </c>
      <c r="L170" s="667"/>
      <c r="M170" s="21">
        <f t="shared" si="40"/>
        <v>1</v>
      </c>
      <c r="N170" s="667"/>
      <c r="O170" s="21">
        <f t="shared" si="41"/>
        <v>1</v>
      </c>
      <c r="P170" s="667"/>
      <c r="Q170" s="21">
        <f t="shared" si="42"/>
        <v>1</v>
      </c>
      <c r="R170" s="663">
        <f t="shared" si="43"/>
        <v>0</v>
      </c>
      <c r="S170" s="316">
        <f t="shared" si="34"/>
        <v>0</v>
      </c>
    </row>
    <row r="171" spans="1:19">
      <c r="A171" s="665">
        <f>面积明细表!C150</f>
        <v>0</v>
      </c>
      <c r="B171" s="54"/>
      <c r="C171" s="21">
        <f t="shared" si="35"/>
        <v>1</v>
      </c>
      <c r="D171" s="667"/>
      <c r="E171" s="21">
        <f t="shared" si="36"/>
        <v>1</v>
      </c>
      <c r="F171" s="667"/>
      <c r="G171" s="21">
        <f t="shared" si="37"/>
        <v>1</v>
      </c>
      <c r="H171" s="667"/>
      <c r="I171" s="21">
        <f t="shared" si="38"/>
        <v>1</v>
      </c>
      <c r="J171" s="667"/>
      <c r="K171" s="21">
        <f t="shared" si="39"/>
        <v>1</v>
      </c>
      <c r="L171" s="667"/>
      <c r="M171" s="21">
        <f t="shared" si="40"/>
        <v>1</v>
      </c>
      <c r="N171" s="667"/>
      <c r="O171" s="21">
        <f t="shared" si="41"/>
        <v>1</v>
      </c>
      <c r="P171" s="667"/>
      <c r="Q171" s="21">
        <f t="shared" si="42"/>
        <v>1</v>
      </c>
      <c r="R171" s="663">
        <f t="shared" si="43"/>
        <v>0</v>
      </c>
      <c r="S171" s="316">
        <f t="shared" si="34"/>
        <v>0</v>
      </c>
    </row>
    <row r="172" spans="1:19">
      <c r="A172" s="665">
        <f>面积明细表!C151</f>
        <v>0</v>
      </c>
      <c r="B172" s="54"/>
      <c r="C172" s="21">
        <f t="shared" si="35"/>
        <v>1</v>
      </c>
      <c r="D172" s="667"/>
      <c r="E172" s="21">
        <f t="shared" si="36"/>
        <v>1</v>
      </c>
      <c r="F172" s="667"/>
      <c r="G172" s="21">
        <f t="shared" si="37"/>
        <v>1</v>
      </c>
      <c r="H172" s="667"/>
      <c r="I172" s="21">
        <f t="shared" si="38"/>
        <v>1</v>
      </c>
      <c r="J172" s="667"/>
      <c r="K172" s="21">
        <f t="shared" si="39"/>
        <v>1</v>
      </c>
      <c r="L172" s="667"/>
      <c r="M172" s="21">
        <f t="shared" si="40"/>
        <v>1</v>
      </c>
      <c r="N172" s="667"/>
      <c r="O172" s="21">
        <f t="shared" si="41"/>
        <v>1</v>
      </c>
      <c r="P172" s="667"/>
      <c r="Q172" s="21">
        <f t="shared" si="42"/>
        <v>1</v>
      </c>
      <c r="R172" s="663">
        <f t="shared" si="43"/>
        <v>0</v>
      </c>
      <c r="S172" s="316">
        <f t="shared" si="34"/>
        <v>0</v>
      </c>
    </row>
    <row r="173" spans="1:19">
      <c r="A173" s="665">
        <f>面积明细表!C152</f>
        <v>0</v>
      </c>
      <c r="B173" s="54"/>
      <c r="C173" s="21">
        <f t="shared" si="35"/>
        <v>1</v>
      </c>
      <c r="D173" s="667"/>
      <c r="E173" s="21">
        <f t="shared" si="36"/>
        <v>1</v>
      </c>
      <c r="F173" s="667"/>
      <c r="G173" s="21">
        <f t="shared" si="37"/>
        <v>1</v>
      </c>
      <c r="H173" s="667"/>
      <c r="I173" s="21">
        <f t="shared" si="38"/>
        <v>1</v>
      </c>
      <c r="J173" s="667"/>
      <c r="K173" s="21">
        <f t="shared" si="39"/>
        <v>1</v>
      </c>
      <c r="L173" s="667"/>
      <c r="M173" s="21">
        <f t="shared" si="40"/>
        <v>1</v>
      </c>
      <c r="N173" s="667"/>
      <c r="O173" s="21">
        <f t="shared" si="41"/>
        <v>1</v>
      </c>
      <c r="P173" s="667"/>
      <c r="Q173" s="21">
        <f t="shared" si="42"/>
        <v>1</v>
      </c>
      <c r="R173" s="663">
        <f t="shared" si="43"/>
        <v>0</v>
      </c>
      <c r="S173" s="316">
        <f t="shared" si="34"/>
        <v>0</v>
      </c>
    </row>
    <row r="174" spans="1:19">
      <c r="A174" s="665">
        <f>面积明细表!C153</f>
        <v>0</v>
      </c>
      <c r="B174" s="54"/>
      <c r="C174" s="21">
        <f t="shared" si="35"/>
        <v>1</v>
      </c>
      <c r="D174" s="667"/>
      <c r="E174" s="21">
        <f t="shared" si="36"/>
        <v>1</v>
      </c>
      <c r="F174" s="667"/>
      <c r="G174" s="21">
        <f t="shared" si="37"/>
        <v>1</v>
      </c>
      <c r="H174" s="667"/>
      <c r="I174" s="21">
        <f t="shared" si="38"/>
        <v>1</v>
      </c>
      <c r="J174" s="667"/>
      <c r="K174" s="21">
        <f t="shared" si="39"/>
        <v>1</v>
      </c>
      <c r="L174" s="667"/>
      <c r="M174" s="21">
        <f t="shared" si="40"/>
        <v>1</v>
      </c>
      <c r="N174" s="667"/>
      <c r="O174" s="21">
        <f t="shared" si="41"/>
        <v>1</v>
      </c>
      <c r="P174" s="667"/>
      <c r="Q174" s="21">
        <f t="shared" si="42"/>
        <v>1</v>
      </c>
      <c r="R174" s="663">
        <f t="shared" si="43"/>
        <v>0</v>
      </c>
      <c r="S174" s="316">
        <f t="shared" si="34"/>
        <v>0</v>
      </c>
    </row>
    <row r="175" spans="1:19">
      <c r="A175" s="665">
        <f>面积明细表!C154</f>
        <v>0</v>
      </c>
      <c r="B175" s="54"/>
      <c r="C175" s="21">
        <f t="shared" si="35"/>
        <v>1</v>
      </c>
      <c r="D175" s="667"/>
      <c r="E175" s="21">
        <f t="shared" si="36"/>
        <v>1</v>
      </c>
      <c r="F175" s="667"/>
      <c r="G175" s="21">
        <f t="shared" si="37"/>
        <v>1</v>
      </c>
      <c r="H175" s="667"/>
      <c r="I175" s="21">
        <f t="shared" si="38"/>
        <v>1</v>
      </c>
      <c r="J175" s="667"/>
      <c r="K175" s="21">
        <f t="shared" si="39"/>
        <v>1</v>
      </c>
      <c r="L175" s="667"/>
      <c r="M175" s="21">
        <f t="shared" si="40"/>
        <v>1</v>
      </c>
      <c r="N175" s="667"/>
      <c r="O175" s="21">
        <f t="shared" si="41"/>
        <v>1</v>
      </c>
      <c r="P175" s="667"/>
      <c r="Q175" s="21">
        <f t="shared" si="42"/>
        <v>1</v>
      </c>
      <c r="R175" s="663">
        <f t="shared" si="43"/>
        <v>0</v>
      </c>
      <c r="S175" s="316">
        <f t="shared" si="34"/>
        <v>0</v>
      </c>
    </row>
    <row r="176" spans="1:19">
      <c r="A176" s="665">
        <f>面积明细表!C155</f>
        <v>0</v>
      </c>
      <c r="B176" s="54"/>
      <c r="C176" s="21">
        <f t="shared" si="35"/>
        <v>1</v>
      </c>
      <c r="D176" s="667"/>
      <c r="E176" s="21">
        <f t="shared" si="36"/>
        <v>1</v>
      </c>
      <c r="F176" s="667"/>
      <c r="G176" s="21">
        <f t="shared" si="37"/>
        <v>1</v>
      </c>
      <c r="H176" s="667"/>
      <c r="I176" s="21">
        <f t="shared" si="38"/>
        <v>1</v>
      </c>
      <c r="J176" s="667"/>
      <c r="K176" s="21">
        <f t="shared" si="39"/>
        <v>1</v>
      </c>
      <c r="L176" s="667"/>
      <c r="M176" s="21">
        <f t="shared" si="40"/>
        <v>1</v>
      </c>
      <c r="N176" s="667"/>
      <c r="O176" s="21">
        <f t="shared" si="41"/>
        <v>1</v>
      </c>
      <c r="P176" s="667"/>
      <c r="Q176" s="21">
        <f t="shared" si="42"/>
        <v>1</v>
      </c>
      <c r="R176" s="663">
        <f t="shared" si="43"/>
        <v>0</v>
      </c>
      <c r="S176" s="316">
        <f t="shared" si="34"/>
        <v>0</v>
      </c>
    </row>
    <row r="177" spans="1:19">
      <c r="A177" s="665">
        <f>面积明细表!C156</f>
        <v>0</v>
      </c>
      <c r="B177" s="54"/>
      <c r="C177" s="21">
        <f t="shared" si="35"/>
        <v>1</v>
      </c>
      <c r="D177" s="667"/>
      <c r="E177" s="21">
        <f t="shared" si="36"/>
        <v>1</v>
      </c>
      <c r="F177" s="667"/>
      <c r="G177" s="21">
        <f t="shared" si="37"/>
        <v>1</v>
      </c>
      <c r="H177" s="667"/>
      <c r="I177" s="21">
        <f t="shared" si="38"/>
        <v>1</v>
      </c>
      <c r="J177" s="667"/>
      <c r="K177" s="21">
        <f t="shared" si="39"/>
        <v>1</v>
      </c>
      <c r="L177" s="667"/>
      <c r="M177" s="21">
        <f t="shared" si="40"/>
        <v>1</v>
      </c>
      <c r="N177" s="667"/>
      <c r="O177" s="21">
        <f t="shared" si="41"/>
        <v>1</v>
      </c>
      <c r="P177" s="667"/>
      <c r="Q177" s="21">
        <f t="shared" si="42"/>
        <v>1</v>
      </c>
      <c r="R177" s="663">
        <f t="shared" si="43"/>
        <v>0</v>
      </c>
      <c r="S177" s="316">
        <f t="shared" si="34"/>
        <v>0</v>
      </c>
    </row>
    <row r="178" spans="1:19">
      <c r="A178" s="665">
        <f>面积明细表!C157</f>
        <v>0</v>
      </c>
      <c r="B178" s="54"/>
      <c r="C178" s="21">
        <f t="shared" si="35"/>
        <v>1</v>
      </c>
      <c r="D178" s="667"/>
      <c r="E178" s="21">
        <f t="shared" si="36"/>
        <v>1</v>
      </c>
      <c r="F178" s="667"/>
      <c r="G178" s="21">
        <f t="shared" si="37"/>
        <v>1</v>
      </c>
      <c r="H178" s="667"/>
      <c r="I178" s="21">
        <f t="shared" si="38"/>
        <v>1</v>
      </c>
      <c r="J178" s="667"/>
      <c r="K178" s="21">
        <f t="shared" si="39"/>
        <v>1</v>
      </c>
      <c r="L178" s="667"/>
      <c r="M178" s="21">
        <f t="shared" si="40"/>
        <v>1</v>
      </c>
      <c r="N178" s="667"/>
      <c r="O178" s="21">
        <f t="shared" si="41"/>
        <v>1</v>
      </c>
      <c r="P178" s="667"/>
      <c r="Q178" s="21">
        <f t="shared" si="42"/>
        <v>1</v>
      </c>
      <c r="R178" s="663">
        <f t="shared" si="43"/>
        <v>0</v>
      </c>
      <c r="S178" s="316">
        <f t="shared" si="34"/>
        <v>0</v>
      </c>
    </row>
    <row r="179" spans="1:19">
      <c r="A179" s="665">
        <f>面积明细表!C158</f>
        <v>0</v>
      </c>
      <c r="B179" s="54"/>
      <c r="C179" s="21">
        <f t="shared" si="35"/>
        <v>1</v>
      </c>
      <c r="D179" s="667"/>
      <c r="E179" s="21">
        <f t="shared" si="36"/>
        <v>1</v>
      </c>
      <c r="F179" s="667"/>
      <c r="G179" s="21">
        <f t="shared" si="37"/>
        <v>1</v>
      </c>
      <c r="H179" s="667"/>
      <c r="I179" s="21">
        <f t="shared" si="38"/>
        <v>1</v>
      </c>
      <c r="J179" s="667"/>
      <c r="K179" s="21">
        <f t="shared" si="39"/>
        <v>1</v>
      </c>
      <c r="L179" s="667"/>
      <c r="M179" s="21">
        <f t="shared" si="40"/>
        <v>1</v>
      </c>
      <c r="N179" s="667"/>
      <c r="O179" s="21">
        <f t="shared" si="41"/>
        <v>1</v>
      </c>
      <c r="P179" s="667"/>
      <c r="Q179" s="21">
        <f t="shared" si="42"/>
        <v>1</v>
      </c>
      <c r="R179" s="663">
        <f t="shared" si="43"/>
        <v>0</v>
      </c>
      <c r="S179" s="316">
        <f t="shared" si="34"/>
        <v>0</v>
      </c>
    </row>
    <row r="180" spans="1:19">
      <c r="A180" s="665">
        <f>面积明细表!C159</f>
        <v>0</v>
      </c>
      <c r="B180" s="54"/>
      <c r="C180" s="21">
        <f t="shared" si="35"/>
        <v>1</v>
      </c>
      <c r="D180" s="667"/>
      <c r="E180" s="21">
        <f t="shared" si="36"/>
        <v>1</v>
      </c>
      <c r="F180" s="667"/>
      <c r="G180" s="21">
        <f t="shared" si="37"/>
        <v>1</v>
      </c>
      <c r="H180" s="667"/>
      <c r="I180" s="21">
        <f t="shared" si="38"/>
        <v>1</v>
      </c>
      <c r="J180" s="667"/>
      <c r="K180" s="21">
        <f t="shared" si="39"/>
        <v>1</v>
      </c>
      <c r="L180" s="667"/>
      <c r="M180" s="21">
        <f t="shared" si="40"/>
        <v>1</v>
      </c>
      <c r="N180" s="667"/>
      <c r="O180" s="21">
        <f t="shared" si="41"/>
        <v>1</v>
      </c>
      <c r="P180" s="667"/>
      <c r="Q180" s="21">
        <f t="shared" si="42"/>
        <v>1</v>
      </c>
      <c r="R180" s="663">
        <f t="shared" si="43"/>
        <v>0</v>
      </c>
      <c r="S180" s="316">
        <f t="shared" si="34"/>
        <v>0</v>
      </c>
    </row>
    <row r="181" spans="1:19">
      <c r="A181" s="665">
        <f>面积明细表!C160</f>
        <v>0</v>
      </c>
      <c r="B181" s="54"/>
      <c r="C181" s="21">
        <f t="shared" si="35"/>
        <v>1</v>
      </c>
      <c r="D181" s="667"/>
      <c r="E181" s="21">
        <f t="shared" si="36"/>
        <v>1</v>
      </c>
      <c r="F181" s="667"/>
      <c r="G181" s="21">
        <f t="shared" si="37"/>
        <v>1</v>
      </c>
      <c r="H181" s="667"/>
      <c r="I181" s="21">
        <f t="shared" si="38"/>
        <v>1</v>
      </c>
      <c r="J181" s="667"/>
      <c r="K181" s="21">
        <f t="shared" si="39"/>
        <v>1</v>
      </c>
      <c r="L181" s="667"/>
      <c r="M181" s="21">
        <f t="shared" si="40"/>
        <v>1</v>
      </c>
      <c r="N181" s="667"/>
      <c r="O181" s="21">
        <f t="shared" si="41"/>
        <v>1</v>
      </c>
      <c r="P181" s="667"/>
      <c r="Q181" s="21">
        <f t="shared" si="42"/>
        <v>1</v>
      </c>
      <c r="R181" s="663">
        <f t="shared" si="43"/>
        <v>0</v>
      </c>
      <c r="S181" s="316">
        <f t="shared" si="34"/>
        <v>0</v>
      </c>
    </row>
    <row r="182" spans="1:19">
      <c r="A182" s="665">
        <f>面积明细表!C161</f>
        <v>0</v>
      </c>
      <c r="B182" s="54"/>
      <c r="C182" s="21">
        <f t="shared" si="35"/>
        <v>1</v>
      </c>
      <c r="D182" s="667"/>
      <c r="E182" s="21">
        <f t="shared" si="36"/>
        <v>1</v>
      </c>
      <c r="F182" s="667"/>
      <c r="G182" s="21">
        <f t="shared" si="37"/>
        <v>1</v>
      </c>
      <c r="H182" s="667"/>
      <c r="I182" s="21">
        <f t="shared" si="38"/>
        <v>1</v>
      </c>
      <c r="J182" s="667"/>
      <c r="K182" s="21">
        <f t="shared" si="39"/>
        <v>1</v>
      </c>
      <c r="L182" s="667"/>
      <c r="M182" s="21">
        <f t="shared" si="40"/>
        <v>1</v>
      </c>
      <c r="N182" s="667"/>
      <c r="O182" s="21">
        <f t="shared" si="41"/>
        <v>1</v>
      </c>
      <c r="P182" s="667"/>
      <c r="Q182" s="21">
        <f t="shared" si="42"/>
        <v>1</v>
      </c>
      <c r="R182" s="663">
        <f t="shared" si="43"/>
        <v>0</v>
      </c>
      <c r="S182" s="316">
        <f t="shared" si="34"/>
        <v>0</v>
      </c>
    </row>
    <row r="183" spans="1:19">
      <c r="A183" s="665">
        <f>面积明细表!C162</f>
        <v>0</v>
      </c>
      <c r="B183" s="54"/>
      <c r="C183" s="21">
        <f t="shared" si="35"/>
        <v>1</v>
      </c>
      <c r="D183" s="667"/>
      <c r="E183" s="21">
        <f t="shared" si="36"/>
        <v>1</v>
      </c>
      <c r="F183" s="667"/>
      <c r="G183" s="21">
        <f t="shared" si="37"/>
        <v>1</v>
      </c>
      <c r="H183" s="667"/>
      <c r="I183" s="21">
        <f t="shared" si="38"/>
        <v>1</v>
      </c>
      <c r="J183" s="667"/>
      <c r="K183" s="21">
        <f t="shared" si="39"/>
        <v>1</v>
      </c>
      <c r="L183" s="667"/>
      <c r="M183" s="21">
        <f t="shared" si="40"/>
        <v>1</v>
      </c>
      <c r="N183" s="667"/>
      <c r="O183" s="21">
        <f t="shared" si="41"/>
        <v>1</v>
      </c>
      <c r="P183" s="667"/>
      <c r="Q183" s="21">
        <f t="shared" si="42"/>
        <v>1</v>
      </c>
      <c r="R183" s="663">
        <f t="shared" si="43"/>
        <v>0</v>
      </c>
      <c r="S183" s="316">
        <f t="shared" si="34"/>
        <v>0</v>
      </c>
    </row>
    <row r="184" spans="1:19">
      <c r="A184" s="665">
        <f>面积明细表!C163</f>
        <v>0</v>
      </c>
      <c r="B184" s="54"/>
      <c r="C184" s="21">
        <f t="shared" si="35"/>
        <v>1</v>
      </c>
      <c r="D184" s="667"/>
      <c r="E184" s="21">
        <f t="shared" si="36"/>
        <v>1</v>
      </c>
      <c r="F184" s="667"/>
      <c r="G184" s="21">
        <f t="shared" si="37"/>
        <v>1</v>
      </c>
      <c r="H184" s="667"/>
      <c r="I184" s="21">
        <f t="shared" si="38"/>
        <v>1</v>
      </c>
      <c r="J184" s="667"/>
      <c r="K184" s="21">
        <f t="shared" si="39"/>
        <v>1</v>
      </c>
      <c r="L184" s="667"/>
      <c r="M184" s="21">
        <f t="shared" si="40"/>
        <v>1</v>
      </c>
      <c r="N184" s="667"/>
      <c r="O184" s="21">
        <f t="shared" si="41"/>
        <v>1</v>
      </c>
      <c r="P184" s="667"/>
      <c r="Q184" s="21">
        <f t="shared" si="42"/>
        <v>1</v>
      </c>
      <c r="R184" s="663">
        <f t="shared" si="43"/>
        <v>0</v>
      </c>
      <c r="S184" s="316">
        <f t="shared" si="34"/>
        <v>0</v>
      </c>
    </row>
    <row r="185" spans="1:19">
      <c r="A185" s="665">
        <f>面积明细表!C164</f>
        <v>0</v>
      </c>
      <c r="B185" s="54"/>
      <c r="C185" s="21">
        <f t="shared" si="35"/>
        <v>1</v>
      </c>
      <c r="D185" s="667"/>
      <c r="E185" s="21">
        <f t="shared" si="36"/>
        <v>1</v>
      </c>
      <c r="F185" s="667"/>
      <c r="G185" s="21">
        <f t="shared" si="37"/>
        <v>1</v>
      </c>
      <c r="H185" s="667"/>
      <c r="I185" s="21">
        <f t="shared" si="38"/>
        <v>1</v>
      </c>
      <c r="J185" s="667"/>
      <c r="K185" s="21">
        <f t="shared" si="39"/>
        <v>1</v>
      </c>
      <c r="L185" s="667"/>
      <c r="M185" s="21">
        <f t="shared" si="40"/>
        <v>1</v>
      </c>
      <c r="N185" s="667"/>
      <c r="O185" s="21">
        <f t="shared" si="41"/>
        <v>1</v>
      </c>
      <c r="P185" s="667"/>
      <c r="Q185" s="21">
        <f t="shared" si="42"/>
        <v>1</v>
      </c>
      <c r="R185" s="663">
        <f t="shared" si="43"/>
        <v>0</v>
      </c>
      <c r="S185" s="316">
        <f t="shared" si="34"/>
        <v>0</v>
      </c>
    </row>
    <row r="186" spans="1:19">
      <c r="A186" s="665">
        <f>面积明细表!C165</f>
        <v>0</v>
      </c>
      <c r="B186" s="54"/>
      <c r="C186" s="21">
        <f t="shared" si="35"/>
        <v>1</v>
      </c>
      <c r="D186" s="667"/>
      <c r="E186" s="21">
        <f t="shared" si="36"/>
        <v>1</v>
      </c>
      <c r="F186" s="667"/>
      <c r="G186" s="21">
        <f t="shared" si="37"/>
        <v>1</v>
      </c>
      <c r="H186" s="667"/>
      <c r="I186" s="21">
        <f t="shared" si="38"/>
        <v>1</v>
      </c>
      <c r="J186" s="667"/>
      <c r="K186" s="21">
        <f t="shared" si="39"/>
        <v>1</v>
      </c>
      <c r="L186" s="667"/>
      <c r="M186" s="21">
        <f t="shared" si="40"/>
        <v>1</v>
      </c>
      <c r="N186" s="667"/>
      <c r="O186" s="21">
        <f t="shared" si="41"/>
        <v>1</v>
      </c>
      <c r="P186" s="667"/>
      <c r="Q186" s="21">
        <f t="shared" si="42"/>
        <v>1</v>
      </c>
      <c r="R186" s="663">
        <f t="shared" si="43"/>
        <v>0</v>
      </c>
      <c r="S186" s="316">
        <f t="shared" si="34"/>
        <v>0</v>
      </c>
    </row>
    <row r="187" spans="1:19">
      <c r="A187" s="665">
        <f>面积明细表!C166</f>
        <v>0</v>
      </c>
      <c r="B187" s="54"/>
      <c r="C187" s="21">
        <f t="shared" si="35"/>
        <v>1</v>
      </c>
      <c r="D187" s="667"/>
      <c r="E187" s="21">
        <f t="shared" si="36"/>
        <v>1</v>
      </c>
      <c r="F187" s="667"/>
      <c r="G187" s="21">
        <f t="shared" si="37"/>
        <v>1</v>
      </c>
      <c r="H187" s="667"/>
      <c r="I187" s="21">
        <f t="shared" si="38"/>
        <v>1</v>
      </c>
      <c r="J187" s="667"/>
      <c r="K187" s="21">
        <f t="shared" si="39"/>
        <v>1</v>
      </c>
      <c r="L187" s="667"/>
      <c r="M187" s="21">
        <f t="shared" si="40"/>
        <v>1</v>
      </c>
      <c r="N187" s="667"/>
      <c r="O187" s="21">
        <f t="shared" si="41"/>
        <v>1</v>
      </c>
      <c r="P187" s="667"/>
      <c r="Q187" s="21">
        <f t="shared" si="42"/>
        <v>1</v>
      </c>
      <c r="R187" s="663">
        <f t="shared" si="43"/>
        <v>0</v>
      </c>
      <c r="S187" s="316">
        <f t="shared" ref="S187:S222" si="44">ROUND(R187*B187/10000,0)</f>
        <v>0</v>
      </c>
    </row>
    <row r="188" spans="1:19">
      <c r="A188" s="665">
        <f>面积明细表!C167</f>
        <v>0</v>
      </c>
      <c r="B188" s="54"/>
      <c r="C188" s="21">
        <f t="shared" si="35"/>
        <v>1</v>
      </c>
      <c r="D188" s="667"/>
      <c r="E188" s="21">
        <f t="shared" si="36"/>
        <v>1</v>
      </c>
      <c r="F188" s="667"/>
      <c r="G188" s="21">
        <f t="shared" si="37"/>
        <v>1</v>
      </c>
      <c r="H188" s="667"/>
      <c r="I188" s="21">
        <f t="shared" si="38"/>
        <v>1</v>
      </c>
      <c r="J188" s="667"/>
      <c r="K188" s="21">
        <f t="shared" si="39"/>
        <v>1</v>
      </c>
      <c r="L188" s="667"/>
      <c r="M188" s="21">
        <f t="shared" si="40"/>
        <v>1</v>
      </c>
      <c r="N188" s="667"/>
      <c r="O188" s="21">
        <f t="shared" si="41"/>
        <v>1</v>
      </c>
      <c r="P188" s="667"/>
      <c r="Q188" s="21">
        <f t="shared" si="42"/>
        <v>1</v>
      </c>
      <c r="R188" s="663">
        <f t="shared" si="43"/>
        <v>0</v>
      </c>
      <c r="S188" s="316">
        <f t="shared" si="44"/>
        <v>0</v>
      </c>
    </row>
    <row r="189" spans="1:19">
      <c r="A189" s="665">
        <f>面积明细表!C168</f>
        <v>0</v>
      </c>
      <c r="B189" s="54"/>
      <c r="C189" s="21">
        <f t="shared" si="35"/>
        <v>1</v>
      </c>
      <c r="D189" s="667"/>
      <c r="E189" s="21">
        <f t="shared" si="36"/>
        <v>1</v>
      </c>
      <c r="F189" s="667"/>
      <c r="G189" s="21">
        <f t="shared" si="37"/>
        <v>1</v>
      </c>
      <c r="H189" s="667"/>
      <c r="I189" s="21">
        <f t="shared" si="38"/>
        <v>1</v>
      </c>
      <c r="J189" s="667"/>
      <c r="K189" s="21">
        <f t="shared" si="39"/>
        <v>1</v>
      </c>
      <c r="L189" s="667"/>
      <c r="M189" s="21">
        <f t="shared" si="40"/>
        <v>1</v>
      </c>
      <c r="N189" s="667"/>
      <c r="O189" s="21">
        <f t="shared" si="41"/>
        <v>1</v>
      </c>
      <c r="P189" s="667"/>
      <c r="Q189" s="21">
        <f t="shared" si="42"/>
        <v>1</v>
      </c>
      <c r="R189" s="663">
        <f t="shared" si="43"/>
        <v>0</v>
      </c>
      <c r="S189" s="316">
        <f t="shared" si="44"/>
        <v>0</v>
      </c>
    </row>
    <row r="190" spans="1:19">
      <c r="A190" s="665">
        <f>面积明细表!C169</f>
        <v>0</v>
      </c>
      <c r="B190" s="54"/>
      <c r="C190" s="21">
        <f t="shared" si="35"/>
        <v>1</v>
      </c>
      <c r="D190" s="667"/>
      <c r="E190" s="21">
        <f t="shared" si="36"/>
        <v>1</v>
      </c>
      <c r="F190" s="667"/>
      <c r="G190" s="21">
        <f t="shared" si="37"/>
        <v>1</v>
      </c>
      <c r="H190" s="667"/>
      <c r="I190" s="21">
        <f t="shared" si="38"/>
        <v>1</v>
      </c>
      <c r="J190" s="667"/>
      <c r="K190" s="21">
        <f t="shared" si="39"/>
        <v>1</v>
      </c>
      <c r="L190" s="667"/>
      <c r="M190" s="21">
        <f t="shared" si="40"/>
        <v>1</v>
      </c>
      <c r="N190" s="667"/>
      <c r="O190" s="21">
        <f t="shared" si="41"/>
        <v>1</v>
      </c>
      <c r="P190" s="667"/>
      <c r="Q190" s="21">
        <f t="shared" si="42"/>
        <v>1</v>
      </c>
      <c r="R190" s="663">
        <f t="shared" si="43"/>
        <v>0</v>
      </c>
      <c r="S190" s="316">
        <f t="shared" si="44"/>
        <v>0</v>
      </c>
    </row>
    <row r="191" spans="1:19">
      <c r="A191" s="665">
        <f>面积明细表!C170</f>
        <v>0</v>
      </c>
      <c r="B191" s="54"/>
      <c r="C191" s="21">
        <f t="shared" si="35"/>
        <v>1</v>
      </c>
      <c r="D191" s="667"/>
      <c r="E191" s="21">
        <f t="shared" si="36"/>
        <v>1</v>
      </c>
      <c r="F191" s="667"/>
      <c r="G191" s="21">
        <f t="shared" si="37"/>
        <v>1</v>
      </c>
      <c r="H191" s="667"/>
      <c r="I191" s="21">
        <f t="shared" si="38"/>
        <v>1</v>
      </c>
      <c r="J191" s="667"/>
      <c r="K191" s="21">
        <f t="shared" si="39"/>
        <v>1</v>
      </c>
      <c r="L191" s="667"/>
      <c r="M191" s="21">
        <f t="shared" si="40"/>
        <v>1</v>
      </c>
      <c r="N191" s="667"/>
      <c r="O191" s="21">
        <f t="shared" si="41"/>
        <v>1</v>
      </c>
      <c r="P191" s="667"/>
      <c r="Q191" s="21">
        <f t="shared" si="42"/>
        <v>1</v>
      </c>
      <c r="R191" s="663">
        <f t="shared" si="43"/>
        <v>0</v>
      </c>
      <c r="S191" s="316">
        <f t="shared" si="44"/>
        <v>0</v>
      </c>
    </row>
    <row r="192" spans="1:19">
      <c r="A192" s="665">
        <f>面积明细表!C171</f>
        <v>0</v>
      </c>
      <c r="B192" s="54"/>
      <c r="C192" s="21">
        <f t="shared" si="35"/>
        <v>1</v>
      </c>
      <c r="D192" s="667"/>
      <c r="E192" s="21">
        <f t="shared" si="36"/>
        <v>1</v>
      </c>
      <c r="F192" s="667"/>
      <c r="G192" s="21">
        <f t="shared" si="37"/>
        <v>1</v>
      </c>
      <c r="H192" s="667"/>
      <c r="I192" s="21">
        <f t="shared" si="38"/>
        <v>1</v>
      </c>
      <c r="J192" s="667"/>
      <c r="K192" s="21">
        <f t="shared" si="39"/>
        <v>1</v>
      </c>
      <c r="L192" s="667"/>
      <c r="M192" s="21">
        <f t="shared" si="40"/>
        <v>1</v>
      </c>
      <c r="N192" s="667"/>
      <c r="O192" s="21">
        <f t="shared" si="41"/>
        <v>1</v>
      </c>
      <c r="P192" s="667"/>
      <c r="Q192" s="21">
        <f t="shared" si="42"/>
        <v>1</v>
      </c>
      <c r="R192" s="663">
        <f t="shared" si="43"/>
        <v>0</v>
      </c>
      <c r="S192" s="316">
        <f t="shared" si="44"/>
        <v>0</v>
      </c>
    </row>
    <row r="193" spans="1:19">
      <c r="A193" s="665">
        <f>面积明细表!C172</f>
        <v>0</v>
      </c>
      <c r="B193" s="54"/>
      <c r="C193" s="21">
        <f t="shared" si="35"/>
        <v>1</v>
      </c>
      <c r="D193" s="667"/>
      <c r="E193" s="21">
        <f t="shared" si="36"/>
        <v>1</v>
      </c>
      <c r="F193" s="667"/>
      <c r="G193" s="21">
        <f t="shared" si="37"/>
        <v>1</v>
      </c>
      <c r="H193" s="667"/>
      <c r="I193" s="21">
        <f t="shared" si="38"/>
        <v>1</v>
      </c>
      <c r="J193" s="667"/>
      <c r="K193" s="21">
        <f t="shared" si="39"/>
        <v>1</v>
      </c>
      <c r="L193" s="667"/>
      <c r="M193" s="21">
        <f t="shared" si="40"/>
        <v>1</v>
      </c>
      <c r="N193" s="667"/>
      <c r="O193" s="21">
        <f t="shared" si="41"/>
        <v>1</v>
      </c>
      <c r="P193" s="667"/>
      <c r="Q193" s="21">
        <f t="shared" si="42"/>
        <v>1</v>
      </c>
      <c r="R193" s="663">
        <f t="shared" si="43"/>
        <v>0</v>
      </c>
      <c r="S193" s="316">
        <f t="shared" si="44"/>
        <v>0</v>
      </c>
    </row>
    <row r="194" spans="1:19">
      <c r="A194" s="665">
        <f>面积明细表!C173</f>
        <v>0</v>
      </c>
      <c r="B194" s="54"/>
      <c r="C194" s="21">
        <f t="shared" si="35"/>
        <v>1</v>
      </c>
      <c r="D194" s="667"/>
      <c r="E194" s="21">
        <f t="shared" si="36"/>
        <v>1</v>
      </c>
      <c r="F194" s="667"/>
      <c r="G194" s="21">
        <f t="shared" si="37"/>
        <v>1</v>
      </c>
      <c r="H194" s="667"/>
      <c r="I194" s="21">
        <f t="shared" si="38"/>
        <v>1</v>
      </c>
      <c r="J194" s="667"/>
      <c r="K194" s="21">
        <f t="shared" si="39"/>
        <v>1</v>
      </c>
      <c r="L194" s="667"/>
      <c r="M194" s="21">
        <f t="shared" si="40"/>
        <v>1</v>
      </c>
      <c r="N194" s="667"/>
      <c r="O194" s="21">
        <f t="shared" si="41"/>
        <v>1</v>
      </c>
      <c r="P194" s="667"/>
      <c r="Q194" s="21">
        <f t="shared" si="42"/>
        <v>1</v>
      </c>
      <c r="R194" s="663">
        <f t="shared" si="43"/>
        <v>0</v>
      </c>
      <c r="S194" s="316">
        <f t="shared" si="44"/>
        <v>0</v>
      </c>
    </row>
    <row r="195" spans="1:19">
      <c r="A195" s="665">
        <f>面积明细表!C174</f>
        <v>0</v>
      </c>
      <c r="B195" s="54"/>
      <c r="C195" s="21">
        <f t="shared" si="35"/>
        <v>1</v>
      </c>
      <c r="D195" s="667"/>
      <c r="E195" s="21">
        <f t="shared" si="36"/>
        <v>1</v>
      </c>
      <c r="F195" s="667"/>
      <c r="G195" s="21">
        <f t="shared" si="37"/>
        <v>1</v>
      </c>
      <c r="H195" s="667"/>
      <c r="I195" s="21">
        <f t="shared" si="38"/>
        <v>1</v>
      </c>
      <c r="J195" s="667"/>
      <c r="K195" s="21">
        <f t="shared" si="39"/>
        <v>1</v>
      </c>
      <c r="L195" s="667"/>
      <c r="M195" s="21">
        <f t="shared" si="40"/>
        <v>1</v>
      </c>
      <c r="N195" s="667"/>
      <c r="O195" s="21">
        <f t="shared" si="41"/>
        <v>1</v>
      </c>
      <c r="P195" s="667"/>
      <c r="Q195" s="21">
        <f t="shared" si="42"/>
        <v>1</v>
      </c>
      <c r="R195" s="663">
        <f t="shared" si="43"/>
        <v>0</v>
      </c>
      <c r="S195" s="316">
        <f t="shared" si="44"/>
        <v>0</v>
      </c>
    </row>
    <row r="196" spans="1:19">
      <c r="A196" s="665">
        <f>面积明细表!C175</f>
        <v>0</v>
      </c>
      <c r="B196" s="54"/>
      <c r="C196" s="21">
        <f t="shared" si="35"/>
        <v>1</v>
      </c>
      <c r="D196" s="667"/>
      <c r="E196" s="21">
        <f t="shared" si="36"/>
        <v>1</v>
      </c>
      <c r="F196" s="667"/>
      <c r="G196" s="21">
        <f t="shared" si="37"/>
        <v>1</v>
      </c>
      <c r="H196" s="667"/>
      <c r="I196" s="21">
        <f t="shared" si="38"/>
        <v>1</v>
      </c>
      <c r="J196" s="667"/>
      <c r="K196" s="21">
        <f t="shared" si="39"/>
        <v>1</v>
      </c>
      <c r="L196" s="667"/>
      <c r="M196" s="21">
        <f t="shared" si="40"/>
        <v>1</v>
      </c>
      <c r="N196" s="667"/>
      <c r="O196" s="21">
        <f t="shared" si="41"/>
        <v>1</v>
      </c>
      <c r="P196" s="667"/>
      <c r="Q196" s="21">
        <f t="shared" si="42"/>
        <v>1</v>
      </c>
      <c r="R196" s="663">
        <f t="shared" si="43"/>
        <v>0</v>
      </c>
      <c r="S196" s="316">
        <f t="shared" si="44"/>
        <v>0</v>
      </c>
    </row>
    <row r="197" spans="1:19">
      <c r="A197" s="665">
        <f>面积明细表!C176</f>
        <v>0</v>
      </c>
      <c r="B197" s="54"/>
      <c r="C197" s="21">
        <f t="shared" si="35"/>
        <v>1</v>
      </c>
      <c r="D197" s="667"/>
      <c r="E197" s="21">
        <f t="shared" si="36"/>
        <v>1</v>
      </c>
      <c r="F197" s="667"/>
      <c r="G197" s="21">
        <f t="shared" si="37"/>
        <v>1</v>
      </c>
      <c r="H197" s="667"/>
      <c r="I197" s="21">
        <f t="shared" si="38"/>
        <v>1</v>
      </c>
      <c r="J197" s="667"/>
      <c r="K197" s="21">
        <f t="shared" si="39"/>
        <v>1</v>
      </c>
      <c r="L197" s="667"/>
      <c r="M197" s="21">
        <f t="shared" si="40"/>
        <v>1</v>
      </c>
      <c r="N197" s="667"/>
      <c r="O197" s="21">
        <f t="shared" si="41"/>
        <v>1</v>
      </c>
      <c r="P197" s="667"/>
      <c r="Q197" s="21">
        <f t="shared" si="42"/>
        <v>1</v>
      </c>
      <c r="R197" s="663">
        <f t="shared" si="43"/>
        <v>0</v>
      </c>
      <c r="S197" s="316">
        <f t="shared" si="44"/>
        <v>0</v>
      </c>
    </row>
    <row r="198" spans="1:19">
      <c r="A198" s="665">
        <f>面积明细表!C177</f>
        <v>0</v>
      </c>
      <c r="B198" s="54"/>
      <c r="C198" s="21">
        <f t="shared" si="35"/>
        <v>1</v>
      </c>
      <c r="D198" s="667"/>
      <c r="E198" s="21">
        <f t="shared" si="36"/>
        <v>1</v>
      </c>
      <c r="F198" s="667"/>
      <c r="G198" s="21">
        <f t="shared" si="37"/>
        <v>1</v>
      </c>
      <c r="H198" s="667"/>
      <c r="I198" s="21">
        <f t="shared" si="38"/>
        <v>1</v>
      </c>
      <c r="J198" s="667"/>
      <c r="K198" s="21">
        <f t="shared" si="39"/>
        <v>1</v>
      </c>
      <c r="L198" s="667"/>
      <c r="M198" s="21">
        <f t="shared" si="40"/>
        <v>1</v>
      </c>
      <c r="N198" s="667"/>
      <c r="O198" s="21">
        <f t="shared" si="41"/>
        <v>1</v>
      </c>
      <c r="P198" s="667"/>
      <c r="Q198" s="21">
        <f t="shared" si="42"/>
        <v>1</v>
      </c>
      <c r="R198" s="663">
        <f t="shared" si="43"/>
        <v>0</v>
      </c>
      <c r="S198" s="316">
        <f t="shared" si="44"/>
        <v>0</v>
      </c>
    </row>
    <row r="199" spans="1:19">
      <c r="A199" s="665">
        <f>面积明细表!C178</f>
        <v>0</v>
      </c>
      <c r="B199" s="54"/>
      <c r="C199" s="21">
        <f t="shared" si="35"/>
        <v>1</v>
      </c>
      <c r="D199" s="667"/>
      <c r="E199" s="21">
        <f t="shared" si="36"/>
        <v>1</v>
      </c>
      <c r="F199" s="667"/>
      <c r="G199" s="21">
        <f t="shared" si="37"/>
        <v>1</v>
      </c>
      <c r="H199" s="667"/>
      <c r="I199" s="21">
        <f t="shared" si="38"/>
        <v>1</v>
      </c>
      <c r="J199" s="667"/>
      <c r="K199" s="21">
        <f t="shared" si="39"/>
        <v>1</v>
      </c>
      <c r="L199" s="667"/>
      <c r="M199" s="21">
        <f t="shared" si="40"/>
        <v>1</v>
      </c>
      <c r="N199" s="667"/>
      <c r="O199" s="21">
        <f t="shared" si="41"/>
        <v>1</v>
      </c>
      <c r="P199" s="667"/>
      <c r="Q199" s="21">
        <f t="shared" si="42"/>
        <v>1</v>
      </c>
      <c r="R199" s="663">
        <f t="shared" si="43"/>
        <v>0</v>
      </c>
      <c r="S199" s="316">
        <f t="shared" si="44"/>
        <v>0</v>
      </c>
    </row>
    <row r="200" spans="1:19">
      <c r="A200" s="665">
        <f>面积明细表!C179</f>
        <v>0</v>
      </c>
      <c r="B200" s="54"/>
      <c r="C200" s="21">
        <f t="shared" si="35"/>
        <v>1</v>
      </c>
      <c r="D200" s="667"/>
      <c r="E200" s="21">
        <f t="shared" si="36"/>
        <v>1</v>
      </c>
      <c r="F200" s="667"/>
      <c r="G200" s="21">
        <f t="shared" si="37"/>
        <v>1</v>
      </c>
      <c r="H200" s="667"/>
      <c r="I200" s="21">
        <f t="shared" si="38"/>
        <v>1</v>
      </c>
      <c r="J200" s="667"/>
      <c r="K200" s="21">
        <f t="shared" si="39"/>
        <v>1</v>
      </c>
      <c r="L200" s="667"/>
      <c r="M200" s="21">
        <f t="shared" si="40"/>
        <v>1</v>
      </c>
      <c r="N200" s="667"/>
      <c r="O200" s="21">
        <f t="shared" si="41"/>
        <v>1</v>
      </c>
      <c r="P200" s="667"/>
      <c r="Q200" s="21">
        <f t="shared" si="42"/>
        <v>1</v>
      </c>
      <c r="R200" s="663">
        <f t="shared" si="43"/>
        <v>0</v>
      </c>
      <c r="S200" s="316">
        <f t="shared" si="44"/>
        <v>0</v>
      </c>
    </row>
    <row r="201" spans="1:19">
      <c r="A201" s="665">
        <f>面积明细表!C180</f>
        <v>0</v>
      </c>
      <c r="B201" s="54"/>
      <c r="C201" s="21">
        <f t="shared" si="35"/>
        <v>1</v>
      </c>
      <c r="D201" s="667"/>
      <c r="E201" s="21">
        <f t="shared" si="36"/>
        <v>1</v>
      </c>
      <c r="F201" s="667"/>
      <c r="G201" s="21">
        <f t="shared" si="37"/>
        <v>1</v>
      </c>
      <c r="H201" s="667"/>
      <c r="I201" s="21">
        <f t="shared" si="38"/>
        <v>1</v>
      </c>
      <c r="J201" s="667"/>
      <c r="K201" s="21">
        <f t="shared" si="39"/>
        <v>1</v>
      </c>
      <c r="L201" s="667"/>
      <c r="M201" s="21">
        <f t="shared" si="40"/>
        <v>1</v>
      </c>
      <c r="N201" s="667"/>
      <c r="O201" s="21">
        <f t="shared" si="41"/>
        <v>1</v>
      </c>
      <c r="P201" s="667"/>
      <c r="Q201" s="21">
        <f t="shared" si="42"/>
        <v>1</v>
      </c>
      <c r="R201" s="663">
        <f t="shared" si="43"/>
        <v>0</v>
      </c>
      <c r="S201" s="316">
        <f t="shared" si="44"/>
        <v>0</v>
      </c>
    </row>
    <row r="202" spans="1:19">
      <c r="A202" s="665">
        <f>面积明细表!C181</f>
        <v>0</v>
      </c>
      <c r="B202" s="54"/>
      <c r="C202" s="21">
        <f t="shared" si="35"/>
        <v>1</v>
      </c>
      <c r="D202" s="667"/>
      <c r="E202" s="21">
        <f t="shared" si="36"/>
        <v>1</v>
      </c>
      <c r="F202" s="667"/>
      <c r="G202" s="21">
        <f t="shared" si="37"/>
        <v>1</v>
      </c>
      <c r="H202" s="667"/>
      <c r="I202" s="21">
        <f t="shared" si="38"/>
        <v>1</v>
      </c>
      <c r="J202" s="667"/>
      <c r="K202" s="21">
        <f t="shared" si="39"/>
        <v>1</v>
      </c>
      <c r="L202" s="667"/>
      <c r="M202" s="21">
        <f t="shared" si="40"/>
        <v>1</v>
      </c>
      <c r="N202" s="667"/>
      <c r="O202" s="21">
        <f t="shared" si="41"/>
        <v>1</v>
      </c>
      <c r="P202" s="667"/>
      <c r="Q202" s="21">
        <f t="shared" si="42"/>
        <v>1</v>
      </c>
      <c r="R202" s="663">
        <f t="shared" si="43"/>
        <v>0</v>
      </c>
      <c r="S202" s="316">
        <f t="shared" si="44"/>
        <v>0</v>
      </c>
    </row>
    <row r="203" spans="1:19">
      <c r="A203" s="665">
        <f>面积明细表!C182</f>
        <v>0</v>
      </c>
      <c r="B203" s="54"/>
      <c r="C203" s="21">
        <f t="shared" si="35"/>
        <v>1</v>
      </c>
      <c r="D203" s="667"/>
      <c r="E203" s="21">
        <f t="shared" si="36"/>
        <v>1</v>
      </c>
      <c r="F203" s="667"/>
      <c r="G203" s="21">
        <f t="shared" si="37"/>
        <v>1</v>
      </c>
      <c r="H203" s="667"/>
      <c r="I203" s="21">
        <f t="shared" si="38"/>
        <v>1</v>
      </c>
      <c r="J203" s="667"/>
      <c r="K203" s="21">
        <f t="shared" si="39"/>
        <v>1</v>
      </c>
      <c r="L203" s="667"/>
      <c r="M203" s="21">
        <f t="shared" si="40"/>
        <v>1</v>
      </c>
      <c r="N203" s="667"/>
      <c r="O203" s="21">
        <f t="shared" si="41"/>
        <v>1</v>
      </c>
      <c r="P203" s="667"/>
      <c r="Q203" s="21">
        <f t="shared" si="42"/>
        <v>1</v>
      </c>
      <c r="R203" s="663">
        <f t="shared" si="43"/>
        <v>0</v>
      </c>
      <c r="S203" s="316">
        <f t="shared" si="44"/>
        <v>0</v>
      </c>
    </row>
    <row r="204" spans="1:19">
      <c r="A204" s="665">
        <f>面积明细表!C183</f>
        <v>0</v>
      </c>
      <c r="B204" s="54"/>
      <c r="C204" s="21">
        <f t="shared" si="35"/>
        <v>1</v>
      </c>
      <c r="D204" s="667"/>
      <c r="E204" s="21">
        <f t="shared" si="36"/>
        <v>1</v>
      </c>
      <c r="F204" s="667"/>
      <c r="G204" s="21">
        <f t="shared" si="37"/>
        <v>1</v>
      </c>
      <c r="H204" s="667"/>
      <c r="I204" s="21">
        <f t="shared" si="38"/>
        <v>1</v>
      </c>
      <c r="J204" s="667"/>
      <c r="K204" s="21">
        <f t="shared" si="39"/>
        <v>1</v>
      </c>
      <c r="L204" s="667"/>
      <c r="M204" s="21">
        <f t="shared" si="40"/>
        <v>1</v>
      </c>
      <c r="N204" s="667"/>
      <c r="O204" s="21">
        <f t="shared" si="41"/>
        <v>1</v>
      </c>
      <c r="P204" s="667"/>
      <c r="Q204" s="21">
        <f t="shared" si="42"/>
        <v>1</v>
      </c>
      <c r="R204" s="663">
        <f t="shared" si="43"/>
        <v>0</v>
      </c>
      <c r="S204" s="316">
        <f t="shared" si="44"/>
        <v>0</v>
      </c>
    </row>
    <row r="205" spans="1:19">
      <c r="A205" s="665">
        <f>面积明细表!C184</f>
        <v>0</v>
      </c>
      <c r="B205" s="54"/>
      <c r="C205" s="21">
        <f t="shared" si="35"/>
        <v>1</v>
      </c>
      <c r="D205" s="667"/>
      <c r="E205" s="21">
        <f t="shared" si="36"/>
        <v>1</v>
      </c>
      <c r="F205" s="667"/>
      <c r="G205" s="21">
        <f t="shared" si="37"/>
        <v>1</v>
      </c>
      <c r="H205" s="667"/>
      <c r="I205" s="21">
        <f t="shared" si="38"/>
        <v>1</v>
      </c>
      <c r="J205" s="667"/>
      <c r="K205" s="21">
        <f t="shared" si="39"/>
        <v>1</v>
      </c>
      <c r="L205" s="667"/>
      <c r="M205" s="21">
        <f t="shared" si="40"/>
        <v>1</v>
      </c>
      <c r="N205" s="667"/>
      <c r="O205" s="21">
        <f t="shared" si="41"/>
        <v>1</v>
      </c>
      <c r="P205" s="667"/>
      <c r="Q205" s="21">
        <f t="shared" si="42"/>
        <v>1</v>
      </c>
      <c r="R205" s="663">
        <f t="shared" si="43"/>
        <v>0</v>
      </c>
      <c r="S205" s="316">
        <f t="shared" si="44"/>
        <v>0</v>
      </c>
    </row>
    <row r="206" spans="1:19">
      <c r="A206" s="665">
        <f>面积明细表!C185</f>
        <v>0</v>
      </c>
      <c r="B206" s="54"/>
      <c r="C206" s="21">
        <f t="shared" si="35"/>
        <v>1</v>
      </c>
      <c r="D206" s="667"/>
      <c r="E206" s="21">
        <f t="shared" si="36"/>
        <v>1</v>
      </c>
      <c r="F206" s="667"/>
      <c r="G206" s="21">
        <f t="shared" si="37"/>
        <v>1</v>
      </c>
      <c r="H206" s="667"/>
      <c r="I206" s="21">
        <f t="shared" si="38"/>
        <v>1</v>
      </c>
      <c r="J206" s="667"/>
      <c r="K206" s="21">
        <f t="shared" si="39"/>
        <v>1</v>
      </c>
      <c r="L206" s="667"/>
      <c r="M206" s="21">
        <f t="shared" si="40"/>
        <v>1</v>
      </c>
      <c r="N206" s="667"/>
      <c r="O206" s="21">
        <f t="shared" si="41"/>
        <v>1</v>
      </c>
      <c r="P206" s="667"/>
      <c r="Q206" s="21">
        <f t="shared" si="42"/>
        <v>1</v>
      </c>
      <c r="R206" s="663">
        <f t="shared" si="43"/>
        <v>0</v>
      </c>
      <c r="S206" s="316">
        <f t="shared" si="44"/>
        <v>0</v>
      </c>
    </row>
    <row r="207" spans="1:19">
      <c r="A207" s="665">
        <f>面积明细表!C186</f>
        <v>0</v>
      </c>
      <c r="B207" s="54"/>
      <c r="C207" s="21">
        <f t="shared" si="35"/>
        <v>1</v>
      </c>
      <c r="D207" s="667"/>
      <c r="E207" s="21">
        <f t="shared" si="36"/>
        <v>1</v>
      </c>
      <c r="F207" s="667"/>
      <c r="G207" s="21">
        <f t="shared" si="37"/>
        <v>1</v>
      </c>
      <c r="H207" s="667"/>
      <c r="I207" s="21">
        <f t="shared" si="38"/>
        <v>1</v>
      </c>
      <c r="J207" s="667"/>
      <c r="K207" s="21">
        <f t="shared" si="39"/>
        <v>1</v>
      </c>
      <c r="L207" s="667"/>
      <c r="M207" s="21">
        <f t="shared" si="40"/>
        <v>1</v>
      </c>
      <c r="N207" s="667"/>
      <c r="O207" s="21">
        <f t="shared" si="41"/>
        <v>1</v>
      </c>
      <c r="P207" s="667"/>
      <c r="Q207" s="21">
        <f t="shared" si="42"/>
        <v>1</v>
      </c>
      <c r="R207" s="663">
        <f t="shared" si="43"/>
        <v>0</v>
      </c>
      <c r="S207" s="316">
        <f t="shared" si="44"/>
        <v>0</v>
      </c>
    </row>
    <row r="208" spans="1:19">
      <c r="A208" s="665">
        <f>面积明细表!C187</f>
        <v>0</v>
      </c>
      <c r="B208" s="54"/>
      <c r="C208" s="21">
        <f t="shared" si="35"/>
        <v>1</v>
      </c>
      <c r="D208" s="667"/>
      <c r="E208" s="21">
        <f t="shared" si="36"/>
        <v>1</v>
      </c>
      <c r="F208" s="667"/>
      <c r="G208" s="21">
        <f t="shared" si="37"/>
        <v>1</v>
      </c>
      <c r="H208" s="667"/>
      <c r="I208" s="21">
        <f t="shared" si="38"/>
        <v>1</v>
      </c>
      <c r="J208" s="667"/>
      <c r="K208" s="21">
        <f t="shared" si="39"/>
        <v>1</v>
      </c>
      <c r="L208" s="667"/>
      <c r="M208" s="21">
        <f t="shared" si="40"/>
        <v>1</v>
      </c>
      <c r="N208" s="667"/>
      <c r="O208" s="21">
        <f t="shared" si="41"/>
        <v>1</v>
      </c>
      <c r="P208" s="667"/>
      <c r="Q208" s="21">
        <f t="shared" si="42"/>
        <v>1</v>
      </c>
      <c r="R208" s="663">
        <f t="shared" si="43"/>
        <v>0</v>
      </c>
      <c r="S208" s="316">
        <f t="shared" si="44"/>
        <v>0</v>
      </c>
    </row>
    <row r="209" spans="1:19">
      <c r="A209" s="665">
        <f>面积明细表!C188</f>
        <v>0</v>
      </c>
      <c r="B209" s="54"/>
      <c r="C209" s="21">
        <f t="shared" si="35"/>
        <v>1</v>
      </c>
      <c r="D209" s="667"/>
      <c r="E209" s="21">
        <f t="shared" si="36"/>
        <v>1</v>
      </c>
      <c r="F209" s="667"/>
      <c r="G209" s="21">
        <f t="shared" si="37"/>
        <v>1</v>
      </c>
      <c r="H209" s="667"/>
      <c r="I209" s="21">
        <f t="shared" si="38"/>
        <v>1</v>
      </c>
      <c r="J209" s="667"/>
      <c r="K209" s="21">
        <f t="shared" si="39"/>
        <v>1</v>
      </c>
      <c r="L209" s="667"/>
      <c r="M209" s="21">
        <f t="shared" si="40"/>
        <v>1</v>
      </c>
      <c r="N209" s="667"/>
      <c r="O209" s="21">
        <f t="shared" si="41"/>
        <v>1</v>
      </c>
      <c r="P209" s="667"/>
      <c r="Q209" s="21">
        <f t="shared" si="42"/>
        <v>1</v>
      </c>
      <c r="R209" s="663">
        <f t="shared" si="43"/>
        <v>0</v>
      </c>
      <c r="S209" s="316">
        <f t="shared" si="44"/>
        <v>0</v>
      </c>
    </row>
    <row r="210" spans="1:19">
      <c r="A210" s="665">
        <f>面积明细表!C189</f>
        <v>0</v>
      </c>
      <c r="B210" s="54"/>
      <c r="C210" s="21">
        <f t="shared" si="35"/>
        <v>1</v>
      </c>
      <c r="D210" s="667"/>
      <c r="E210" s="21">
        <f t="shared" si="36"/>
        <v>1</v>
      </c>
      <c r="F210" s="667"/>
      <c r="G210" s="21">
        <f t="shared" si="37"/>
        <v>1</v>
      </c>
      <c r="H210" s="667"/>
      <c r="I210" s="21">
        <f t="shared" si="38"/>
        <v>1</v>
      </c>
      <c r="J210" s="667"/>
      <c r="K210" s="21">
        <f t="shared" si="39"/>
        <v>1</v>
      </c>
      <c r="L210" s="667"/>
      <c r="M210" s="21">
        <f t="shared" si="40"/>
        <v>1</v>
      </c>
      <c r="N210" s="667"/>
      <c r="O210" s="21">
        <f t="shared" si="41"/>
        <v>1</v>
      </c>
      <c r="P210" s="667"/>
      <c r="Q210" s="21">
        <f t="shared" si="42"/>
        <v>1</v>
      </c>
      <c r="R210" s="663">
        <f t="shared" si="43"/>
        <v>0</v>
      </c>
      <c r="S210" s="316">
        <f t="shared" si="44"/>
        <v>0</v>
      </c>
    </row>
    <row r="211" spans="1:19">
      <c r="A211" s="665">
        <f>面积明细表!C190</f>
        <v>0</v>
      </c>
      <c r="B211" s="54"/>
      <c r="C211" s="21">
        <f t="shared" si="35"/>
        <v>1</v>
      </c>
      <c r="D211" s="667"/>
      <c r="E211" s="21">
        <f t="shared" si="36"/>
        <v>1</v>
      </c>
      <c r="F211" s="667"/>
      <c r="G211" s="21">
        <f t="shared" si="37"/>
        <v>1</v>
      </c>
      <c r="H211" s="667"/>
      <c r="I211" s="21">
        <f t="shared" si="38"/>
        <v>1</v>
      </c>
      <c r="J211" s="667"/>
      <c r="K211" s="21">
        <f t="shared" si="39"/>
        <v>1</v>
      </c>
      <c r="L211" s="667"/>
      <c r="M211" s="21">
        <f t="shared" si="40"/>
        <v>1</v>
      </c>
      <c r="N211" s="667"/>
      <c r="O211" s="21">
        <f t="shared" si="41"/>
        <v>1</v>
      </c>
      <c r="P211" s="667"/>
      <c r="Q211" s="21">
        <f t="shared" si="42"/>
        <v>1</v>
      </c>
      <c r="R211" s="663">
        <f t="shared" si="43"/>
        <v>0</v>
      </c>
      <c r="S211" s="316">
        <f t="shared" si="44"/>
        <v>0</v>
      </c>
    </row>
    <row r="212" spans="1:19">
      <c r="A212" s="665">
        <f>面积明细表!C191</f>
        <v>0</v>
      </c>
      <c r="B212" s="54"/>
      <c r="C212" s="21">
        <f t="shared" si="35"/>
        <v>1</v>
      </c>
      <c r="D212" s="667"/>
      <c r="E212" s="21">
        <f t="shared" si="36"/>
        <v>1</v>
      </c>
      <c r="F212" s="667"/>
      <c r="G212" s="21">
        <f t="shared" si="37"/>
        <v>1</v>
      </c>
      <c r="H212" s="667"/>
      <c r="I212" s="21">
        <f t="shared" si="38"/>
        <v>1</v>
      </c>
      <c r="J212" s="667"/>
      <c r="K212" s="21">
        <f t="shared" si="39"/>
        <v>1</v>
      </c>
      <c r="L212" s="667"/>
      <c r="M212" s="21">
        <f t="shared" si="40"/>
        <v>1</v>
      </c>
      <c r="N212" s="667"/>
      <c r="O212" s="21">
        <f t="shared" si="41"/>
        <v>1</v>
      </c>
      <c r="P212" s="667"/>
      <c r="Q212" s="21">
        <f t="shared" si="42"/>
        <v>1</v>
      </c>
      <c r="R212" s="663">
        <f t="shared" si="43"/>
        <v>0</v>
      </c>
      <c r="S212" s="316">
        <f t="shared" si="44"/>
        <v>0</v>
      </c>
    </row>
    <row r="213" spans="1:19">
      <c r="A213" s="665">
        <f>面积明细表!C192</f>
        <v>0</v>
      </c>
      <c r="B213" s="54"/>
      <c r="C213" s="21">
        <f t="shared" si="35"/>
        <v>1</v>
      </c>
      <c r="D213" s="667"/>
      <c r="E213" s="21">
        <f t="shared" si="36"/>
        <v>1</v>
      </c>
      <c r="F213" s="667"/>
      <c r="G213" s="21">
        <f t="shared" si="37"/>
        <v>1</v>
      </c>
      <c r="H213" s="667"/>
      <c r="I213" s="21">
        <f t="shared" si="38"/>
        <v>1</v>
      </c>
      <c r="J213" s="667"/>
      <c r="K213" s="21">
        <f t="shared" si="39"/>
        <v>1</v>
      </c>
      <c r="L213" s="667"/>
      <c r="M213" s="21">
        <f t="shared" si="40"/>
        <v>1</v>
      </c>
      <c r="N213" s="667"/>
      <c r="O213" s="21">
        <f t="shared" si="41"/>
        <v>1</v>
      </c>
      <c r="P213" s="667"/>
      <c r="Q213" s="21">
        <f t="shared" si="42"/>
        <v>1</v>
      </c>
      <c r="R213" s="663">
        <f t="shared" si="43"/>
        <v>0</v>
      </c>
      <c r="S213" s="316">
        <f t="shared" si="44"/>
        <v>0</v>
      </c>
    </row>
    <row r="214" spans="1:19">
      <c r="A214" s="665">
        <f>面积明细表!C193</f>
        <v>0</v>
      </c>
      <c r="B214" s="54"/>
      <c r="C214" s="21">
        <f t="shared" si="35"/>
        <v>1</v>
      </c>
      <c r="D214" s="667"/>
      <c r="E214" s="21">
        <f t="shared" si="36"/>
        <v>1</v>
      </c>
      <c r="F214" s="667"/>
      <c r="G214" s="21">
        <f t="shared" si="37"/>
        <v>1</v>
      </c>
      <c r="H214" s="667"/>
      <c r="I214" s="21">
        <f t="shared" si="38"/>
        <v>1</v>
      </c>
      <c r="J214" s="667"/>
      <c r="K214" s="21">
        <f t="shared" si="39"/>
        <v>1</v>
      </c>
      <c r="L214" s="667"/>
      <c r="M214" s="21">
        <f t="shared" si="40"/>
        <v>1</v>
      </c>
      <c r="N214" s="667"/>
      <c r="O214" s="21">
        <f t="shared" si="41"/>
        <v>1</v>
      </c>
      <c r="P214" s="667"/>
      <c r="Q214" s="21">
        <f t="shared" si="42"/>
        <v>1</v>
      </c>
      <c r="R214" s="663">
        <f t="shared" si="43"/>
        <v>0</v>
      </c>
      <c r="S214" s="316">
        <f t="shared" si="44"/>
        <v>0</v>
      </c>
    </row>
    <row r="215" spans="1:19">
      <c r="A215" s="665">
        <f>面积明细表!C194</f>
        <v>0</v>
      </c>
      <c r="B215" s="54"/>
      <c r="C215" s="21">
        <f t="shared" si="35"/>
        <v>1</v>
      </c>
      <c r="D215" s="667"/>
      <c r="E215" s="21">
        <f t="shared" si="36"/>
        <v>1</v>
      </c>
      <c r="F215" s="667"/>
      <c r="G215" s="21">
        <f t="shared" si="37"/>
        <v>1</v>
      </c>
      <c r="H215" s="667"/>
      <c r="I215" s="21">
        <f t="shared" si="38"/>
        <v>1</v>
      </c>
      <c r="J215" s="667"/>
      <c r="K215" s="21">
        <f t="shared" si="39"/>
        <v>1</v>
      </c>
      <c r="L215" s="667"/>
      <c r="M215" s="21">
        <f t="shared" si="40"/>
        <v>1</v>
      </c>
      <c r="N215" s="667"/>
      <c r="O215" s="21">
        <f t="shared" si="41"/>
        <v>1</v>
      </c>
      <c r="P215" s="667"/>
      <c r="Q215" s="21">
        <f t="shared" si="42"/>
        <v>1</v>
      </c>
      <c r="R215" s="663">
        <f t="shared" si="43"/>
        <v>0</v>
      </c>
      <c r="S215" s="316">
        <f t="shared" si="44"/>
        <v>0</v>
      </c>
    </row>
    <row r="216" spans="1:19">
      <c r="A216" s="665">
        <f>面积明细表!C195</f>
        <v>0</v>
      </c>
      <c r="B216" s="54"/>
      <c r="C216" s="21">
        <f t="shared" si="35"/>
        <v>1</v>
      </c>
      <c r="D216" s="667"/>
      <c r="E216" s="21">
        <f t="shared" si="36"/>
        <v>1</v>
      </c>
      <c r="F216" s="667"/>
      <c r="G216" s="21">
        <f t="shared" si="37"/>
        <v>1</v>
      </c>
      <c r="H216" s="667"/>
      <c r="I216" s="21">
        <f t="shared" si="38"/>
        <v>1</v>
      </c>
      <c r="J216" s="667"/>
      <c r="K216" s="21">
        <f t="shared" si="39"/>
        <v>1</v>
      </c>
      <c r="L216" s="667"/>
      <c r="M216" s="21">
        <f t="shared" si="40"/>
        <v>1</v>
      </c>
      <c r="N216" s="667"/>
      <c r="O216" s="21">
        <f t="shared" si="41"/>
        <v>1</v>
      </c>
      <c r="P216" s="667"/>
      <c r="Q216" s="21">
        <f t="shared" si="42"/>
        <v>1</v>
      </c>
      <c r="R216" s="663">
        <f t="shared" si="43"/>
        <v>0</v>
      </c>
      <c r="S216" s="316">
        <f t="shared" si="44"/>
        <v>0</v>
      </c>
    </row>
    <row r="217" spans="1:19">
      <c r="A217" s="665">
        <f>面积明细表!C196</f>
        <v>0</v>
      </c>
      <c r="B217" s="54"/>
      <c r="C217" s="21">
        <f t="shared" si="35"/>
        <v>1</v>
      </c>
      <c r="D217" s="667"/>
      <c r="E217" s="21">
        <f t="shared" si="36"/>
        <v>1</v>
      </c>
      <c r="F217" s="667"/>
      <c r="G217" s="21">
        <f t="shared" si="37"/>
        <v>1</v>
      </c>
      <c r="H217" s="667"/>
      <c r="I217" s="21">
        <f t="shared" si="38"/>
        <v>1</v>
      </c>
      <c r="J217" s="667"/>
      <c r="K217" s="21">
        <f t="shared" si="39"/>
        <v>1</v>
      </c>
      <c r="L217" s="667"/>
      <c r="M217" s="21">
        <f t="shared" si="40"/>
        <v>1</v>
      </c>
      <c r="N217" s="667"/>
      <c r="O217" s="21">
        <f t="shared" si="41"/>
        <v>1</v>
      </c>
      <c r="P217" s="667"/>
      <c r="Q217" s="21">
        <f t="shared" si="42"/>
        <v>1</v>
      </c>
      <c r="R217" s="663">
        <f t="shared" si="43"/>
        <v>0</v>
      </c>
      <c r="S217" s="316">
        <f t="shared" si="44"/>
        <v>0</v>
      </c>
    </row>
    <row r="218" spans="1:19">
      <c r="A218" s="665">
        <f>面积明细表!C197</f>
        <v>0</v>
      </c>
      <c r="B218" s="54"/>
      <c r="C218" s="21">
        <f t="shared" ref="C218:C281" si="45">IF(B218="",1,(LOOKUP(B218,$3:$3,$4:$4)-LOOKUP($B$24,$3:$3,$4:$4)+100)/100)</f>
        <v>1</v>
      </c>
      <c r="D218" s="667"/>
      <c r="E218" s="21">
        <f t="shared" ref="E218:E281" si="46">(SUMIF($5:$5,D218,$6:$6)-SUMIF($5:$5,$D$24,$6:$6)+100)/100</f>
        <v>1</v>
      </c>
      <c r="F218" s="667"/>
      <c r="G218" s="21">
        <f t="shared" ref="G218:G281" si="47">(SUMIF($7:$7,F218,$8:$8)-SUMIF($7:$7,$F$24,$8:$8)+100)/100</f>
        <v>1</v>
      </c>
      <c r="H218" s="667"/>
      <c r="I218" s="21">
        <f t="shared" ref="I218:I281" si="48">(SUMIF($9:$9,H218,$10:$10)-SUMIF($9:$9,$H$24,$10:$10)+100)/100</f>
        <v>1</v>
      </c>
      <c r="J218" s="667"/>
      <c r="K218" s="21">
        <f t="shared" ref="K218:K281" si="49">(SUMIF($11:$11,J218,$12:$12)-SUMIF($11:$11,$J$24,$12:$12)+100)/100</f>
        <v>1</v>
      </c>
      <c r="L218" s="667"/>
      <c r="M218" s="21">
        <f t="shared" ref="M218:M281" si="50">(SUMIF($13:$13,L218,$14:$14)-SUMIF($13:$13,$L$24,$14:$14)+100)/100</f>
        <v>1</v>
      </c>
      <c r="N218" s="667"/>
      <c r="O218" s="21">
        <f t="shared" ref="O218:O281" si="51">(SUMIF($15:$15,N218,$16:$16)-SUMIF($15:$15,$N$24,$16:$16)+100)/100</f>
        <v>1</v>
      </c>
      <c r="P218" s="667"/>
      <c r="Q218" s="21">
        <f t="shared" ref="Q218:Q281" si="52">(SUMIF($17:$17,P218,$18:$18)-SUMIF($17:$17,$P$24,$18:$18)+100)/100</f>
        <v>1</v>
      </c>
      <c r="R218" s="663">
        <f t="shared" ref="R218:R281" si="53">IF(B218="",0,ROUND($R$24*C218*E218*G218*I218*K218*M218*O218*Q218,0))</f>
        <v>0</v>
      </c>
      <c r="S218" s="316">
        <f t="shared" si="44"/>
        <v>0</v>
      </c>
    </row>
    <row r="219" spans="1:19">
      <c r="A219" s="665">
        <f>面积明细表!C198</f>
        <v>0</v>
      </c>
      <c r="B219" s="54"/>
      <c r="C219" s="21">
        <f t="shared" si="45"/>
        <v>1</v>
      </c>
      <c r="D219" s="667"/>
      <c r="E219" s="21">
        <f t="shared" si="46"/>
        <v>1</v>
      </c>
      <c r="F219" s="667"/>
      <c r="G219" s="21">
        <f t="shared" si="47"/>
        <v>1</v>
      </c>
      <c r="H219" s="667"/>
      <c r="I219" s="21">
        <f t="shared" si="48"/>
        <v>1</v>
      </c>
      <c r="J219" s="667"/>
      <c r="K219" s="21">
        <f t="shared" si="49"/>
        <v>1</v>
      </c>
      <c r="L219" s="667"/>
      <c r="M219" s="21">
        <f t="shared" si="50"/>
        <v>1</v>
      </c>
      <c r="N219" s="667"/>
      <c r="O219" s="21">
        <f t="shared" si="51"/>
        <v>1</v>
      </c>
      <c r="P219" s="667"/>
      <c r="Q219" s="21">
        <f t="shared" si="52"/>
        <v>1</v>
      </c>
      <c r="R219" s="663">
        <f t="shared" si="53"/>
        <v>0</v>
      </c>
      <c r="S219" s="316">
        <f t="shared" si="44"/>
        <v>0</v>
      </c>
    </row>
    <row r="220" spans="1:19">
      <c r="A220" s="665">
        <f>面积明细表!C199</f>
        <v>0</v>
      </c>
      <c r="B220" s="54"/>
      <c r="C220" s="21">
        <f t="shared" si="45"/>
        <v>1</v>
      </c>
      <c r="D220" s="667"/>
      <c r="E220" s="21">
        <f t="shared" si="46"/>
        <v>1</v>
      </c>
      <c r="F220" s="667"/>
      <c r="G220" s="21">
        <f t="shared" si="47"/>
        <v>1</v>
      </c>
      <c r="H220" s="667"/>
      <c r="I220" s="21">
        <f t="shared" si="48"/>
        <v>1</v>
      </c>
      <c r="J220" s="667"/>
      <c r="K220" s="21">
        <f t="shared" si="49"/>
        <v>1</v>
      </c>
      <c r="L220" s="667"/>
      <c r="M220" s="21">
        <f t="shared" si="50"/>
        <v>1</v>
      </c>
      <c r="N220" s="667"/>
      <c r="O220" s="21">
        <f t="shared" si="51"/>
        <v>1</v>
      </c>
      <c r="P220" s="667"/>
      <c r="Q220" s="21">
        <f t="shared" si="52"/>
        <v>1</v>
      </c>
      <c r="R220" s="663">
        <f t="shared" si="53"/>
        <v>0</v>
      </c>
      <c r="S220" s="316">
        <f t="shared" si="44"/>
        <v>0</v>
      </c>
    </row>
    <row r="221" spans="1:19">
      <c r="A221" s="665">
        <f>面积明细表!C200</f>
        <v>0</v>
      </c>
      <c r="B221" s="54"/>
      <c r="C221" s="21">
        <f t="shared" si="45"/>
        <v>1</v>
      </c>
      <c r="D221" s="667"/>
      <c r="E221" s="21">
        <f t="shared" si="46"/>
        <v>1</v>
      </c>
      <c r="F221" s="667"/>
      <c r="G221" s="21">
        <f t="shared" si="47"/>
        <v>1</v>
      </c>
      <c r="H221" s="667"/>
      <c r="I221" s="21">
        <f t="shared" si="48"/>
        <v>1</v>
      </c>
      <c r="J221" s="667"/>
      <c r="K221" s="21">
        <f t="shared" si="49"/>
        <v>1</v>
      </c>
      <c r="L221" s="667"/>
      <c r="M221" s="21">
        <f t="shared" si="50"/>
        <v>1</v>
      </c>
      <c r="N221" s="667"/>
      <c r="O221" s="21">
        <f t="shared" si="51"/>
        <v>1</v>
      </c>
      <c r="P221" s="667"/>
      <c r="Q221" s="21">
        <f t="shared" si="52"/>
        <v>1</v>
      </c>
      <c r="R221" s="663">
        <f t="shared" si="53"/>
        <v>0</v>
      </c>
      <c r="S221" s="316">
        <f t="shared" si="44"/>
        <v>0</v>
      </c>
    </row>
    <row r="222" spans="1:19">
      <c r="A222" s="665">
        <f>面积明细表!C201</f>
        <v>0</v>
      </c>
      <c r="B222" s="54"/>
      <c r="C222" s="21">
        <f t="shared" si="45"/>
        <v>1</v>
      </c>
      <c r="D222" s="667"/>
      <c r="E222" s="21">
        <f t="shared" si="46"/>
        <v>1</v>
      </c>
      <c r="F222" s="667"/>
      <c r="G222" s="21">
        <f t="shared" si="47"/>
        <v>1</v>
      </c>
      <c r="H222" s="667"/>
      <c r="I222" s="21">
        <f t="shared" si="48"/>
        <v>1</v>
      </c>
      <c r="J222" s="667"/>
      <c r="K222" s="21">
        <f t="shared" si="49"/>
        <v>1</v>
      </c>
      <c r="L222" s="667"/>
      <c r="M222" s="21">
        <f t="shared" si="50"/>
        <v>1</v>
      </c>
      <c r="N222" s="667"/>
      <c r="O222" s="21">
        <f t="shared" si="51"/>
        <v>1</v>
      </c>
      <c r="P222" s="667"/>
      <c r="Q222" s="21">
        <f t="shared" si="52"/>
        <v>1</v>
      </c>
      <c r="R222" s="663">
        <f t="shared" si="53"/>
        <v>0</v>
      </c>
      <c r="S222" s="316">
        <f t="shared" si="44"/>
        <v>0</v>
      </c>
    </row>
    <row r="223" spans="1:19">
      <c r="A223" s="665">
        <f>面积明细表!C202</f>
        <v>0</v>
      </c>
      <c r="B223" s="54"/>
      <c r="C223" s="21">
        <f t="shared" si="45"/>
        <v>1</v>
      </c>
      <c r="D223" s="667"/>
      <c r="E223" s="21">
        <f t="shared" si="46"/>
        <v>1</v>
      </c>
      <c r="F223" s="667"/>
      <c r="G223" s="21">
        <f t="shared" si="47"/>
        <v>1</v>
      </c>
      <c r="H223" s="667"/>
      <c r="I223" s="21">
        <f t="shared" si="48"/>
        <v>1</v>
      </c>
      <c r="J223" s="667"/>
      <c r="K223" s="21">
        <f t="shared" si="49"/>
        <v>1</v>
      </c>
      <c r="L223" s="667"/>
      <c r="M223" s="21">
        <f t="shared" si="50"/>
        <v>1</v>
      </c>
      <c r="N223" s="667"/>
      <c r="O223" s="21">
        <f t="shared" si="51"/>
        <v>1</v>
      </c>
      <c r="P223" s="667"/>
      <c r="Q223" s="21">
        <f t="shared" si="52"/>
        <v>1</v>
      </c>
      <c r="R223" s="663">
        <f t="shared" si="53"/>
        <v>0</v>
      </c>
      <c r="S223" s="316">
        <f t="shared" ref="S223:S286" si="54">ROUND(R223*B223/10000,0)</f>
        <v>0</v>
      </c>
    </row>
    <row r="224" spans="1:19">
      <c r="A224" s="665">
        <f>面积明细表!C203</f>
        <v>0</v>
      </c>
      <c r="B224" s="54"/>
      <c r="C224" s="21">
        <f t="shared" si="45"/>
        <v>1</v>
      </c>
      <c r="D224" s="667"/>
      <c r="E224" s="21">
        <f t="shared" si="46"/>
        <v>1</v>
      </c>
      <c r="F224" s="667"/>
      <c r="G224" s="21">
        <f t="shared" si="47"/>
        <v>1</v>
      </c>
      <c r="H224" s="667"/>
      <c r="I224" s="21">
        <f t="shared" si="48"/>
        <v>1</v>
      </c>
      <c r="J224" s="667"/>
      <c r="K224" s="21">
        <f t="shared" si="49"/>
        <v>1</v>
      </c>
      <c r="L224" s="667"/>
      <c r="M224" s="21">
        <f t="shared" si="50"/>
        <v>1</v>
      </c>
      <c r="N224" s="667"/>
      <c r="O224" s="21">
        <f t="shared" si="51"/>
        <v>1</v>
      </c>
      <c r="P224" s="667"/>
      <c r="Q224" s="21">
        <f t="shared" si="52"/>
        <v>1</v>
      </c>
      <c r="R224" s="663">
        <f t="shared" si="53"/>
        <v>0</v>
      </c>
      <c r="S224" s="316">
        <f t="shared" si="54"/>
        <v>0</v>
      </c>
    </row>
    <row r="225" spans="1:19">
      <c r="A225" s="665">
        <f>面积明细表!C204</f>
        <v>0</v>
      </c>
      <c r="B225" s="54"/>
      <c r="C225" s="21">
        <f t="shared" si="45"/>
        <v>1</v>
      </c>
      <c r="D225" s="667"/>
      <c r="E225" s="21">
        <f t="shared" si="46"/>
        <v>1</v>
      </c>
      <c r="F225" s="667"/>
      <c r="G225" s="21">
        <f t="shared" si="47"/>
        <v>1</v>
      </c>
      <c r="H225" s="667"/>
      <c r="I225" s="21">
        <f t="shared" si="48"/>
        <v>1</v>
      </c>
      <c r="J225" s="667"/>
      <c r="K225" s="21">
        <f t="shared" si="49"/>
        <v>1</v>
      </c>
      <c r="L225" s="667"/>
      <c r="M225" s="21">
        <f t="shared" si="50"/>
        <v>1</v>
      </c>
      <c r="N225" s="667"/>
      <c r="O225" s="21">
        <f t="shared" si="51"/>
        <v>1</v>
      </c>
      <c r="P225" s="667"/>
      <c r="Q225" s="21">
        <f t="shared" si="52"/>
        <v>1</v>
      </c>
      <c r="R225" s="663">
        <f t="shared" si="53"/>
        <v>0</v>
      </c>
      <c r="S225" s="316">
        <f t="shared" si="54"/>
        <v>0</v>
      </c>
    </row>
    <row r="226" spans="1:19">
      <c r="A226" s="665">
        <f>面积明细表!C205</f>
        <v>0</v>
      </c>
      <c r="B226" s="54"/>
      <c r="C226" s="21">
        <f t="shared" si="45"/>
        <v>1</v>
      </c>
      <c r="D226" s="667"/>
      <c r="E226" s="21">
        <f t="shared" si="46"/>
        <v>1</v>
      </c>
      <c r="F226" s="667"/>
      <c r="G226" s="21">
        <f t="shared" si="47"/>
        <v>1</v>
      </c>
      <c r="H226" s="667"/>
      <c r="I226" s="21">
        <f t="shared" si="48"/>
        <v>1</v>
      </c>
      <c r="J226" s="667"/>
      <c r="K226" s="21">
        <f t="shared" si="49"/>
        <v>1</v>
      </c>
      <c r="L226" s="667"/>
      <c r="M226" s="21">
        <f t="shared" si="50"/>
        <v>1</v>
      </c>
      <c r="N226" s="667"/>
      <c r="O226" s="21">
        <f t="shared" si="51"/>
        <v>1</v>
      </c>
      <c r="P226" s="667"/>
      <c r="Q226" s="21">
        <f t="shared" si="52"/>
        <v>1</v>
      </c>
      <c r="R226" s="663">
        <f t="shared" si="53"/>
        <v>0</v>
      </c>
      <c r="S226" s="316">
        <f t="shared" si="54"/>
        <v>0</v>
      </c>
    </row>
    <row r="227" spans="1:19">
      <c r="A227" s="665">
        <f>面积明细表!C206</f>
        <v>0</v>
      </c>
      <c r="B227" s="54"/>
      <c r="C227" s="21">
        <f t="shared" si="45"/>
        <v>1</v>
      </c>
      <c r="D227" s="667"/>
      <c r="E227" s="21">
        <f t="shared" si="46"/>
        <v>1</v>
      </c>
      <c r="F227" s="667"/>
      <c r="G227" s="21">
        <f t="shared" si="47"/>
        <v>1</v>
      </c>
      <c r="H227" s="667"/>
      <c r="I227" s="21">
        <f t="shared" si="48"/>
        <v>1</v>
      </c>
      <c r="J227" s="667"/>
      <c r="K227" s="21">
        <f t="shared" si="49"/>
        <v>1</v>
      </c>
      <c r="L227" s="667"/>
      <c r="M227" s="21">
        <f t="shared" si="50"/>
        <v>1</v>
      </c>
      <c r="N227" s="667"/>
      <c r="O227" s="21">
        <f t="shared" si="51"/>
        <v>1</v>
      </c>
      <c r="P227" s="667"/>
      <c r="Q227" s="21">
        <f t="shared" si="52"/>
        <v>1</v>
      </c>
      <c r="R227" s="663">
        <f t="shared" si="53"/>
        <v>0</v>
      </c>
      <c r="S227" s="316">
        <f t="shared" si="54"/>
        <v>0</v>
      </c>
    </row>
    <row r="228" spans="1:19">
      <c r="A228" s="665">
        <f>面积明细表!C207</f>
        <v>0</v>
      </c>
      <c r="B228" s="54"/>
      <c r="C228" s="21">
        <f t="shared" si="45"/>
        <v>1</v>
      </c>
      <c r="D228" s="667"/>
      <c r="E228" s="21">
        <f t="shared" si="46"/>
        <v>1</v>
      </c>
      <c r="F228" s="667"/>
      <c r="G228" s="21">
        <f t="shared" si="47"/>
        <v>1</v>
      </c>
      <c r="H228" s="667"/>
      <c r="I228" s="21">
        <f t="shared" si="48"/>
        <v>1</v>
      </c>
      <c r="J228" s="667"/>
      <c r="K228" s="21">
        <f t="shared" si="49"/>
        <v>1</v>
      </c>
      <c r="L228" s="667"/>
      <c r="M228" s="21">
        <f t="shared" si="50"/>
        <v>1</v>
      </c>
      <c r="N228" s="667"/>
      <c r="O228" s="21">
        <f t="shared" si="51"/>
        <v>1</v>
      </c>
      <c r="P228" s="667"/>
      <c r="Q228" s="21">
        <f t="shared" si="52"/>
        <v>1</v>
      </c>
      <c r="R228" s="663">
        <f t="shared" si="53"/>
        <v>0</v>
      </c>
      <c r="S228" s="316">
        <f t="shared" si="54"/>
        <v>0</v>
      </c>
    </row>
    <row r="229" spans="1:19">
      <c r="A229" s="665">
        <f>面积明细表!C208</f>
        <v>0</v>
      </c>
      <c r="B229" s="54"/>
      <c r="C229" s="21">
        <f t="shared" si="45"/>
        <v>1</v>
      </c>
      <c r="D229" s="667"/>
      <c r="E229" s="21">
        <f t="shared" si="46"/>
        <v>1</v>
      </c>
      <c r="F229" s="667"/>
      <c r="G229" s="21">
        <f t="shared" si="47"/>
        <v>1</v>
      </c>
      <c r="H229" s="667"/>
      <c r="I229" s="21">
        <f t="shared" si="48"/>
        <v>1</v>
      </c>
      <c r="J229" s="667"/>
      <c r="K229" s="21">
        <f t="shared" si="49"/>
        <v>1</v>
      </c>
      <c r="L229" s="667"/>
      <c r="M229" s="21">
        <f t="shared" si="50"/>
        <v>1</v>
      </c>
      <c r="N229" s="667"/>
      <c r="O229" s="21">
        <f t="shared" si="51"/>
        <v>1</v>
      </c>
      <c r="P229" s="667"/>
      <c r="Q229" s="21">
        <f t="shared" si="52"/>
        <v>1</v>
      </c>
      <c r="R229" s="663">
        <f t="shared" si="53"/>
        <v>0</v>
      </c>
      <c r="S229" s="316">
        <f t="shared" si="54"/>
        <v>0</v>
      </c>
    </row>
    <row r="230" spans="1:19">
      <c r="A230" s="665">
        <f>面积明细表!C209</f>
        <v>0</v>
      </c>
      <c r="B230" s="54"/>
      <c r="C230" s="21">
        <f t="shared" si="45"/>
        <v>1</v>
      </c>
      <c r="D230" s="667"/>
      <c r="E230" s="21">
        <f t="shared" si="46"/>
        <v>1</v>
      </c>
      <c r="F230" s="667"/>
      <c r="G230" s="21">
        <f t="shared" si="47"/>
        <v>1</v>
      </c>
      <c r="H230" s="667"/>
      <c r="I230" s="21">
        <f t="shared" si="48"/>
        <v>1</v>
      </c>
      <c r="J230" s="667"/>
      <c r="K230" s="21">
        <f t="shared" si="49"/>
        <v>1</v>
      </c>
      <c r="L230" s="667"/>
      <c r="M230" s="21">
        <f t="shared" si="50"/>
        <v>1</v>
      </c>
      <c r="N230" s="667"/>
      <c r="O230" s="21">
        <f t="shared" si="51"/>
        <v>1</v>
      </c>
      <c r="P230" s="667"/>
      <c r="Q230" s="21">
        <f t="shared" si="52"/>
        <v>1</v>
      </c>
      <c r="R230" s="663">
        <f t="shared" si="53"/>
        <v>0</v>
      </c>
      <c r="S230" s="316">
        <f t="shared" si="54"/>
        <v>0</v>
      </c>
    </row>
    <row r="231" spans="1:19">
      <c r="A231" s="665">
        <f>面积明细表!C210</f>
        <v>0</v>
      </c>
      <c r="B231" s="54"/>
      <c r="C231" s="21">
        <f t="shared" si="45"/>
        <v>1</v>
      </c>
      <c r="D231" s="667"/>
      <c r="E231" s="21">
        <f t="shared" si="46"/>
        <v>1</v>
      </c>
      <c r="F231" s="667"/>
      <c r="G231" s="21">
        <f t="shared" si="47"/>
        <v>1</v>
      </c>
      <c r="H231" s="667"/>
      <c r="I231" s="21">
        <f t="shared" si="48"/>
        <v>1</v>
      </c>
      <c r="J231" s="667"/>
      <c r="K231" s="21">
        <f t="shared" si="49"/>
        <v>1</v>
      </c>
      <c r="L231" s="667"/>
      <c r="M231" s="21">
        <f t="shared" si="50"/>
        <v>1</v>
      </c>
      <c r="N231" s="667"/>
      <c r="O231" s="21">
        <f t="shared" si="51"/>
        <v>1</v>
      </c>
      <c r="P231" s="667"/>
      <c r="Q231" s="21">
        <f t="shared" si="52"/>
        <v>1</v>
      </c>
      <c r="R231" s="663">
        <f t="shared" si="53"/>
        <v>0</v>
      </c>
      <c r="S231" s="316">
        <f t="shared" si="54"/>
        <v>0</v>
      </c>
    </row>
    <row r="232" spans="1:19">
      <c r="A232" s="665">
        <f>面积明细表!C211</f>
        <v>0</v>
      </c>
      <c r="B232" s="54"/>
      <c r="C232" s="21">
        <f t="shared" si="45"/>
        <v>1</v>
      </c>
      <c r="D232" s="667"/>
      <c r="E232" s="21">
        <f t="shared" si="46"/>
        <v>1</v>
      </c>
      <c r="F232" s="667"/>
      <c r="G232" s="21">
        <f t="shared" si="47"/>
        <v>1</v>
      </c>
      <c r="H232" s="667"/>
      <c r="I232" s="21">
        <f t="shared" si="48"/>
        <v>1</v>
      </c>
      <c r="J232" s="667"/>
      <c r="K232" s="21">
        <f t="shared" si="49"/>
        <v>1</v>
      </c>
      <c r="L232" s="667"/>
      <c r="M232" s="21">
        <f t="shared" si="50"/>
        <v>1</v>
      </c>
      <c r="N232" s="667"/>
      <c r="O232" s="21">
        <f t="shared" si="51"/>
        <v>1</v>
      </c>
      <c r="P232" s="667"/>
      <c r="Q232" s="21">
        <f t="shared" si="52"/>
        <v>1</v>
      </c>
      <c r="R232" s="663">
        <f t="shared" si="53"/>
        <v>0</v>
      </c>
      <c r="S232" s="316">
        <f t="shared" si="54"/>
        <v>0</v>
      </c>
    </row>
    <row r="233" spans="1:19">
      <c r="A233" s="665">
        <f>面积明细表!C212</f>
        <v>0</v>
      </c>
      <c r="B233" s="54"/>
      <c r="C233" s="21">
        <f t="shared" si="45"/>
        <v>1</v>
      </c>
      <c r="D233" s="667"/>
      <c r="E233" s="21">
        <f t="shared" si="46"/>
        <v>1</v>
      </c>
      <c r="F233" s="667"/>
      <c r="G233" s="21">
        <f t="shared" si="47"/>
        <v>1</v>
      </c>
      <c r="H233" s="667"/>
      <c r="I233" s="21">
        <f t="shared" si="48"/>
        <v>1</v>
      </c>
      <c r="J233" s="667"/>
      <c r="K233" s="21">
        <f t="shared" si="49"/>
        <v>1</v>
      </c>
      <c r="L233" s="667"/>
      <c r="M233" s="21">
        <f t="shared" si="50"/>
        <v>1</v>
      </c>
      <c r="N233" s="667"/>
      <c r="O233" s="21">
        <f t="shared" si="51"/>
        <v>1</v>
      </c>
      <c r="P233" s="667"/>
      <c r="Q233" s="21">
        <f t="shared" si="52"/>
        <v>1</v>
      </c>
      <c r="R233" s="663">
        <f t="shared" si="53"/>
        <v>0</v>
      </c>
      <c r="S233" s="316">
        <f t="shared" si="54"/>
        <v>0</v>
      </c>
    </row>
    <row r="234" spans="1:19">
      <c r="A234" s="665">
        <f>面积明细表!C213</f>
        <v>0</v>
      </c>
      <c r="B234" s="54"/>
      <c r="C234" s="21">
        <f t="shared" si="45"/>
        <v>1</v>
      </c>
      <c r="D234" s="667"/>
      <c r="E234" s="21">
        <f t="shared" si="46"/>
        <v>1</v>
      </c>
      <c r="F234" s="667"/>
      <c r="G234" s="21">
        <f t="shared" si="47"/>
        <v>1</v>
      </c>
      <c r="H234" s="667"/>
      <c r="I234" s="21">
        <f t="shared" si="48"/>
        <v>1</v>
      </c>
      <c r="J234" s="667"/>
      <c r="K234" s="21">
        <f t="shared" si="49"/>
        <v>1</v>
      </c>
      <c r="L234" s="667"/>
      <c r="M234" s="21">
        <f t="shared" si="50"/>
        <v>1</v>
      </c>
      <c r="N234" s="667"/>
      <c r="O234" s="21">
        <f t="shared" si="51"/>
        <v>1</v>
      </c>
      <c r="P234" s="667"/>
      <c r="Q234" s="21">
        <f t="shared" si="52"/>
        <v>1</v>
      </c>
      <c r="R234" s="663">
        <f t="shared" si="53"/>
        <v>0</v>
      </c>
      <c r="S234" s="316">
        <f t="shared" si="54"/>
        <v>0</v>
      </c>
    </row>
    <row r="235" spans="1:19">
      <c r="A235" s="665">
        <f>面积明细表!C214</f>
        <v>0</v>
      </c>
      <c r="B235" s="54"/>
      <c r="C235" s="21">
        <f t="shared" si="45"/>
        <v>1</v>
      </c>
      <c r="D235" s="667"/>
      <c r="E235" s="21">
        <f t="shared" si="46"/>
        <v>1</v>
      </c>
      <c r="F235" s="667"/>
      <c r="G235" s="21">
        <f t="shared" si="47"/>
        <v>1</v>
      </c>
      <c r="H235" s="667"/>
      <c r="I235" s="21">
        <f t="shared" si="48"/>
        <v>1</v>
      </c>
      <c r="J235" s="667"/>
      <c r="K235" s="21">
        <f t="shared" si="49"/>
        <v>1</v>
      </c>
      <c r="L235" s="667"/>
      <c r="M235" s="21">
        <f t="shared" si="50"/>
        <v>1</v>
      </c>
      <c r="N235" s="667"/>
      <c r="O235" s="21">
        <f t="shared" si="51"/>
        <v>1</v>
      </c>
      <c r="P235" s="667"/>
      <c r="Q235" s="21">
        <f t="shared" si="52"/>
        <v>1</v>
      </c>
      <c r="R235" s="663">
        <f t="shared" si="53"/>
        <v>0</v>
      </c>
      <c r="S235" s="316">
        <f t="shared" si="54"/>
        <v>0</v>
      </c>
    </row>
    <row r="236" spans="1:19">
      <c r="A236" s="665">
        <f>面积明细表!C215</f>
        <v>0</v>
      </c>
      <c r="B236" s="54"/>
      <c r="C236" s="21">
        <f t="shared" si="45"/>
        <v>1</v>
      </c>
      <c r="D236" s="667"/>
      <c r="E236" s="21">
        <f t="shared" si="46"/>
        <v>1</v>
      </c>
      <c r="F236" s="667"/>
      <c r="G236" s="21">
        <f t="shared" si="47"/>
        <v>1</v>
      </c>
      <c r="H236" s="667"/>
      <c r="I236" s="21">
        <f t="shared" si="48"/>
        <v>1</v>
      </c>
      <c r="J236" s="667"/>
      <c r="K236" s="21">
        <f t="shared" si="49"/>
        <v>1</v>
      </c>
      <c r="L236" s="667"/>
      <c r="M236" s="21">
        <f t="shared" si="50"/>
        <v>1</v>
      </c>
      <c r="N236" s="667"/>
      <c r="O236" s="21">
        <f t="shared" si="51"/>
        <v>1</v>
      </c>
      <c r="P236" s="667"/>
      <c r="Q236" s="21">
        <f t="shared" si="52"/>
        <v>1</v>
      </c>
      <c r="R236" s="663">
        <f t="shared" si="53"/>
        <v>0</v>
      </c>
      <c r="S236" s="316">
        <f t="shared" si="54"/>
        <v>0</v>
      </c>
    </row>
    <row r="237" spans="1:19">
      <c r="A237" s="665">
        <f>面积明细表!C216</f>
        <v>0</v>
      </c>
      <c r="B237" s="54"/>
      <c r="C237" s="21">
        <f t="shared" si="45"/>
        <v>1</v>
      </c>
      <c r="D237" s="667"/>
      <c r="E237" s="21">
        <f t="shared" si="46"/>
        <v>1</v>
      </c>
      <c r="F237" s="667"/>
      <c r="G237" s="21">
        <f t="shared" si="47"/>
        <v>1</v>
      </c>
      <c r="H237" s="667"/>
      <c r="I237" s="21">
        <f t="shared" si="48"/>
        <v>1</v>
      </c>
      <c r="J237" s="667"/>
      <c r="K237" s="21">
        <f t="shared" si="49"/>
        <v>1</v>
      </c>
      <c r="L237" s="667"/>
      <c r="M237" s="21">
        <f t="shared" si="50"/>
        <v>1</v>
      </c>
      <c r="N237" s="667"/>
      <c r="O237" s="21">
        <f t="shared" si="51"/>
        <v>1</v>
      </c>
      <c r="P237" s="667"/>
      <c r="Q237" s="21">
        <f t="shared" si="52"/>
        <v>1</v>
      </c>
      <c r="R237" s="663">
        <f t="shared" si="53"/>
        <v>0</v>
      </c>
      <c r="S237" s="316">
        <f t="shared" si="54"/>
        <v>0</v>
      </c>
    </row>
    <row r="238" spans="1:19">
      <c r="A238" s="665">
        <f>面积明细表!C217</f>
        <v>0</v>
      </c>
      <c r="B238" s="54"/>
      <c r="C238" s="21">
        <f t="shared" si="45"/>
        <v>1</v>
      </c>
      <c r="D238" s="667"/>
      <c r="E238" s="21">
        <f t="shared" si="46"/>
        <v>1</v>
      </c>
      <c r="F238" s="667"/>
      <c r="G238" s="21">
        <f t="shared" si="47"/>
        <v>1</v>
      </c>
      <c r="H238" s="667"/>
      <c r="I238" s="21">
        <f t="shared" si="48"/>
        <v>1</v>
      </c>
      <c r="J238" s="667"/>
      <c r="K238" s="21">
        <f t="shared" si="49"/>
        <v>1</v>
      </c>
      <c r="L238" s="667"/>
      <c r="M238" s="21">
        <f t="shared" si="50"/>
        <v>1</v>
      </c>
      <c r="N238" s="667"/>
      <c r="O238" s="21">
        <f t="shared" si="51"/>
        <v>1</v>
      </c>
      <c r="P238" s="667"/>
      <c r="Q238" s="21">
        <f t="shared" si="52"/>
        <v>1</v>
      </c>
      <c r="R238" s="663">
        <f t="shared" si="53"/>
        <v>0</v>
      </c>
      <c r="S238" s="316">
        <f t="shared" si="54"/>
        <v>0</v>
      </c>
    </row>
    <row r="239" spans="1:19">
      <c r="A239" s="665">
        <f>面积明细表!C218</f>
        <v>0</v>
      </c>
      <c r="B239" s="54"/>
      <c r="C239" s="21">
        <f t="shared" si="45"/>
        <v>1</v>
      </c>
      <c r="D239" s="667"/>
      <c r="E239" s="21">
        <f t="shared" si="46"/>
        <v>1</v>
      </c>
      <c r="F239" s="667"/>
      <c r="G239" s="21">
        <f t="shared" si="47"/>
        <v>1</v>
      </c>
      <c r="H239" s="667"/>
      <c r="I239" s="21">
        <f t="shared" si="48"/>
        <v>1</v>
      </c>
      <c r="J239" s="667"/>
      <c r="K239" s="21">
        <f t="shared" si="49"/>
        <v>1</v>
      </c>
      <c r="L239" s="667"/>
      <c r="M239" s="21">
        <f t="shared" si="50"/>
        <v>1</v>
      </c>
      <c r="N239" s="667"/>
      <c r="O239" s="21">
        <f t="shared" si="51"/>
        <v>1</v>
      </c>
      <c r="P239" s="667"/>
      <c r="Q239" s="21">
        <f t="shared" si="52"/>
        <v>1</v>
      </c>
      <c r="R239" s="663">
        <f t="shared" si="53"/>
        <v>0</v>
      </c>
      <c r="S239" s="316">
        <f t="shared" si="54"/>
        <v>0</v>
      </c>
    </row>
    <row r="240" spans="1:19">
      <c r="A240" s="665">
        <f>面积明细表!C219</f>
        <v>0</v>
      </c>
      <c r="B240" s="54"/>
      <c r="C240" s="21">
        <f t="shared" si="45"/>
        <v>1</v>
      </c>
      <c r="D240" s="667"/>
      <c r="E240" s="21">
        <f t="shared" si="46"/>
        <v>1</v>
      </c>
      <c r="F240" s="667"/>
      <c r="G240" s="21">
        <f t="shared" si="47"/>
        <v>1</v>
      </c>
      <c r="H240" s="667"/>
      <c r="I240" s="21">
        <f t="shared" si="48"/>
        <v>1</v>
      </c>
      <c r="J240" s="667"/>
      <c r="K240" s="21">
        <f t="shared" si="49"/>
        <v>1</v>
      </c>
      <c r="L240" s="667"/>
      <c r="M240" s="21">
        <f t="shared" si="50"/>
        <v>1</v>
      </c>
      <c r="N240" s="667"/>
      <c r="O240" s="21">
        <f t="shared" si="51"/>
        <v>1</v>
      </c>
      <c r="P240" s="667"/>
      <c r="Q240" s="21">
        <f t="shared" si="52"/>
        <v>1</v>
      </c>
      <c r="R240" s="663">
        <f t="shared" si="53"/>
        <v>0</v>
      </c>
      <c r="S240" s="316">
        <f t="shared" si="54"/>
        <v>0</v>
      </c>
    </row>
    <row r="241" spans="1:19">
      <c r="A241" s="665">
        <f>面积明细表!C220</f>
        <v>0</v>
      </c>
      <c r="B241" s="54"/>
      <c r="C241" s="21">
        <f t="shared" si="45"/>
        <v>1</v>
      </c>
      <c r="D241" s="667"/>
      <c r="E241" s="21">
        <f t="shared" si="46"/>
        <v>1</v>
      </c>
      <c r="F241" s="667"/>
      <c r="G241" s="21">
        <f t="shared" si="47"/>
        <v>1</v>
      </c>
      <c r="H241" s="667"/>
      <c r="I241" s="21">
        <f t="shared" si="48"/>
        <v>1</v>
      </c>
      <c r="J241" s="667"/>
      <c r="K241" s="21">
        <f t="shared" si="49"/>
        <v>1</v>
      </c>
      <c r="L241" s="667"/>
      <c r="M241" s="21">
        <f t="shared" si="50"/>
        <v>1</v>
      </c>
      <c r="N241" s="667"/>
      <c r="O241" s="21">
        <f t="shared" si="51"/>
        <v>1</v>
      </c>
      <c r="P241" s="667"/>
      <c r="Q241" s="21">
        <f t="shared" si="52"/>
        <v>1</v>
      </c>
      <c r="R241" s="663">
        <f t="shared" si="53"/>
        <v>0</v>
      </c>
      <c r="S241" s="316">
        <f t="shared" si="54"/>
        <v>0</v>
      </c>
    </row>
    <row r="242" spans="1:19">
      <c r="A242" s="665">
        <f>面积明细表!C221</f>
        <v>0</v>
      </c>
      <c r="B242" s="54"/>
      <c r="C242" s="21">
        <f t="shared" si="45"/>
        <v>1</v>
      </c>
      <c r="D242" s="667"/>
      <c r="E242" s="21">
        <f t="shared" si="46"/>
        <v>1</v>
      </c>
      <c r="F242" s="667"/>
      <c r="G242" s="21">
        <f t="shared" si="47"/>
        <v>1</v>
      </c>
      <c r="H242" s="667"/>
      <c r="I242" s="21">
        <f t="shared" si="48"/>
        <v>1</v>
      </c>
      <c r="J242" s="667"/>
      <c r="K242" s="21">
        <f t="shared" si="49"/>
        <v>1</v>
      </c>
      <c r="L242" s="667"/>
      <c r="M242" s="21">
        <f t="shared" si="50"/>
        <v>1</v>
      </c>
      <c r="N242" s="667"/>
      <c r="O242" s="21">
        <f t="shared" si="51"/>
        <v>1</v>
      </c>
      <c r="P242" s="667"/>
      <c r="Q242" s="21">
        <f t="shared" si="52"/>
        <v>1</v>
      </c>
      <c r="R242" s="663">
        <f t="shared" si="53"/>
        <v>0</v>
      </c>
      <c r="S242" s="316">
        <f t="shared" si="54"/>
        <v>0</v>
      </c>
    </row>
    <row r="243" spans="1:19">
      <c r="A243" s="665">
        <f>面积明细表!C222</f>
        <v>0</v>
      </c>
      <c r="B243" s="54"/>
      <c r="C243" s="21">
        <f t="shared" si="45"/>
        <v>1</v>
      </c>
      <c r="D243" s="667"/>
      <c r="E243" s="21">
        <f t="shared" si="46"/>
        <v>1</v>
      </c>
      <c r="F243" s="667"/>
      <c r="G243" s="21">
        <f t="shared" si="47"/>
        <v>1</v>
      </c>
      <c r="H243" s="667"/>
      <c r="I243" s="21">
        <f t="shared" si="48"/>
        <v>1</v>
      </c>
      <c r="J243" s="667"/>
      <c r="K243" s="21">
        <f t="shared" si="49"/>
        <v>1</v>
      </c>
      <c r="L243" s="667"/>
      <c r="M243" s="21">
        <f t="shared" si="50"/>
        <v>1</v>
      </c>
      <c r="N243" s="667"/>
      <c r="O243" s="21">
        <f t="shared" si="51"/>
        <v>1</v>
      </c>
      <c r="P243" s="667"/>
      <c r="Q243" s="21">
        <f t="shared" si="52"/>
        <v>1</v>
      </c>
      <c r="R243" s="663">
        <f t="shared" si="53"/>
        <v>0</v>
      </c>
      <c r="S243" s="316">
        <f t="shared" si="54"/>
        <v>0</v>
      </c>
    </row>
    <row r="244" spans="1:19">
      <c r="A244" s="665">
        <f>面积明细表!C223</f>
        <v>0</v>
      </c>
      <c r="B244" s="54"/>
      <c r="C244" s="21">
        <f t="shared" si="45"/>
        <v>1</v>
      </c>
      <c r="D244" s="667"/>
      <c r="E244" s="21">
        <f t="shared" si="46"/>
        <v>1</v>
      </c>
      <c r="F244" s="667"/>
      <c r="G244" s="21">
        <f t="shared" si="47"/>
        <v>1</v>
      </c>
      <c r="H244" s="667"/>
      <c r="I244" s="21">
        <f t="shared" si="48"/>
        <v>1</v>
      </c>
      <c r="J244" s="667"/>
      <c r="K244" s="21">
        <f t="shared" si="49"/>
        <v>1</v>
      </c>
      <c r="L244" s="667"/>
      <c r="M244" s="21">
        <f t="shared" si="50"/>
        <v>1</v>
      </c>
      <c r="N244" s="667"/>
      <c r="O244" s="21">
        <f t="shared" si="51"/>
        <v>1</v>
      </c>
      <c r="P244" s="667"/>
      <c r="Q244" s="21">
        <f t="shared" si="52"/>
        <v>1</v>
      </c>
      <c r="R244" s="663">
        <f t="shared" si="53"/>
        <v>0</v>
      </c>
      <c r="S244" s="316">
        <f t="shared" si="54"/>
        <v>0</v>
      </c>
    </row>
    <row r="245" spans="1:19">
      <c r="A245" s="665">
        <f>面积明细表!C224</f>
        <v>0</v>
      </c>
      <c r="B245" s="54"/>
      <c r="C245" s="21">
        <f t="shared" si="45"/>
        <v>1</v>
      </c>
      <c r="D245" s="667"/>
      <c r="E245" s="21">
        <f t="shared" si="46"/>
        <v>1</v>
      </c>
      <c r="F245" s="667"/>
      <c r="G245" s="21">
        <f t="shared" si="47"/>
        <v>1</v>
      </c>
      <c r="H245" s="667"/>
      <c r="I245" s="21">
        <f t="shared" si="48"/>
        <v>1</v>
      </c>
      <c r="J245" s="667"/>
      <c r="K245" s="21">
        <f t="shared" si="49"/>
        <v>1</v>
      </c>
      <c r="L245" s="667"/>
      <c r="M245" s="21">
        <f t="shared" si="50"/>
        <v>1</v>
      </c>
      <c r="N245" s="667"/>
      <c r="O245" s="21">
        <f t="shared" si="51"/>
        <v>1</v>
      </c>
      <c r="P245" s="667"/>
      <c r="Q245" s="21">
        <f t="shared" si="52"/>
        <v>1</v>
      </c>
      <c r="R245" s="663">
        <f t="shared" si="53"/>
        <v>0</v>
      </c>
      <c r="S245" s="316">
        <f t="shared" si="54"/>
        <v>0</v>
      </c>
    </row>
    <row r="246" spans="1:19">
      <c r="A246" s="665">
        <f>面积明细表!C225</f>
        <v>0</v>
      </c>
      <c r="B246" s="54"/>
      <c r="C246" s="21">
        <f t="shared" si="45"/>
        <v>1</v>
      </c>
      <c r="D246" s="667"/>
      <c r="E246" s="21">
        <f t="shared" si="46"/>
        <v>1</v>
      </c>
      <c r="F246" s="667"/>
      <c r="G246" s="21">
        <f t="shared" si="47"/>
        <v>1</v>
      </c>
      <c r="H246" s="667"/>
      <c r="I246" s="21">
        <f t="shared" si="48"/>
        <v>1</v>
      </c>
      <c r="J246" s="667"/>
      <c r="K246" s="21">
        <f t="shared" si="49"/>
        <v>1</v>
      </c>
      <c r="L246" s="667"/>
      <c r="M246" s="21">
        <f t="shared" si="50"/>
        <v>1</v>
      </c>
      <c r="N246" s="667"/>
      <c r="O246" s="21">
        <f t="shared" si="51"/>
        <v>1</v>
      </c>
      <c r="P246" s="667"/>
      <c r="Q246" s="21">
        <f t="shared" si="52"/>
        <v>1</v>
      </c>
      <c r="R246" s="663">
        <f t="shared" si="53"/>
        <v>0</v>
      </c>
      <c r="S246" s="316">
        <f t="shared" si="54"/>
        <v>0</v>
      </c>
    </row>
    <row r="247" spans="1:19">
      <c r="A247" s="665">
        <f>面积明细表!C226</f>
        <v>0</v>
      </c>
      <c r="B247" s="54"/>
      <c r="C247" s="21">
        <f t="shared" si="45"/>
        <v>1</v>
      </c>
      <c r="D247" s="667"/>
      <c r="E247" s="21">
        <f t="shared" si="46"/>
        <v>1</v>
      </c>
      <c r="F247" s="667"/>
      <c r="G247" s="21">
        <f t="shared" si="47"/>
        <v>1</v>
      </c>
      <c r="H247" s="667"/>
      <c r="I247" s="21">
        <f t="shared" si="48"/>
        <v>1</v>
      </c>
      <c r="J247" s="667"/>
      <c r="K247" s="21">
        <f t="shared" si="49"/>
        <v>1</v>
      </c>
      <c r="L247" s="667"/>
      <c r="M247" s="21">
        <f t="shared" si="50"/>
        <v>1</v>
      </c>
      <c r="N247" s="667"/>
      <c r="O247" s="21">
        <f t="shared" si="51"/>
        <v>1</v>
      </c>
      <c r="P247" s="667"/>
      <c r="Q247" s="21">
        <f t="shared" si="52"/>
        <v>1</v>
      </c>
      <c r="R247" s="663">
        <f t="shared" si="53"/>
        <v>0</v>
      </c>
      <c r="S247" s="316">
        <f t="shared" si="54"/>
        <v>0</v>
      </c>
    </row>
    <row r="248" spans="1:19">
      <c r="A248" s="665">
        <f>面积明细表!C227</f>
        <v>0</v>
      </c>
      <c r="B248" s="54"/>
      <c r="C248" s="21">
        <f t="shared" si="45"/>
        <v>1</v>
      </c>
      <c r="D248" s="667"/>
      <c r="E248" s="21">
        <f t="shared" si="46"/>
        <v>1</v>
      </c>
      <c r="F248" s="667"/>
      <c r="G248" s="21">
        <f t="shared" si="47"/>
        <v>1</v>
      </c>
      <c r="H248" s="667"/>
      <c r="I248" s="21">
        <f t="shared" si="48"/>
        <v>1</v>
      </c>
      <c r="J248" s="667"/>
      <c r="K248" s="21">
        <f t="shared" si="49"/>
        <v>1</v>
      </c>
      <c r="L248" s="667"/>
      <c r="M248" s="21">
        <f t="shared" si="50"/>
        <v>1</v>
      </c>
      <c r="N248" s="667"/>
      <c r="O248" s="21">
        <f t="shared" si="51"/>
        <v>1</v>
      </c>
      <c r="P248" s="667"/>
      <c r="Q248" s="21">
        <f t="shared" si="52"/>
        <v>1</v>
      </c>
      <c r="R248" s="663">
        <f t="shared" si="53"/>
        <v>0</v>
      </c>
      <c r="S248" s="316">
        <f t="shared" si="54"/>
        <v>0</v>
      </c>
    </row>
    <row r="249" spans="1:19">
      <c r="A249" s="665">
        <f>面积明细表!C228</f>
        <v>0</v>
      </c>
      <c r="B249" s="54"/>
      <c r="C249" s="21">
        <f t="shared" si="45"/>
        <v>1</v>
      </c>
      <c r="D249" s="667"/>
      <c r="E249" s="21">
        <f t="shared" si="46"/>
        <v>1</v>
      </c>
      <c r="F249" s="667"/>
      <c r="G249" s="21">
        <f t="shared" si="47"/>
        <v>1</v>
      </c>
      <c r="H249" s="667"/>
      <c r="I249" s="21">
        <f t="shared" si="48"/>
        <v>1</v>
      </c>
      <c r="J249" s="667"/>
      <c r="K249" s="21">
        <f t="shared" si="49"/>
        <v>1</v>
      </c>
      <c r="L249" s="667"/>
      <c r="M249" s="21">
        <f t="shared" si="50"/>
        <v>1</v>
      </c>
      <c r="N249" s="667"/>
      <c r="O249" s="21">
        <f t="shared" si="51"/>
        <v>1</v>
      </c>
      <c r="P249" s="667"/>
      <c r="Q249" s="21">
        <f t="shared" si="52"/>
        <v>1</v>
      </c>
      <c r="R249" s="663">
        <f t="shared" si="53"/>
        <v>0</v>
      </c>
      <c r="S249" s="316">
        <f t="shared" si="54"/>
        <v>0</v>
      </c>
    </row>
    <row r="250" spans="1:19">
      <c r="A250" s="665">
        <f>面积明细表!C229</f>
        <v>0</v>
      </c>
      <c r="B250" s="54"/>
      <c r="C250" s="21">
        <f t="shared" si="45"/>
        <v>1</v>
      </c>
      <c r="D250" s="667"/>
      <c r="E250" s="21">
        <f t="shared" si="46"/>
        <v>1</v>
      </c>
      <c r="F250" s="667"/>
      <c r="G250" s="21">
        <f t="shared" si="47"/>
        <v>1</v>
      </c>
      <c r="H250" s="667"/>
      <c r="I250" s="21">
        <f t="shared" si="48"/>
        <v>1</v>
      </c>
      <c r="J250" s="667"/>
      <c r="K250" s="21">
        <f t="shared" si="49"/>
        <v>1</v>
      </c>
      <c r="L250" s="667"/>
      <c r="M250" s="21">
        <f t="shared" si="50"/>
        <v>1</v>
      </c>
      <c r="N250" s="667"/>
      <c r="O250" s="21">
        <f t="shared" si="51"/>
        <v>1</v>
      </c>
      <c r="P250" s="667"/>
      <c r="Q250" s="21">
        <f t="shared" si="52"/>
        <v>1</v>
      </c>
      <c r="R250" s="663">
        <f t="shared" si="53"/>
        <v>0</v>
      </c>
      <c r="S250" s="316">
        <f t="shared" si="54"/>
        <v>0</v>
      </c>
    </row>
    <row r="251" spans="1:19">
      <c r="A251" s="665">
        <f>面积明细表!C230</f>
        <v>0</v>
      </c>
      <c r="B251" s="54"/>
      <c r="C251" s="21">
        <f t="shared" si="45"/>
        <v>1</v>
      </c>
      <c r="D251" s="667"/>
      <c r="E251" s="21">
        <f t="shared" si="46"/>
        <v>1</v>
      </c>
      <c r="F251" s="667"/>
      <c r="G251" s="21">
        <f t="shared" si="47"/>
        <v>1</v>
      </c>
      <c r="H251" s="667"/>
      <c r="I251" s="21">
        <f t="shared" si="48"/>
        <v>1</v>
      </c>
      <c r="J251" s="667"/>
      <c r="K251" s="21">
        <f t="shared" si="49"/>
        <v>1</v>
      </c>
      <c r="L251" s="667"/>
      <c r="M251" s="21">
        <f t="shared" si="50"/>
        <v>1</v>
      </c>
      <c r="N251" s="667"/>
      <c r="O251" s="21">
        <f t="shared" si="51"/>
        <v>1</v>
      </c>
      <c r="P251" s="667"/>
      <c r="Q251" s="21">
        <f t="shared" si="52"/>
        <v>1</v>
      </c>
      <c r="R251" s="663">
        <f t="shared" si="53"/>
        <v>0</v>
      </c>
      <c r="S251" s="316">
        <f t="shared" si="54"/>
        <v>0</v>
      </c>
    </row>
    <row r="252" spans="1:19">
      <c r="A252" s="665">
        <f>面积明细表!C231</f>
        <v>0</v>
      </c>
      <c r="B252" s="54"/>
      <c r="C252" s="21">
        <f t="shared" si="45"/>
        <v>1</v>
      </c>
      <c r="D252" s="667"/>
      <c r="E252" s="21">
        <f t="shared" si="46"/>
        <v>1</v>
      </c>
      <c r="F252" s="667"/>
      <c r="G252" s="21">
        <f t="shared" si="47"/>
        <v>1</v>
      </c>
      <c r="H252" s="667"/>
      <c r="I252" s="21">
        <f t="shared" si="48"/>
        <v>1</v>
      </c>
      <c r="J252" s="667"/>
      <c r="K252" s="21">
        <f t="shared" si="49"/>
        <v>1</v>
      </c>
      <c r="L252" s="667"/>
      <c r="M252" s="21">
        <f t="shared" si="50"/>
        <v>1</v>
      </c>
      <c r="N252" s="667"/>
      <c r="O252" s="21">
        <f t="shared" si="51"/>
        <v>1</v>
      </c>
      <c r="P252" s="667"/>
      <c r="Q252" s="21">
        <f t="shared" si="52"/>
        <v>1</v>
      </c>
      <c r="R252" s="663">
        <f t="shared" si="53"/>
        <v>0</v>
      </c>
      <c r="S252" s="316">
        <f t="shared" si="54"/>
        <v>0</v>
      </c>
    </row>
    <row r="253" spans="1:19">
      <c r="A253" s="665">
        <f>面积明细表!C232</f>
        <v>0</v>
      </c>
      <c r="B253" s="54"/>
      <c r="C253" s="21">
        <f t="shared" si="45"/>
        <v>1</v>
      </c>
      <c r="D253" s="667"/>
      <c r="E253" s="21">
        <f t="shared" si="46"/>
        <v>1</v>
      </c>
      <c r="F253" s="667"/>
      <c r="G253" s="21">
        <f t="shared" si="47"/>
        <v>1</v>
      </c>
      <c r="H253" s="667"/>
      <c r="I253" s="21">
        <f t="shared" si="48"/>
        <v>1</v>
      </c>
      <c r="J253" s="667"/>
      <c r="K253" s="21">
        <f t="shared" si="49"/>
        <v>1</v>
      </c>
      <c r="L253" s="667"/>
      <c r="M253" s="21">
        <f t="shared" si="50"/>
        <v>1</v>
      </c>
      <c r="N253" s="667"/>
      <c r="O253" s="21">
        <f t="shared" si="51"/>
        <v>1</v>
      </c>
      <c r="P253" s="667"/>
      <c r="Q253" s="21">
        <f t="shared" si="52"/>
        <v>1</v>
      </c>
      <c r="R253" s="663">
        <f t="shared" si="53"/>
        <v>0</v>
      </c>
      <c r="S253" s="316">
        <f t="shared" si="54"/>
        <v>0</v>
      </c>
    </row>
    <row r="254" spans="1:19">
      <c r="A254" s="665">
        <f>面积明细表!C233</f>
        <v>0</v>
      </c>
      <c r="B254" s="54"/>
      <c r="C254" s="21">
        <f t="shared" si="45"/>
        <v>1</v>
      </c>
      <c r="D254" s="667"/>
      <c r="E254" s="21">
        <f t="shared" si="46"/>
        <v>1</v>
      </c>
      <c r="F254" s="667"/>
      <c r="G254" s="21">
        <f t="shared" si="47"/>
        <v>1</v>
      </c>
      <c r="H254" s="667"/>
      <c r="I254" s="21">
        <f t="shared" si="48"/>
        <v>1</v>
      </c>
      <c r="J254" s="667"/>
      <c r="K254" s="21">
        <f t="shared" si="49"/>
        <v>1</v>
      </c>
      <c r="L254" s="667"/>
      <c r="M254" s="21">
        <f t="shared" si="50"/>
        <v>1</v>
      </c>
      <c r="N254" s="667"/>
      <c r="O254" s="21">
        <f t="shared" si="51"/>
        <v>1</v>
      </c>
      <c r="P254" s="667"/>
      <c r="Q254" s="21">
        <f t="shared" si="52"/>
        <v>1</v>
      </c>
      <c r="R254" s="663">
        <f t="shared" si="53"/>
        <v>0</v>
      </c>
      <c r="S254" s="316">
        <f t="shared" si="54"/>
        <v>0</v>
      </c>
    </row>
    <row r="255" spans="1:19">
      <c r="A255" s="665">
        <f>面积明细表!C234</f>
        <v>0</v>
      </c>
      <c r="B255" s="54"/>
      <c r="C255" s="21">
        <f t="shared" si="45"/>
        <v>1</v>
      </c>
      <c r="D255" s="667"/>
      <c r="E255" s="21">
        <f t="shared" si="46"/>
        <v>1</v>
      </c>
      <c r="F255" s="667"/>
      <c r="G255" s="21">
        <f t="shared" si="47"/>
        <v>1</v>
      </c>
      <c r="H255" s="667"/>
      <c r="I255" s="21">
        <f t="shared" si="48"/>
        <v>1</v>
      </c>
      <c r="J255" s="667"/>
      <c r="K255" s="21">
        <f t="shared" si="49"/>
        <v>1</v>
      </c>
      <c r="L255" s="667"/>
      <c r="M255" s="21">
        <f t="shared" si="50"/>
        <v>1</v>
      </c>
      <c r="N255" s="667"/>
      <c r="O255" s="21">
        <f t="shared" si="51"/>
        <v>1</v>
      </c>
      <c r="P255" s="667"/>
      <c r="Q255" s="21">
        <f t="shared" si="52"/>
        <v>1</v>
      </c>
      <c r="R255" s="663">
        <f t="shared" si="53"/>
        <v>0</v>
      </c>
      <c r="S255" s="316">
        <f t="shared" si="54"/>
        <v>0</v>
      </c>
    </row>
    <row r="256" spans="1:19">
      <c r="A256" s="665">
        <f>面积明细表!C235</f>
        <v>0</v>
      </c>
      <c r="B256" s="54"/>
      <c r="C256" s="21">
        <f t="shared" si="45"/>
        <v>1</v>
      </c>
      <c r="D256" s="667"/>
      <c r="E256" s="21">
        <f t="shared" si="46"/>
        <v>1</v>
      </c>
      <c r="F256" s="667"/>
      <c r="G256" s="21">
        <f t="shared" si="47"/>
        <v>1</v>
      </c>
      <c r="H256" s="667"/>
      <c r="I256" s="21">
        <f t="shared" si="48"/>
        <v>1</v>
      </c>
      <c r="J256" s="667"/>
      <c r="K256" s="21">
        <f t="shared" si="49"/>
        <v>1</v>
      </c>
      <c r="L256" s="667"/>
      <c r="M256" s="21">
        <f t="shared" si="50"/>
        <v>1</v>
      </c>
      <c r="N256" s="667"/>
      <c r="O256" s="21">
        <f t="shared" si="51"/>
        <v>1</v>
      </c>
      <c r="P256" s="667"/>
      <c r="Q256" s="21">
        <f t="shared" si="52"/>
        <v>1</v>
      </c>
      <c r="R256" s="663">
        <f t="shared" si="53"/>
        <v>0</v>
      </c>
      <c r="S256" s="316">
        <f t="shared" si="54"/>
        <v>0</v>
      </c>
    </row>
    <row r="257" spans="1:19">
      <c r="A257" s="665">
        <f>面积明细表!C236</f>
        <v>0</v>
      </c>
      <c r="B257" s="54"/>
      <c r="C257" s="21">
        <f t="shared" si="45"/>
        <v>1</v>
      </c>
      <c r="D257" s="667"/>
      <c r="E257" s="21">
        <f t="shared" si="46"/>
        <v>1</v>
      </c>
      <c r="F257" s="667"/>
      <c r="G257" s="21">
        <f t="shared" si="47"/>
        <v>1</v>
      </c>
      <c r="H257" s="667"/>
      <c r="I257" s="21">
        <f t="shared" si="48"/>
        <v>1</v>
      </c>
      <c r="J257" s="667"/>
      <c r="K257" s="21">
        <f t="shared" si="49"/>
        <v>1</v>
      </c>
      <c r="L257" s="667"/>
      <c r="M257" s="21">
        <f t="shared" si="50"/>
        <v>1</v>
      </c>
      <c r="N257" s="667"/>
      <c r="O257" s="21">
        <f t="shared" si="51"/>
        <v>1</v>
      </c>
      <c r="P257" s="667"/>
      <c r="Q257" s="21">
        <f t="shared" si="52"/>
        <v>1</v>
      </c>
      <c r="R257" s="663">
        <f t="shared" si="53"/>
        <v>0</v>
      </c>
      <c r="S257" s="316">
        <f t="shared" si="54"/>
        <v>0</v>
      </c>
    </row>
    <row r="258" spans="1:19">
      <c r="A258" s="665">
        <f>面积明细表!C237</f>
        <v>0</v>
      </c>
      <c r="B258" s="54"/>
      <c r="C258" s="21">
        <f t="shared" si="45"/>
        <v>1</v>
      </c>
      <c r="D258" s="667"/>
      <c r="E258" s="21">
        <f t="shared" si="46"/>
        <v>1</v>
      </c>
      <c r="F258" s="667"/>
      <c r="G258" s="21">
        <f t="shared" si="47"/>
        <v>1</v>
      </c>
      <c r="H258" s="667"/>
      <c r="I258" s="21">
        <f t="shared" si="48"/>
        <v>1</v>
      </c>
      <c r="J258" s="667"/>
      <c r="K258" s="21">
        <f t="shared" si="49"/>
        <v>1</v>
      </c>
      <c r="L258" s="667"/>
      <c r="M258" s="21">
        <f t="shared" si="50"/>
        <v>1</v>
      </c>
      <c r="N258" s="667"/>
      <c r="O258" s="21">
        <f t="shared" si="51"/>
        <v>1</v>
      </c>
      <c r="P258" s="667"/>
      <c r="Q258" s="21">
        <f t="shared" si="52"/>
        <v>1</v>
      </c>
      <c r="R258" s="663">
        <f t="shared" si="53"/>
        <v>0</v>
      </c>
      <c r="S258" s="316">
        <f t="shared" si="54"/>
        <v>0</v>
      </c>
    </row>
    <row r="259" spans="1:19">
      <c r="A259" s="665">
        <f>面积明细表!C238</f>
        <v>0</v>
      </c>
      <c r="B259" s="54"/>
      <c r="C259" s="21">
        <f t="shared" si="45"/>
        <v>1</v>
      </c>
      <c r="D259" s="667"/>
      <c r="E259" s="21">
        <f t="shared" si="46"/>
        <v>1</v>
      </c>
      <c r="F259" s="667"/>
      <c r="G259" s="21">
        <f t="shared" si="47"/>
        <v>1</v>
      </c>
      <c r="H259" s="667"/>
      <c r="I259" s="21">
        <f t="shared" si="48"/>
        <v>1</v>
      </c>
      <c r="J259" s="667"/>
      <c r="K259" s="21">
        <f t="shared" si="49"/>
        <v>1</v>
      </c>
      <c r="L259" s="667"/>
      <c r="M259" s="21">
        <f t="shared" si="50"/>
        <v>1</v>
      </c>
      <c r="N259" s="667"/>
      <c r="O259" s="21">
        <f t="shared" si="51"/>
        <v>1</v>
      </c>
      <c r="P259" s="667"/>
      <c r="Q259" s="21">
        <f t="shared" si="52"/>
        <v>1</v>
      </c>
      <c r="R259" s="663">
        <f t="shared" si="53"/>
        <v>0</v>
      </c>
      <c r="S259" s="316">
        <f t="shared" si="54"/>
        <v>0</v>
      </c>
    </row>
    <row r="260" spans="1:19">
      <c r="A260" s="665">
        <f>面积明细表!C239</f>
        <v>0</v>
      </c>
      <c r="B260" s="54"/>
      <c r="C260" s="21">
        <f t="shared" si="45"/>
        <v>1</v>
      </c>
      <c r="D260" s="667"/>
      <c r="E260" s="21">
        <f t="shared" si="46"/>
        <v>1</v>
      </c>
      <c r="F260" s="667"/>
      <c r="G260" s="21">
        <f t="shared" si="47"/>
        <v>1</v>
      </c>
      <c r="H260" s="667"/>
      <c r="I260" s="21">
        <f t="shared" si="48"/>
        <v>1</v>
      </c>
      <c r="J260" s="667"/>
      <c r="K260" s="21">
        <f t="shared" si="49"/>
        <v>1</v>
      </c>
      <c r="L260" s="667"/>
      <c r="M260" s="21">
        <f t="shared" si="50"/>
        <v>1</v>
      </c>
      <c r="N260" s="667"/>
      <c r="O260" s="21">
        <f t="shared" si="51"/>
        <v>1</v>
      </c>
      <c r="P260" s="667"/>
      <c r="Q260" s="21">
        <f t="shared" si="52"/>
        <v>1</v>
      </c>
      <c r="R260" s="663">
        <f t="shared" si="53"/>
        <v>0</v>
      </c>
      <c r="S260" s="316">
        <f t="shared" si="54"/>
        <v>0</v>
      </c>
    </row>
    <row r="261" spans="1:19">
      <c r="A261" s="665">
        <f>面积明细表!C240</f>
        <v>0</v>
      </c>
      <c r="B261" s="54"/>
      <c r="C261" s="21">
        <f t="shared" si="45"/>
        <v>1</v>
      </c>
      <c r="D261" s="667"/>
      <c r="E261" s="21">
        <f t="shared" si="46"/>
        <v>1</v>
      </c>
      <c r="F261" s="667"/>
      <c r="G261" s="21">
        <f t="shared" si="47"/>
        <v>1</v>
      </c>
      <c r="H261" s="667"/>
      <c r="I261" s="21">
        <f t="shared" si="48"/>
        <v>1</v>
      </c>
      <c r="J261" s="667"/>
      <c r="K261" s="21">
        <f t="shared" si="49"/>
        <v>1</v>
      </c>
      <c r="L261" s="667"/>
      <c r="M261" s="21">
        <f t="shared" si="50"/>
        <v>1</v>
      </c>
      <c r="N261" s="667"/>
      <c r="O261" s="21">
        <f t="shared" si="51"/>
        <v>1</v>
      </c>
      <c r="P261" s="667"/>
      <c r="Q261" s="21">
        <f t="shared" si="52"/>
        <v>1</v>
      </c>
      <c r="R261" s="663">
        <f t="shared" si="53"/>
        <v>0</v>
      </c>
      <c r="S261" s="316">
        <f t="shared" si="54"/>
        <v>0</v>
      </c>
    </row>
    <row r="262" spans="1:19">
      <c r="A262" s="665">
        <f>面积明细表!C241</f>
        <v>0</v>
      </c>
      <c r="B262" s="54"/>
      <c r="C262" s="21">
        <f t="shared" si="45"/>
        <v>1</v>
      </c>
      <c r="D262" s="667"/>
      <c r="E262" s="21">
        <f t="shared" si="46"/>
        <v>1</v>
      </c>
      <c r="F262" s="667"/>
      <c r="G262" s="21">
        <f t="shared" si="47"/>
        <v>1</v>
      </c>
      <c r="H262" s="667"/>
      <c r="I262" s="21">
        <f t="shared" si="48"/>
        <v>1</v>
      </c>
      <c r="J262" s="667"/>
      <c r="K262" s="21">
        <f t="shared" si="49"/>
        <v>1</v>
      </c>
      <c r="L262" s="667"/>
      <c r="M262" s="21">
        <f t="shared" si="50"/>
        <v>1</v>
      </c>
      <c r="N262" s="667"/>
      <c r="O262" s="21">
        <f t="shared" si="51"/>
        <v>1</v>
      </c>
      <c r="P262" s="667"/>
      <c r="Q262" s="21">
        <f t="shared" si="52"/>
        <v>1</v>
      </c>
      <c r="R262" s="663">
        <f t="shared" si="53"/>
        <v>0</v>
      </c>
      <c r="S262" s="316">
        <f t="shared" si="54"/>
        <v>0</v>
      </c>
    </row>
    <row r="263" spans="1:19">
      <c r="A263" s="665">
        <f>面积明细表!C242</f>
        <v>0</v>
      </c>
      <c r="B263" s="54"/>
      <c r="C263" s="21">
        <f t="shared" si="45"/>
        <v>1</v>
      </c>
      <c r="D263" s="667"/>
      <c r="E263" s="21">
        <f t="shared" si="46"/>
        <v>1</v>
      </c>
      <c r="F263" s="667"/>
      <c r="G263" s="21">
        <f t="shared" si="47"/>
        <v>1</v>
      </c>
      <c r="H263" s="667"/>
      <c r="I263" s="21">
        <f t="shared" si="48"/>
        <v>1</v>
      </c>
      <c r="J263" s="667"/>
      <c r="K263" s="21">
        <f t="shared" si="49"/>
        <v>1</v>
      </c>
      <c r="L263" s="667"/>
      <c r="M263" s="21">
        <f t="shared" si="50"/>
        <v>1</v>
      </c>
      <c r="N263" s="667"/>
      <c r="O263" s="21">
        <f t="shared" si="51"/>
        <v>1</v>
      </c>
      <c r="P263" s="667"/>
      <c r="Q263" s="21">
        <f t="shared" si="52"/>
        <v>1</v>
      </c>
      <c r="R263" s="663">
        <f t="shared" si="53"/>
        <v>0</v>
      </c>
      <c r="S263" s="316">
        <f t="shared" si="54"/>
        <v>0</v>
      </c>
    </row>
    <row r="264" spans="1:19">
      <c r="A264" s="665">
        <f>面积明细表!C243</f>
        <v>0</v>
      </c>
      <c r="B264" s="54"/>
      <c r="C264" s="21">
        <f t="shared" si="45"/>
        <v>1</v>
      </c>
      <c r="D264" s="667"/>
      <c r="E264" s="21">
        <f t="shared" si="46"/>
        <v>1</v>
      </c>
      <c r="F264" s="667"/>
      <c r="G264" s="21">
        <f t="shared" si="47"/>
        <v>1</v>
      </c>
      <c r="H264" s="667"/>
      <c r="I264" s="21">
        <f t="shared" si="48"/>
        <v>1</v>
      </c>
      <c r="J264" s="667"/>
      <c r="K264" s="21">
        <f t="shared" si="49"/>
        <v>1</v>
      </c>
      <c r="L264" s="667"/>
      <c r="M264" s="21">
        <f t="shared" si="50"/>
        <v>1</v>
      </c>
      <c r="N264" s="667"/>
      <c r="O264" s="21">
        <f t="shared" si="51"/>
        <v>1</v>
      </c>
      <c r="P264" s="667"/>
      <c r="Q264" s="21">
        <f t="shared" si="52"/>
        <v>1</v>
      </c>
      <c r="R264" s="663">
        <f t="shared" si="53"/>
        <v>0</v>
      </c>
      <c r="S264" s="316">
        <f t="shared" si="54"/>
        <v>0</v>
      </c>
    </row>
    <row r="265" spans="1:19">
      <c r="A265" s="665">
        <f>面积明细表!C244</f>
        <v>0</v>
      </c>
      <c r="B265" s="54"/>
      <c r="C265" s="21">
        <f t="shared" si="45"/>
        <v>1</v>
      </c>
      <c r="D265" s="667"/>
      <c r="E265" s="21">
        <f t="shared" si="46"/>
        <v>1</v>
      </c>
      <c r="F265" s="667"/>
      <c r="G265" s="21">
        <f t="shared" si="47"/>
        <v>1</v>
      </c>
      <c r="H265" s="667"/>
      <c r="I265" s="21">
        <f t="shared" si="48"/>
        <v>1</v>
      </c>
      <c r="J265" s="667"/>
      <c r="K265" s="21">
        <f t="shared" si="49"/>
        <v>1</v>
      </c>
      <c r="L265" s="667"/>
      <c r="M265" s="21">
        <f t="shared" si="50"/>
        <v>1</v>
      </c>
      <c r="N265" s="667"/>
      <c r="O265" s="21">
        <f t="shared" si="51"/>
        <v>1</v>
      </c>
      <c r="P265" s="667"/>
      <c r="Q265" s="21">
        <f t="shared" si="52"/>
        <v>1</v>
      </c>
      <c r="R265" s="663">
        <f t="shared" si="53"/>
        <v>0</v>
      </c>
      <c r="S265" s="316">
        <f t="shared" si="54"/>
        <v>0</v>
      </c>
    </row>
    <row r="266" spans="1:19">
      <c r="A266" s="665">
        <f>面积明细表!C245</f>
        <v>0</v>
      </c>
      <c r="B266" s="54"/>
      <c r="C266" s="21">
        <f t="shared" si="45"/>
        <v>1</v>
      </c>
      <c r="D266" s="667"/>
      <c r="E266" s="21">
        <f t="shared" si="46"/>
        <v>1</v>
      </c>
      <c r="F266" s="667"/>
      <c r="G266" s="21">
        <f t="shared" si="47"/>
        <v>1</v>
      </c>
      <c r="H266" s="667"/>
      <c r="I266" s="21">
        <f t="shared" si="48"/>
        <v>1</v>
      </c>
      <c r="J266" s="667"/>
      <c r="K266" s="21">
        <f t="shared" si="49"/>
        <v>1</v>
      </c>
      <c r="L266" s="667"/>
      <c r="M266" s="21">
        <f t="shared" si="50"/>
        <v>1</v>
      </c>
      <c r="N266" s="667"/>
      <c r="O266" s="21">
        <f t="shared" si="51"/>
        <v>1</v>
      </c>
      <c r="P266" s="667"/>
      <c r="Q266" s="21">
        <f t="shared" si="52"/>
        <v>1</v>
      </c>
      <c r="R266" s="663">
        <f t="shared" si="53"/>
        <v>0</v>
      </c>
      <c r="S266" s="316">
        <f t="shared" si="54"/>
        <v>0</v>
      </c>
    </row>
    <row r="267" spans="1:19">
      <c r="A267" s="665">
        <f>面积明细表!C246</f>
        <v>0</v>
      </c>
      <c r="B267" s="54"/>
      <c r="C267" s="21">
        <f t="shared" si="45"/>
        <v>1</v>
      </c>
      <c r="D267" s="667"/>
      <c r="E267" s="21">
        <f t="shared" si="46"/>
        <v>1</v>
      </c>
      <c r="F267" s="667"/>
      <c r="G267" s="21">
        <f t="shared" si="47"/>
        <v>1</v>
      </c>
      <c r="H267" s="667"/>
      <c r="I267" s="21">
        <f t="shared" si="48"/>
        <v>1</v>
      </c>
      <c r="J267" s="667"/>
      <c r="K267" s="21">
        <f t="shared" si="49"/>
        <v>1</v>
      </c>
      <c r="L267" s="667"/>
      <c r="M267" s="21">
        <f t="shared" si="50"/>
        <v>1</v>
      </c>
      <c r="N267" s="667"/>
      <c r="O267" s="21">
        <f t="shared" si="51"/>
        <v>1</v>
      </c>
      <c r="P267" s="667"/>
      <c r="Q267" s="21">
        <f t="shared" si="52"/>
        <v>1</v>
      </c>
      <c r="R267" s="663">
        <f t="shared" si="53"/>
        <v>0</v>
      </c>
      <c r="S267" s="316">
        <f t="shared" si="54"/>
        <v>0</v>
      </c>
    </row>
    <row r="268" spans="1:19">
      <c r="A268" s="665">
        <f>面积明细表!C247</f>
        <v>0</v>
      </c>
      <c r="B268" s="54"/>
      <c r="C268" s="21">
        <f t="shared" si="45"/>
        <v>1</v>
      </c>
      <c r="D268" s="667"/>
      <c r="E268" s="21">
        <f t="shared" si="46"/>
        <v>1</v>
      </c>
      <c r="F268" s="667"/>
      <c r="G268" s="21">
        <f t="shared" si="47"/>
        <v>1</v>
      </c>
      <c r="H268" s="667"/>
      <c r="I268" s="21">
        <f t="shared" si="48"/>
        <v>1</v>
      </c>
      <c r="J268" s="667"/>
      <c r="K268" s="21">
        <f t="shared" si="49"/>
        <v>1</v>
      </c>
      <c r="L268" s="667"/>
      <c r="M268" s="21">
        <f t="shared" si="50"/>
        <v>1</v>
      </c>
      <c r="N268" s="667"/>
      <c r="O268" s="21">
        <f t="shared" si="51"/>
        <v>1</v>
      </c>
      <c r="P268" s="667"/>
      <c r="Q268" s="21">
        <f t="shared" si="52"/>
        <v>1</v>
      </c>
      <c r="R268" s="663">
        <f t="shared" si="53"/>
        <v>0</v>
      </c>
      <c r="S268" s="316">
        <f t="shared" si="54"/>
        <v>0</v>
      </c>
    </row>
    <row r="269" spans="1:19">
      <c r="A269" s="665">
        <f>面积明细表!C248</f>
        <v>0</v>
      </c>
      <c r="B269" s="54"/>
      <c r="C269" s="21">
        <f t="shared" si="45"/>
        <v>1</v>
      </c>
      <c r="D269" s="667"/>
      <c r="E269" s="21">
        <f t="shared" si="46"/>
        <v>1</v>
      </c>
      <c r="F269" s="667"/>
      <c r="G269" s="21">
        <f t="shared" si="47"/>
        <v>1</v>
      </c>
      <c r="H269" s="667"/>
      <c r="I269" s="21">
        <f t="shared" si="48"/>
        <v>1</v>
      </c>
      <c r="J269" s="667"/>
      <c r="K269" s="21">
        <f t="shared" si="49"/>
        <v>1</v>
      </c>
      <c r="L269" s="667"/>
      <c r="M269" s="21">
        <f t="shared" si="50"/>
        <v>1</v>
      </c>
      <c r="N269" s="667"/>
      <c r="O269" s="21">
        <f t="shared" si="51"/>
        <v>1</v>
      </c>
      <c r="P269" s="667"/>
      <c r="Q269" s="21">
        <f t="shared" si="52"/>
        <v>1</v>
      </c>
      <c r="R269" s="663">
        <f t="shared" si="53"/>
        <v>0</v>
      </c>
      <c r="S269" s="316">
        <f t="shared" si="54"/>
        <v>0</v>
      </c>
    </row>
    <row r="270" spans="1:19">
      <c r="A270" s="665">
        <f>面积明细表!C249</f>
        <v>0</v>
      </c>
      <c r="B270" s="54"/>
      <c r="C270" s="21">
        <f t="shared" si="45"/>
        <v>1</v>
      </c>
      <c r="D270" s="667"/>
      <c r="E270" s="21">
        <f t="shared" si="46"/>
        <v>1</v>
      </c>
      <c r="F270" s="667"/>
      <c r="G270" s="21">
        <f t="shared" si="47"/>
        <v>1</v>
      </c>
      <c r="H270" s="667"/>
      <c r="I270" s="21">
        <f t="shared" si="48"/>
        <v>1</v>
      </c>
      <c r="J270" s="667"/>
      <c r="K270" s="21">
        <f t="shared" si="49"/>
        <v>1</v>
      </c>
      <c r="L270" s="667"/>
      <c r="M270" s="21">
        <f t="shared" si="50"/>
        <v>1</v>
      </c>
      <c r="N270" s="667"/>
      <c r="O270" s="21">
        <f t="shared" si="51"/>
        <v>1</v>
      </c>
      <c r="P270" s="667"/>
      <c r="Q270" s="21">
        <f t="shared" si="52"/>
        <v>1</v>
      </c>
      <c r="R270" s="663">
        <f t="shared" si="53"/>
        <v>0</v>
      </c>
      <c r="S270" s="316">
        <f t="shared" si="54"/>
        <v>0</v>
      </c>
    </row>
    <row r="271" spans="1:19">
      <c r="A271" s="665">
        <f>面积明细表!C250</f>
        <v>0</v>
      </c>
      <c r="B271" s="54"/>
      <c r="C271" s="21">
        <f t="shared" si="45"/>
        <v>1</v>
      </c>
      <c r="D271" s="667"/>
      <c r="E271" s="21">
        <f t="shared" si="46"/>
        <v>1</v>
      </c>
      <c r="F271" s="667"/>
      <c r="G271" s="21">
        <f t="shared" si="47"/>
        <v>1</v>
      </c>
      <c r="H271" s="667"/>
      <c r="I271" s="21">
        <f t="shared" si="48"/>
        <v>1</v>
      </c>
      <c r="J271" s="667"/>
      <c r="K271" s="21">
        <f t="shared" si="49"/>
        <v>1</v>
      </c>
      <c r="L271" s="667"/>
      <c r="M271" s="21">
        <f t="shared" si="50"/>
        <v>1</v>
      </c>
      <c r="N271" s="667"/>
      <c r="O271" s="21">
        <f t="shared" si="51"/>
        <v>1</v>
      </c>
      <c r="P271" s="667"/>
      <c r="Q271" s="21">
        <f t="shared" si="52"/>
        <v>1</v>
      </c>
      <c r="R271" s="663">
        <f t="shared" si="53"/>
        <v>0</v>
      </c>
      <c r="S271" s="316">
        <f t="shared" si="54"/>
        <v>0</v>
      </c>
    </row>
    <row r="272" spans="1:19">
      <c r="A272" s="665">
        <f>面积明细表!C251</f>
        <v>0</v>
      </c>
      <c r="B272" s="54"/>
      <c r="C272" s="21">
        <f t="shared" si="45"/>
        <v>1</v>
      </c>
      <c r="D272" s="667"/>
      <c r="E272" s="21">
        <f t="shared" si="46"/>
        <v>1</v>
      </c>
      <c r="F272" s="667"/>
      <c r="G272" s="21">
        <f t="shared" si="47"/>
        <v>1</v>
      </c>
      <c r="H272" s="667"/>
      <c r="I272" s="21">
        <f t="shared" si="48"/>
        <v>1</v>
      </c>
      <c r="J272" s="667"/>
      <c r="K272" s="21">
        <f t="shared" si="49"/>
        <v>1</v>
      </c>
      <c r="L272" s="667"/>
      <c r="M272" s="21">
        <f t="shared" si="50"/>
        <v>1</v>
      </c>
      <c r="N272" s="667"/>
      <c r="O272" s="21">
        <f t="shared" si="51"/>
        <v>1</v>
      </c>
      <c r="P272" s="667"/>
      <c r="Q272" s="21">
        <f t="shared" si="52"/>
        <v>1</v>
      </c>
      <c r="R272" s="663">
        <f t="shared" si="53"/>
        <v>0</v>
      </c>
      <c r="S272" s="316">
        <f t="shared" si="54"/>
        <v>0</v>
      </c>
    </row>
    <row r="273" spans="1:19">
      <c r="A273" s="665">
        <f>面积明细表!C252</f>
        <v>0</v>
      </c>
      <c r="B273" s="54"/>
      <c r="C273" s="21">
        <f t="shared" si="45"/>
        <v>1</v>
      </c>
      <c r="D273" s="667"/>
      <c r="E273" s="21">
        <f t="shared" si="46"/>
        <v>1</v>
      </c>
      <c r="F273" s="667"/>
      <c r="G273" s="21">
        <f t="shared" si="47"/>
        <v>1</v>
      </c>
      <c r="H273" s="667"/>
      <c r="I273" s="21">
        <f t="shared" si="48"/>
        <v>1</v>
      </c>
      <c r="J273" s="667"/>
      <c r="K273" s="21">
        <f t="shared" si="49"/>
        <v>1</v>
      </c>
      <c r="L273" s="667"/>
      <c r="M273" s="21">
        <f t="shared" si="50"/>
        <v>1</v>
      </c>
      <c r="N273" s="667"/>
      <c r="O273" s="21">
        <f t="shared" si="51"/>
        <v>1</v>
      </c>
      <c r="P273" s="667"/>
      <c r="Q273" s="21">
        <f t="shared" si="52"/>
        <v>1</v>
      </c>
      <c r="R273" s="663">
        <f t="shared" si="53"/>
        <v>0</v>
      </c>
      <c r="S273" s="316">
        <f t="shared" si="54"/>
        <v>0</v>
      </c>
    </row>
    <row r="274" spans="1:19">
      <c r="A274" s="665">
        <f>面积明细表!C253</f>
        <v>0</v>
      </c>
      <c r="B274" s="54"/>
      <c r="C274" s="21">
        <f t="shared" si="45"/>
        <v>1</v>
      </c>
      <c r="D274" s="667"/>
      <c r="E274" s="21">
        <f t="shared" si="46"/>
        <v>1</v>
      </c>
      <c r="F274" s="667"/>
      <c r="G274" s="21">
        <f t="shared" si="47"/>
        <v>1</v>
      </c>
      <c r="H274" s="667"/>
      <c r="I274" s="21">
        <f t="shared" si="48"/>
        <v>1</v>
      </c>
      <c r="J274" s="667"/>
      <c r="K274" s="21">
        <f t="shared" si="49"/>
        <v>1</v>
      </c>
      <c r="L274" s="667"/>
      <c r="M274" s="21">
        <f t="shared" si="50"/>
        <v>1</v>
      </c>
      <c r="N274" s="667"/>
      <c r="O274" s="21">
        <f t="shared" si="51"/>
        <v>1</v>
      </c>
      <c r="P274" s="667"/>
      <c r="Q274" s="21">
        <f t="shared" si="52"/>
        <v>1</v>
      </c>
      <c r="R274" s="663">
        <f t="shared" si="53"/>
        <v>0</v>
      </c>
      <c r="S274" s="316">
        <f t="shared" si="54"/>
        <v>0</v>
      </c>
    </row>
    <row r="275" spans="1:19">
      <c r="A275" s="665">
        <f>面积明细表!C254</f>
        <v>0</v>
      </c>
      <c r="B275" s="54"/>
      <c r="C275" s="21">
        <f t="shared" si="45"/>
        <v>1</v>
      </c>
      <c r="D275" s="667"/>
      <c r="E275" s="21">
        <f t="shared" si="46"/>
        <v>1</v>
      </c>
      <c r="F275" s="667"/>
      <c r="G275" s="21">
        <f t="shared" si="47"/>
        <v>1</v>
      </c>
      <c r="H275" s="667"/>
      <c r="I275" s="21">
        <f t="shared" si="48"/>
        <v>1</v>
      </c>
      <c r="J275" s="667"/>
      <c r="K275" s="21">
        <f t="shared" si="49"/>
        <v>1</v>
      </c>
      <c r="L275" s="667"/>
      <c r="M275" s="21">
        <f t="shared" si="50"/>
        <v>1</v>
      </c>
      <c r="N275" s="667"/>
      <c r="O275" s="21">
        <f t="shared" si="51"/>
        <v>1</v>
      </c>
      <c r="P275" s="667"/>
      <c r="Q275" s="21">
        <f t="shared" si="52"/>
        <v>1</v>
      </c>
      <c r="R275" s="663">
        <f t="shared" si="53"/>
        <v>0</v>
      </c>
      <c r="S275" s="316">
        <f t="shared" si="54"/>
        <v>0</v>
      </c>
    </row>
    <row r="276" spans="1:19">
      <c r="A276" s="665">
        <f>面积明细表!C255</f>
        <v>0</v>
      </c>
      <c r="B276" s="54"/>
      <c r="C276" s="21">
        <f t="shared" si="45"/>
        <v>1</v>
      </c>
      <c r="D276" s="667"/>
      <c r="E276" s="21">
        <f t="shared" si="46"/>
        <v>1</v>
      </c>
      <c r="F276" s="667"/>
      <c r="G276" s="21">
        <f t="shared" si="47"/>
        <v>1</v>
      </c>
      <c r="H276" s="667"/>
      <c r="I276" s="21">
        <f t="shared" si="48"/>
        <v>1</v>
      </c>
      <c r="J276" s="667"/>
      <c r="K276" s="21">
        <f t="shared" si="49"/>
        <v>1</v>
      </c>
      <c r="L276" s="667"/>
      <c r="M276" s="21">
        <f t="shared" si="50"/>
        <v>1</v>
      </c>
      <c r="N276" s="667"/>
      <c r="O276" s="21">
        <f t="shared" si="51"/>
        <v>1</v>
      </c>
      <c r="P276" s="667"/>
      <c r="Q276" s="21">
        <f t="shared" si="52"/>
        <v>1</v>
      </c>
      <c r="R276" s="663">
        <f t="shared" si="53"/>
        <v>0</v>
      </c>
      <c r="S276" s="316">
        <f t="shared" si="54"/>
        <v>0</v>
      </c>
    </row>
    <row r="277" spans="1:19">
      <c r="A277" s="665">
        <f>面积明细表!C256</f>
        <v>0</v>
      </c>
      <c r="B277" s="54"/>
      <c r="C277" s="21">
        <f t="shared" si="45"/>
        <v>1</v>
      </c>
      <c r="D277" s="667"/>
      <c r="E277" s="21">
        <f t="shared" si="46"/>
        <v>1</v>
      </c>
      <c r="F277" s="667"/>
      <c r="G277" s="21">
        <f t="shared" si="47"/>
        <v>1</v>
      </c>
      <c r="H277" s="667"/>
      <c r="I277" s="21">
        <f t="shared" si="48"/>
        <v>1</v>
      </c>
      <c r="J277" s="667"/>
      <c r="K277" s="21">
        <f t="shared" si="49"/>
        <v>1</v>
      </c>
      <c r="L277" s="667"/>
      <c r="M277" s="21">
        <f t="shared" si="50"/>
        <v>1</v>
      </c>
      <c r="N277" s="667"/>
      <c r="O277" s="21">
        <f t="shared" si="51"/>
        <v>1</v>
      </c>
      <c r="P277" s="667"/>
      <c r="Q277" s="21">
        <f t="shared" si="52"/>
        <v>1</v>
      </c>
      <c r="R277" s="663">
        <f t="shared" si="53"/>
        <v>0</v>
      </c>
      <c r="S277" s="316">
        <f t="shared" si="54"/>
        <v>0</v>
      </c>
    </row>
    <row r="278" spans="1:19">
      <c r="A278" s="665">
        <f>面积明细表!C257</f>
        <v>0</v>
      </c>
      <c r="B278" s="54"/>
      <c r="C278" s="21">
        <f t="shared" si="45"/>
        <v>1</v>
      </c>
      <c r="D278" s="667"/>
      <c r="E278" s="21">
        <f t="shared" si="46"/>
        <v>1</v>
      </c>
      <c r="F278" s="667"/>
      <c r="G278" s="21">
        <f t="shared" si="47"/>
        <v>1</v>
      </c>
      <c r="H278" s="667"/>
      <c r="I278" s="21">
        <f t="shared" si="48"/>
        <v>1</v>
      </c>
      <c r="J278" s="667"/>
      <c r="K278" s="21">
        <f t="shared" si="49"/>
        <v>1</v>
      </c>
      <c r="L278" s="667"/>
      <c r="M278" s="21">
        <f t="shared" si="50"/>
        <v>1</v>
      </c>
      <c r="N278" s="667"/>
      <c r="O278" s="21">
        <f t="shared" si="51"/>
        <v>1</v>
      </c>
      <c r="P278" s="667"/>
      <c r="Q278" s="21">
        <f t="shared" si="52"/>
        <v>1</v>
      </c>
      <c r="R278" s="663">
        <f t="shared" si="53"/>
        <v>0</v>
      </c>
      <c r="S278" s="316">
        <f t="shared" si="54"/>
        <v>0</v>
      </c>
    </row>
    <row r="279" spans="1:19">
      <c r="A279" s="665">
        <f>面积明细表!C258</f>
        <v>0</v>
      </c>
      <c r="B279" s="54"/>
      <c r="C279" s="21">
        <f t="shared" si="45"/>
        <v>1</v>
      </c>
      <c r="D279" s="667"/>
      <c r="E279" s="21">
        <f t="shared" si="46"/>
        <v>1</v>
      </c>
      <c r="F279" s="667"/>
      <c r="G279" s="21">
        <f t="shared" si="47"/>
        <v>1</v>
      </c>
      <c r="H279" s="667"/>
      <c r="I279" s="21">
        <f t="shared" si="48"/>
        <v>1</v>
      </c>
      <c r="J279" s="667"/>
      <c r="K279" s="21">
        <f t="shared" si="49"/>
        <v>1</v>
      </c>
      <c r="L279" s="667"/>
      <c r="M279" s="21">
        <f t="shared" si="50"/>
        <v>1</v>
      </c>
      <c r="N279" s="667"/>
      <c r="O279" s="21">
        <f t="shared" si="51"/>
        <v>1</v>
      </c>
      <c r="P279" s="667"/>
      <c r="Q279" s="21">
        <f t="shared" si="52"/>
        <v>1</v>
      </c>
      <c r="R279" s="663">
        <f t="shared" si="53"/>
        <v>0</v>
      </c>
      <c r="S279" s="316">
        <f t="shared" si="54"/>
        <v>0</v>
      </c>
    </row>
    <row r="280" spans="1:19">
      <c r="A280" s="665">
        <f>面积明细表!C259</f>
        <v>0</v>
      </c>
      <c r="B280" s="54"/>
      <c r="C280" s="21">
        <f t="shared" si="45"/>
        <v>1</v>
      </c>
      <c r="D280" s="667"/>
      <c r="E280" s="21">
        <f t="shared" si="46"/>
        <v>1</v>
      </c>
      <c r="F280" s="667"/>
      <c r="G280" s="21">
        <f t="shared" si="47"/>
        <v>1</v>
      </c>
      <c r="H280" s="667"/>
      <c r="I280" s="21">
        <f t="shared" si="48"/>
        <v>1</v>
      </c>
      <c r="J280" s="667"/>
      <c r="K280" s="21">
        <f t="shared" si="49"/>
        <v>1</v>
      </c>
      <c r="L280" s="667"/>
      <c r="M280" s="21">
        <f t="shared" si="50"/>
        <v>1</v>
      </c>
      <c r="N280" s="667"/>
      <c r="O280" s="21">
        <f t="shared" si="51"/>
        <v>1</v>
      </c>
      <c r="P280" s="667"/>
      <c r="Q280" s="21">
        <f t="shared" si="52"/>
        <v>1</v>
      </c>
      <c r="R280" s="663">
        <f t="shared" si="53"/>
        <v>0</v>
      </c>
      <c r="S280" s="316">
        <f t="shared" si="54"/>
        <v>0</v>
      </c>
    </row>
    <row r="281" spans="1:19">
      <c r="A281" s="665">
        <f>面积明细表!C260</f>
        <v>0</v>
      </c>
      <c r="B281" s="54"/>
      <c r="C281" s="21">
        <f t="shared" si="45"/>
        <v>1</v>
      </c>
      <c r="D281" s="667"/>
      <c r="E281" s="21">
        <f t="shared" si="46"/>
        <v>1</v>
      </c>
      <c r="F281" s="667"/>
      <c r="G281" s="21">
        <f t="shared" si="47"/>
        <v>1</v>
      </c>
      <c r="H281" s="667"/>
      <c r="I281" s="21">
        <f t="shared" si="48"/>
        <v>1</v>
      </c>
      <c r="J281" s="667"/>
      <c r="K281" s="21">
        <f t="shared" si="49"/>
        <v>1</v>
      </c>
      <c r="L281" s="667"/>
      <c r="M281" s="21">
        <f t="shared" si="50"/>
        <v>1</v>
      </c>
      <c r="N281" s="667"/>
      <c r="O281" s="21">
        <f t="shared" si="51"/>
        <v>1</v>
      </c>
      <c r="P281" s="667"/>
      <c r="Q281" s="21">
        <f t="shared" si="52"/>
        <v>1</v>
      </c>
      <c r="R281" s="663">
        <f t="shared" si="53"/>
        <v>0</v>
      </c>
      <c r="S281" s="316">
        <f t="shared" si="54"/>
        <v>0</v>
      </c>
    </row>
    <row r="282" spans="1:19">
      <c r="A282" s="665">
        <f>面积明细表!C261</f>
        <v>0</v>
      </c>
      <c r="B282" s="54"/>
      <c r="C282" s="21">
        <f t="shared" ref="C282:C345" si="55">IF(B282="",1,(LOOKUP(B282,$3:$3,$4:$4)-LOOKUP($B$24,$3:$3,$4:$4)+100)/100)</f>
        <v>1</v>
      </c>
      <c r="D282" s="667"/>
      <c r="E282" s="21">
        <f t="shared" ref="E282:E345" si="56">(SUMIF($5:$5,D282,$6:$6)-SUMIF($5:$5,$D$24,$6:$6)+100)/100</f>
        <v>1</v>
      </c>
      <c r="F282" s="667"/>
      <c r="G282" s="21">
        <f t="shared" ref="G282:G345" si="57">(SUMIF($7:$7,F282,$8:$8)-SUMIF($7:$7,$F$24,$8:$8)+100)/100</f>
        <v>1</v>
      </c>
      <c r="H282" s="667"/>
      <c r="I282" s="21">
        <f t="shared" ref="I282:I345" si="58">(SUMIF($9:$9,H282,$10:$10)-SUMIF($9:$9,$H$24,$10:$10)+100)/100</f>
        <v>1</v>
      </c>
      <c r="J282" s="667"/>
      <c r="K282" s="21">
        <f t="shared" ref="K282:K345" si="59">(SUMIF($11:$11,J282,$12:$12)-SUMIF($11:$11,$J$24,$12:$12)+100)/100</f>
        <v>1</v>
      </c>
      <c r="L282" s="667"/>
      <c r="M282" s="21">
        <f t="shared" ref="M282:M345" si="60">(SUMIF($13:$13,L282,$14:$14)-SUMIF($13:$13,$L$24,$14:$14)+100)/100</f>
        <v>1</v>
      </c>
      <c r="N282" s="667"/>
      <c r="O282" s="21">
        <f t="shared" ref="O282:O345" si="61">(SUMIF($15:$15,N282,$16:$16)-SUMIF($15:$15,$N$24,$16:$16)+100)/100</f>
        <v>1</v>
      </c>
      <c r="P282" s="667"/>
      <c r="Q282" s="21">
        <f t="shared" ref="Q282:Q345" si="62">(SUMIF($17:$17,P282,$18:$18)-SUMIF($17:$17,$P$24,$18:$18)+100)/100</f>
        <v>1</v>
      </c>
      <c r="R282" s="663">
        <f t="shared" ref="R282:R345" si="63">IF(B282="",0,ROUND($R$24*C282*E282*G282*I282*K282*M282*O282*Q282,0))</f>
        <v>0</v>
      </c>
      <c r="S282" s="316">
        <f t="shared" si="54"/>
        <v>0</v>
      </c>
    </row>
    <row r="283" spans="1:19">
      <c r="A283" s="665">
        <f>面积明细表!C262</f>
        <v>0</v>
      </c>
      <c r="B283" s="54"/>
      <c r="C283" s="21">
        <f t="shared" si="55"/>
        <v>1</v>
      </c>
      <c r="D283" s="667"/>
      <c r="E283" s="21">
        <f t="shared" si="56"/>
        <v>1</v>
      </c>
      <c r="F283" s="667"/>
      <c r="G283" s="21">
        <f t="shared" si="57"/>
        <v>1</v>
      </c>
      <c r="H283" s="667"/>
      <c r="I283" s="21">
        <f t="shared" si="58"/>
        <v>1</v>
      </c>
      <c r="J283" s="667"/>
      <c r="K283" s="21">
        <f t="shared" si="59"/>
        <v>1</v>
      </c>
      <c r="L283" s="667"/>
      <c r="M283" s="21">
        <f t="shared" si="60"/>
        <v>1</v>
      </c>
      <c r="N283" s="667"/>
      <c r="O283" s="21">
        <f t="shared" si="61"/>
        <v>1</v>
      </c>
      <c r="P283" s="667"/>
      <c r="Q283" s="21">
        <f t="shared" si="62"/>
        <v>1</v>
      </c>
      <c r="R283" s="663">
        <f t="shared" si="63"/>
        <v>0</v>
      </c>
      <c r="S283" s="316">
        <f t="shared" si="54"/>
        <v>0</v>
      </c>
    </row>
    <row r="284" spans="1:19">
      <c r="A284" s="665">
        <f>面积明细表!C263</f>
        <v>0</v>
      </c>
      <c r="B284" s="54"/>
      <c r="C284" s="21">
        <f t="shared" si="55"/>
        <v>1</v>
      </c>
      <c r="D284" s="667"/>
      <c r="E284" s="21">
        <f t="shared" si="56"/>
        <v>1</v>
      </c>
      <c r="F284" s="667"/>
      <c r="G284" s="21">
        <f t="shared" si="57"/>
        <v>1</v>
      </c>
      <c r="H284" s="667"/>
      <c r="I284" s="21">
        <f t="shared" si="58"/>
        <v>1</v>
      </c>
      <c r="J284" s="667"/>
      <c r="K284" s="21">
        <f t="shared" si="59"/>
        <v>1</v>
      </c>
      <c r="L284" s="667"/>
      <c r="M284" s="21">
        <f t="shared" si="60"/>
        <v>1</v>
      </c>
      <c r="N284" s="667"/>
      <c r="O284" s="21">
        <f t="shared" si="61"/>
        <v>1</v>
      </c>
      <c r="P284" s="667"/>
      <c r="Q284" s="21">
        <f t="shared" si="62"/>
        <v>1</v>
      </c>
      <c r="R284" s="663">
        <f t="shared" si="63"/>
        <v>0</v>
      </c>
      <c r="S284" s="316">
        <f t="shared" si="54"/>
        <v>0</v>
      </c>
    </row>
    <row r="285" spans="1:19">
      <c r="A285" s="665">
        <f>面积明细表!C264</f>
        <v>0</v>
      </c>
      <c r="B285" s="54"/>
      <c r="C285" s="21">
        <f t="shared" si="55"/>
        <v>1</v>
      </c>
      <c r="D285" s="667"/>
      <c r="E285" s="21">
        <f t="shared" si="56"/>
        <v>1</v>
      </c>
      <c r="F285" s="667"/>
      <c r="G285" s="21">
        <f t="shared" si="57"/>
        <v>1</v>
      </c>
      <c r="H285" s="667"/>
      <c r="I285" s="21">
        <f t="shared" si="58"/>
        <v>1</v>
      </c>
      <c r="J285" s="667"/>
      <c r="K285" s="21">
        <f t="shared" si="59"/>
        <v>1</v>
      </c>
      <c r="L285" s="667"/>
      <c r="M285" s="21">
        <f t="shared" si="60"/>
        <v>1</v>
      </c>
      <c r="N285" s="667"/>
      <c r="O285" s="21">
        <f t="shared" si="61"/>
        <v>1</v>
      </c>
      <c r="P285" s="667"/>
      <c r="Q285" s="21">
        <f t="shared" si="62"/>
        <v>1</v>
      </c>
      <c r="R285" s="663">
        <f t="shared" si="63"/>
        <v>0</v>
      </c>
      <c r="S285" s="316">
        <f t="shared" si="54"/>
        <v>0</v>
      </c>
    </row>
    <row r="286" spans="1:19">
      <c r="A286" s="665">
        <f>面积明细表!C265</f>
        <v>0</v>
      </c>
      <c r="B286" s="54"/>
      <c r="C286" s="21">
        <f t="shared" si="55"/>
        <v>1</v>
      </c>
      <c r="D286" s="667"/>
      <c r="E286" s="21">
        <f t="shared" si="56"/>
        <v>1</v>
      </c>
      <c r="F286" s="667"/>
      <c r="G286" s="21">
        <f t="shared" si="57"/>
        <v>1</v>
      </c>
      <c r="H286" s="667"/>
      <c r="I286" s="21">
        <f t="shared" si="58"/>
        <v>1</v>
      </c>
      <c r="J286" s="667"/>
      <c r="K286" s="21">
        <f t="shared" si="59"/>
        <v>1</v>
      </c>
      <c r="L286" s="667"/>
      <c r="M286" s="21">
        <f t="shared" si="60"/>
        <v>1</v>
      </c>
      <c r="N286" s="667"/>
      <c r="O286" s="21">
        <f t="shared" si="61"/>
        <v>1</v>
      </c>
      <c r="P286" s="667"/>
      <c r="Q286" s="21">
        <f t="shared" si="62"/>
        <v>1</v>
      </c>
      <c r="R286" s="663">
        <f t="shared" si="63"/>
        <v>0</v>
      </c>
      <c r="S286" s="316">
        <f t="shared" si="54"/>
        <v>0</v>
      </c>
    </row>
    <row r="287" spans="1:19">
      <c r="A287" s="665">
        <f>面积明细表!C266</f>
        <v>0</v>
      </c>
      <c r="B287" s="54"/>
      <c r="C287" s="21">
        <f t="shared" si="55"/>
        <v>1</v>
      </c>
      <c r="D287" s="667"/>
      <c r="E287" s="21">
        <f t="shared" si="56"/>
        <v>1</v>
      </c>
      <c r="F287" s="667"/>
      <c r="G287" s="21">
        <f t="shared" si="57"/>
        <v>1</v>
      </c>
      <c r="H287" s="667"/>
      <c r="I287" s="21">
        <f t="shared" si="58"/>
        <v>1</v>
      </c>
      <c r="J287" s="667"/>
      <c r="K287" s="21">
        <f t="shared" si="59"/>
        <v>1</v>
      </c>
      <c r="L287" s="667"/>
      <c r="M287" s="21">
        <f t="shared" si="60"/>
        <v>1</v>
      </c>
      <c r="N287" s="667"/>
      <c r="O287" s="21">
        <f t="shared" si="61"/>
        <v>1</v>
      </c>
      <c r="P287" s="667"/>
      <c r="Q287" s="21">
        <f t="shared" si="62"/>
        <v>1</v>
      </c>
      <c r="R287" s="663">
        <f t="shared" si="63"/>
        <v>0</v>
      </c>
      <c r="S287" s="316">
        <f t="shared" ref="S287:S320" si="64">ROUND(R287*B287/10000,0)</f>
        <v>0</v>
      </c>
    </row>
    <row r="288" spans="1:19">
      <c r="A288" s="665">
        <f>面积明细表!C267</f>
        <v>0</v>
      </c>
      <c r="B288" s="54"/>
      <c r="C288" s="21">
        <f t="shared" si="55"/>
        <v>1</v>
      </c>
      <c r="D288" s="667"/>
      <c r="E288" s="21">
        <f t="shared" si="56"/>
        <v>1</v>
      </c>
      <c r="F288" s="667"/>
      <c r="G288" s="21">
        <f t="shared" si="57"/>
        <v>1</v>
      </c>
      <c r="H288" s="667"/>
      <c r="I288" s="21">
        <f t="shared" si="58"/>
        <v>1</v>
      </c>
      <c r="J288" s="667"/>
      <c r="K288" s="21">
        <f t="shared" si="59"/>
        <v>1</v>
      </c>
      <c r="L288" s="667"/>
      <c r="M288" s="21">
        <f t="shared" si="60"/>
        <v>1</v>
      </c>
      <c r="N288" s="667"/>
      <c r="O288" s="21">
        <f t="shared" si="61"/>
        <v>1</v>
      </c>
      <c r="P288" s="667"/>
      <c r="Q288" s="21">
        <f t="shared" si="62"/>
        <v>1</v>
      </c>
      <c r="R288" s="663">
        <f t="shared" si="63"/>
        <v>0</v>
      </c>
      <c r="S288" s="316">
        <f t="shared" si="64"/>
        <v>0</v>
      </c>
    </row>
    <row r="289" spans="1:19">
      <c r="A289" s="665">
        <f>面积明细表!C268</f>
        <v>0</v>
      </c>
      <c r="B289" s="54"/>
      <c r="C289" s="21">
        <f t="shared" si="55"/>
        <v>1</v>
      </c>
      <c r="D289" s="667"/>
      <c r="E289" s="21">
        <f t="shared" si="56"/>
        <v>1</v>
      </c>
      <c r="F289" s="667"/>
      <c r="G289" s="21">
        <f t="shared" si="57"/>
        <v>1</v>
      </c>
      <c r="H289" s="667"/>
      <c r="I289" s="21">
        <f t="shared" si="58"/>
        <v>1</v>
      </c>
      <c r="J289" s="667"/>
      <c r="K289" s="21">
        <f t="shared" si="59"/>
        <v>1</v>
      </c>
      <c r="L289" s="667"/>
      <c r="M289" s="21">
        <f t="shared" si="60"/>
        <v>1</v>
      </c>
      <c r="N289" s="667"/>
      <c r="O289" s="21">
        <f t="shared" si="61"/>
        <v>1</v>
      </c>
      <c r="P289" s="667"/>
      <c r="Q289" s="21">
        <f t="shared" si="62"/>
        <v>1</v>
      </c>
      <c r="R289" s="663">
        <f t="shared" si="63"/>
        <v>0</v>
      </c>
      <c r="S289" s="316">
        <f t="shared" si="64"/>
        <v>0</v>
      </c>
    </row>
    <row r="290" spans="1:19">
      <c r="A290" s="665">
        <f>面积明细表!C269</f>
        <v>0</v>
      </c>
      <c r="B290" s="54"/>
      <c r="C290" s="21">
        <f t="shared" si="55"/>
        <v>1</v>
      </c>
      <c r="D290" s="667"/>
      <c r="E290" s="21">
        <f t="shared" si="56"/>
        <v>1</v>
      </c>
      <c r="F290" s="667"/>
      <c r="G290" s="21">
        <f t="shared" si="57"/>
        <v>1</v>
      </c>
      <c r="H290" s="667"/>
      <c r="I290" s="21">
        <f t="shared" si="58"/>
        <v>1</v>
      </c>
      <c r="J290" s="667"/>
      <c r="K290" s="21">
        <f t="shared" si="59"/>
        <v>1</v>
      </c>
      <c r="L290" s="667"/>
      <c r="M290" s="21">
        <f t="shared" si="60"/>
        <v>1</v>
      </c>
      <c r="N290" s="667"/>
      <c r="O290" s="21">
        <f t="shared" si="61"/>
        <v>1</v>
      </c>
      <c r="P290" s="667"/>
      <c r="Q290" s="21">
        <f t="shared" si="62"/>
        <v>1</v>
      </c>
      <c r="R290" s="663">
        <f t="shared" si="63"/>
        <v>0</v>
      </c>
      <c r="S290" s="316">
        <f t="shared" si="64"/>
        <v>0</v>
      </c>
    </row>
    <row r="291" spans="1:19">
      <c r="A291" s="665">
        <f>面积明细表!C270</f>
        <v>0</v>
      </c>
      <c r="B291" s="54"/>
      <c r="C291" s="21">
        <f t="shared" si="55"/>
        <v>1</v>
      </c>
      <c r="D291" s="667"/>
      <c r="E291" s="21">
        <f t="shared" si="56"/>
        <v>1</v>
      </c>
      <c r="F291" s="667"/>
      <c r="G291" s="21">
        <f t="shared" si="57"/>
        <v>1</v>
      </c>
      <c r="H291" s="667"/>
      <c r="I291" s="21">
        <f t="shared" si="58"/>
        <v>1</v>
      </c>
      <c r="J291" s="667"/>
      <c r="K291" s="21">
        <f t="shared" si="59"/>
        <v>1</v>
      </c>
      <c r="L291" s="667"/>
      <c r="M291" s="21">
        <f t="shared" si="60"/>
        <v>1</v>
      </c>
      <c r="N291" s="667"/>
      <c r="O291" s="21">
        <f t="shared" si="61"/>
        <v>1</v>
      </c>
      <c r="P291" s="667"/>
      <c r="Q291" s="21">
        <f t="shared" si="62"/>
        <v>1</v>
      </c>
      <c r="R291" s="663">
        <f t="shared" si="63"/>
        <v>0</v>
      </c>
      <c r="S291" s="316">
        <f t="shared" si="64"/>
        <v>0</v>
      </c>
    </row>
    <row r="292" spans="1:19">
      <c r="A292" s="665">
        <f>面积明细表!C271</f>
        <v>0</v>
      </c>
      <c r="B292" s="54"/>
      <c r="C292" s="21">
        <f t="shared" si="55"/>
        <v>1</v>
      </c>
      <c r="D292" s="667"/>
      <c r="E292" s="21">
        <f t="shared" si="56"/>
        <v>1</v>
      </c>
      <c r="F292" s="667"/>
      <c r="G292" s="21">
        <f t="shared" si="57"/>
        <v>1</v>
      </c>
      <c r="H292" s="667"/>
      <c r="I292" s="21">
        <f t="shared" si="58"/>
        <v>1</v>
      </c>
      <c r="J292" s="667"/>
      <c r="K292" s="21">
        <f t="shared" si="59"/>
        <v>1</v>
      </c>
      <c r="L292" s="667"/>
      <c r="M292" s="21">
        <f t="shared" si="60"/>
        <v>1</v>
      </c>
      <c r="N292" s="667"/>
      <c r="O292" s="21">
        <f t="shared" si="61"/>
        <v>1</v>
      </c>
      <c r="P292" s="667"/>
      <c r="Q292" s="21">
        <f t="shared" si="62"/>
        <v>1</v>
      </c>
      <c r="R292" s="663">
        <f t="shared" si="63"/>
        <v>0</v>
      </c>
      <c r="S292" s="316">
        <f t="shared" si="64"/>
        <v>0</v>
      </c>
    </row>
    <row r="293" spans="1:19">
      <c r="A293" s="665">
        <f>面积明细表!C272</f>
        <v>0</v>
      </c>
      <c r="B293" s="54"/>
      <c r="C293" s="21">
        <f t="shared" si="55"/>
        <v>1</v>
      </c>
      <c r="D293" s="667"/>
      <c r="E293" s="21">
        <f t="shared" si="56"/>
        <v>1</v>
      </c>
      <c r="F293" s="667"/>
      <c r="G293" s="21">
        <f t="shared" si="57"/>
        <v>1</v>
      </c>
      <c r="H293" s="667"/>
      <c r="I293" s="21">
        <f t="shared" si="58"/>
        <v>1</v>
      </c>
      <c r="J293" s="667"/>
      <c r="K293" s="21">
        <f t="shared" si="59"/>
        <v>1</v>
      </c>
      <c r="L293" s="667"/>
      <c r="M293" s="21">
        <f t="shared" si="60"/>
        <v>1</v>
      </c>
      <c r="N293" s="667"/>
      <c r="O293" s="21">
        <f t="shared" si="61"/>
        <v>1</v>
      </c>
      <c r="P293" s="667"/>
      <c r="Q293" s="21">
        <f t="shared" si="62"/>
        <v>1</v>
      </c>
      <c r="R293" s="663">
        <f t="shared" si="63"/>
        <v>0</v>
      </c>
      <c r="S293" s="316">
        <f t="shared" si="64"/>
        <v>0</v>
      </c>
    </row>
    <row r="294" spans="1:19">
      <c r="A294" s="665">
        <f>面积明细表!C273</f>
        <v>0</v>
      </c>
      <c r="B294" s="54"/>
      <c r="C294" s="21">
        <f t="shared" si="55"/>
        <v>1</v>
      </c>
      <c r="D294" s="667"/>
      <c r="E294" s="21">
        <f t="shared" si="56"/>
        <v>1</v>
      </c>
      <c r="F294" s="667"/>
      <c r="G294" s="21">
        <f t="shared" si="57"/>
        <v>1</v>
      </c>
      <c r="H294" s="667"/>
      <c r="I294" s="21">
        <f t="shared" si="58"/>
        <v>1</v>
      </c>
      <c r="J294" s="667"/>
      <c r="K294" s="21">
        <f t="shared" si="59"/>
        <v>1</v>
      </c>
      <c r="L294" s="667"/>
      <c r="M294" s="21">
        <f t="shared" si="60"/>
        <v>1</v>
      </c>
      <c r="N294" s="667"/>
      <c r="O294" s="21">
        <f t="shared" si="61"/>
        <v>1</v>
      </c>
      <c r="P294" s="667"/>
      <c r="Q294" s="21">
        <f t="shared" si="62"/>
        <v>1</v>
      </c>
      <c r="R294" s="663">
        <f t="shared" si="63"/>
        <v>0</v>
      </c>
      <c r="S294" s="316">
        <f t="shared" si="64"/>
        <v>0</v>
      </c>
    </row>
    <row r="295" spans="1:19">
      <c r="A295" s="665">
        <f>面积明细表!C274</f>
        <v>0</v>
      </c>
      <c r="B295" s="54"/>
      <c r="C295" s="21">
        <f t="shared" si="55"/>
        <v>1</v>
      </c>
      <c r="D295" s="667"/>
      <c r="E295" s="21">
        <f t="shared" si="56"/>
        <v>1</v>
      </c>
      <c r="F295" s="667"/>
      <c r="G295" s="21">
        <f t="shared" si="57"/>
        <v>1</v>
      </c>
      <c r="H295" s="667"/>
      <c r="I295" s="21">
        <f t="shared" si="58"/>
        <v>1</v>
      </c>
      <c r="J295" s="667"/>
      <c r="K295" s="21">
        <f t="shared" si="59"/>
        <v>1</v>
      </c>
      <c r="L295" s="667"/>
      <c r="M295" s="21">
        <f t="shared" si="60"/>
        <v>1</v>
      </c>
      <c r="N295" s="667"/>
      <c r="O295" s="21">
        <f t="shared" si="61"/>
        <v>1</v>
      </c>
      <c r="P295" s="667"/>
      <c r="Q295" s="21">
        <f t="shared" si="62"/>
        <v>1</v>
      </c>
      <c r="R295" s="663">
        <f t="shared" si="63"/>
        <v>0</v>
      </c>
      <c r="S295" s="316">
        <f t="shared" si="64"/>
        <v>0</v>
      </c>
    </row>
    <row r="296" spans="1:19">
      <c r="A296" s="665">
        <f>面积明细表!C275</f>
        <v>0</v>
      </c>
      <c r="B296" s="54"/>
      <c r="C296" s="21">
        <f t="shared" si="55"/>
        <v>1</v>
      </c>
      <c r="D296" s="667"/>
      <c r="E296" s="21">
        <f t="shared" si="56"/>
        <v>1</v>
      </c>
      <c r="F296" s="667"/>
      <c r="G296" s="21">
        <f t="shared" si="57"/>
        <v>1</v>
      </c>
      <c r="H296" s="667"/>
      <c r="I296" s="21">
        <f t="shared" si="58"/>
        <v>1</v>
      </c>
      <c r="J296" s="667"/>
      <c r="K296" s="21">
        <f t="shared" si="59"/>
        <v>1</v>
      </c>
      <c r="L296" s="667"/>
      <c r="M296" s="21">
        <f t="shared" si="60"/>
        <v>1</v>
      </c>
      <c r="N296" s="667"/>
      <c r="O296" s="21">
        <f t="shared" si="61"/>
        <v>1</v>
      </c>
      <c r="P296" s="667"/>
      <c r="Q296" s="21">
        <f t="shared" si="62"/>
        <v>1</v>
      </c>
      <c r="R296" s="663">
        <f t="shared" si="63"/>
        <v>0</v>
      </c>
      <c r="S296" s="316">
        <f t="shared" si="64"/>
        <v>0</v>
      </c>
    </row>
    <row r="297" spans="1:19">
      <c r="A297" s="665">
        <f>面积明细表!C276</f>
        <v>0</v>
      </c>
      <c r="B297" s="54"/>
      <c r="C297" s="21">
        <f t="shared" si="55"/>
        <v>1</v>
      </c>
      <c r="D297" s="667"/>
      <c r="E297" s="21">
        <f t="shared" si="56"/>
        <v>1</v>
      </c>
      <c r="F297" s="667"/>
      <c r="G297" s="21">
        <f t="shared" si="57"/>
        <v>1</v>
      </c>
      <c r="H297" s="667"/>
      <c r="I297" s="21">
        <f t="shared" si="58"/>
        <v>1</v>
      </c>
      <c r="J297" s="667"/>
      <c r="K297" s="21">
        <f t="shared" si="59"/>
        <v>1</v>
      </c>
      <c r="L297" s="667"/>
      <c r="M297" s="21">
        <f t="shared" si="60"/>
        <v>1</v>
      </c>
      <c r="N297" s="667"/>
      <c r="O297" s="21">
        <f t="shared" si="61"/>
        <v>1</v>
      </c>
      <c r="P297" s="667"/>
      <c r="Q297" s="21">
        <f t="shared" si="62"/>
        <v>1</v>
      </c>
      <c r="R297" s="663">
        <f t="shared" si="63"/>
        <v>0</v>
      </c>
      <c r="S297" s="316">
        <f t="shared" si="64"/>
        <v>0</v>
      </c>
    </row>
    <row r="298" spans="1:19">
      <c r="A298" s="665">
        <f>面积明细表!C277</f>
        <v>0</v>
      </c>
      <c r="B298" s="54"/>
      <c r="C298" s="21">
        <f t="shared" si="55"/>
        <v>1</v>
      </c>
      <c r="D298" s="667"/>
      <c r="E298" s="21">
        <f t="shared" si="56"/>
        <v>1</v>
      </c>
      <c r="F298" s="667"/>
      <c r="G298" s="21">
        <f t="shared" si="57"/>
        <v>1</v>
      </c>
      <c r="H298" s="667"/>
      <c r="I298" s="21">
        <f t="shared" si="58"/>
        <v>1</v>
      </c>
      <c r="J298" s="667"/>
      <c r="K298" s="21">
        <f t="shared" si="59"/>
        <v>1</v>
      </c>
      <c r="L298" s="667"/>
      <c r="M298" s="21">
        <f t="shared" si="60"/>
        <v>1</v>
      </c>
      <c r="N298" s="667"/>
      <c r="O298" s="21">
        <f t="shared" si="61"/>
        <v>1</v>
      </c>
      <c r="P298" s="667"/>
      <c r="Q298" s="21">
        <f t="shared" si="62"/>
        <v>1</v>
      </c>
      <c r="R298" s="663">
        <f t="shared" si="63"/>
        <v>0</v>
      </c>
      <c r="S298" s="316">
        <f t="shared" si="64"/>
        <v>0</v>
      </c>
    </row>
    <row r="299" spans="1:19">
      <c r="A299" s="665">
        <f>面积明细表!C278</f>
        <v>0</v>
      </c>
      <c r="B299" s="54"/>
      <c r="C299" s="21">
        <f t="shared" si="55"/>
        <v>1</v>
      </c>
      <c r="D299" s="667"/>
      <c r="E299" s="21">
        <f t="shared" si="56"/>
        <v>1</v>
      </c>
      <c r="F299" s="667"/>
      <c r="G299" s="21">
        <f t="shared" si="57"/>
        <v>1</v>
      </c>
      <c r="H299" s="667"/>
      <c r="I299" s="21">
        <f t="shared" si="58"/>
        <v>1</v>
      </c>
      <c r="J299" s="667"/>
      <c r="K299" s="21">
        <f t="shared" si="59"/>
        <v>1</v>
      </c>
      <c r="L299" s="667"/>
      <c r="M299" s="21">
        <f t="shared" si="60"/>
        <v>1</v>
      </c>
      <c r="N299" s="667"/>
      <c r="O299" s="21">
        <f t="shared" si="61"/>
        <v>1</v>
      </c>
      <c r="P299" s="667"/>
      <c r="Q299" s="21">
        <f t="shared" si="62"/>
        <v>1</v>
      </c>
      <c r="R299" s="663">
        <f t="shared" si="63"/>
        <v>0</v>
      </c>
      <c r="S299" s="316">
        <f t="shared" si="64"/>
        <v>0</v>
      </c>
    </row>
    <row r="300" spans="1:19">
      <c r="A300" s="665">
        <f>面积明细表!C279</f>
        <v>0</v>
      </c>
      <c r="B300" s="54"/>
      <c r="C300" s="21">
        <f t="shared" si="55"/>
        <v>1</v>
      </c>
      <c r="D300" s="667"/>
      <c r="E300" s="21">
        <f t="shared" si="56"/>
        <v>1</v>
      </c>
      <c r="F300" s="667"/>
      <c r="G300" s="21">
        <f t="shared" si="57"/>
        <v>1</v>
      </c>
      <c r="H300" s="667"/>
      <c r="I300" s="21">
        <f t="shared" si="58"/>
        <v>1</v>
      </c>
      <c r="J300" s="667"/>
      <c r="K300" s="21">
        <f t="shared" si="59"/>
        <v>1</v>
      </c>
      <c r="L300" s="667"/>
      <c r="M300" s="21">
        <f t="shared" si="60"/>
        <v>1</v>
      </c>
      <c r="N300" s="667"/>
      <c r="O300" s="21">
        <f t="shared" si="61"/>
        <v>1</v>
      </c>
      <c r="P300" s="667"/>
      <c r="Q300" s="21">
        <f t="shared" si="62"/>
        <v>1</v>
      </c>
      <c r="R300" s="663">
        <f t="shared" si="63"/>
        <v>0</v>
      </c>
      <c r="S300" s="316">
        <f t="shared" si="64"/>
        <v>0</v>
      </c>
    </row>
    <row r="301" spans="1:19">
      <c r="A301" s="665">
        <f>面积明细表!C280</f>
        <v>0</v>
      </c>
      <c r="B301" s="54"/>
      <c r="C301" s="21">
        <f t="shared" si="55"/>
        <v>1</v>
      </c>
      <c r="D301" s="667"/>
      <c r="E301" s="21">
        <f t="shared" si="56"/>
        <v>1</v>
      </c>
      <c r="F301" s="667"/>
      <c r="G301" s="21">
        <f t="shared" si="57"/>
        <v>1</v>
      </c>
      <c r="H301" s="667"/>
      <c r="I301" s="21">
        <f t="shared" si="58"/>
        <v>1</v>
      </c>
      <c r="J301" s="667"/>
      <c r="K301" s="21">
        <f t="shared" si="59"/>
        <v>1</v>
      </c>
      <c r="L301" s="667"/>
      <c r="M301" s="21">
        <f t="shared" si="60"/>
        <v>1</v>
      </c>
      <c r="N301" s="667"/>
      <c r="O301" s="21">
        <f t="shared" si="61"/>
        <v>1</v>
      </c>
      <c r="P301" s="667"/>
      <c r="Q301" s="21">
        <f t="shared" si="62"/>
        <v>1</v>
      </c>
      <c r="R301" s="663">
        <f t="shared" si="63"/>
        <v>0</v>
      </c>
      <c r="S301" s="316">
        <f t="shared" si="64"/>
        <v>0</v>
      </c>
    </row>
    <row r="302" spans="1:19">
      <c r="A302" s="665">
        <f>面积明细表!C281</f>
        <v>0</v>
      </c>
      <c r="B302" s="54"/>
      <c r="C302" s="21">
        <f t="shared" si="55"/>
        <v>1</v>
      </c>
      <c r="D302" s="667"/>
      <c r="E302" s="21">
        <f t="shared" si="56"/>
        <v>1</v>
      </c>
      <c r="F302" s="667"/>
      <c r="G302" s="21">
        <f t="shared" si="57"/>
        <v>1</v>
      </c>
      <c r="H302" s="667"/>
      <c r="I302" s="21">
        <f t="shared" si="58"/>
        <v>1</v>
      </c>
      <c r="J302" s="667"/>
      <c r="K302" s="21">
        <f t="shared" si="59"/>
        <v>1</v>
      </c>
      <c r="L302" s="667"/>
      <c r="M302" s="21">
        <f t="shared" si="60"/>
        <v>1</v>
      </c>
      <c r="N302" s="667"/>
      <c r="O302" s="21">
        <f t="shared" si="61"/>
        <v>1</v>
      </c>
      <c r="P302" s="667"/>
      <c r="Q302" s="21">
        <f t="shared" si="62"/>
        <v>1</v>
      </c>
      <c r="R302" s="663">
        <f t="shared" si="63"/>
        <v>0</v>
      </c>
      <c r="S302" s="316">
        <f t="shared" si="64"/>
        <v>0</v>
      </c>
    </row>
    <row r="303" spans="1:19">
      <c r="A303" s="665">
        <f>面积明细表!C282</f>
        <v>0</v>
      </c>
      <c r="B303" s="54"/>
      <c r="C303" s="21">
        <f t="shared" si="55"/>
        <v>1</v>
      </c>
      <c r="D303" s="667"/>
      <c r="E303" s="21">
        <f t="shared" si="56"/>
        <v>1</v>
      </c>
      <c r="F303" s="667"/>
      <c r="G303" s="21">
        <f t="shared" si="57"/>
        <v>1</v>
      </c>
      <c r="H303" s="667"/>
      <c r="I303" s="21">
        <f t="shared" si="58"/>
        <v>1</v>
      </c>
      <c r="J303" s="667"/>
      <c r="K303" s="21">
        <f t="shared" si="59"/>
        <v>1</v>
      </c>
      <c r="L303" s="667"/>
      <c r="M303" s="21">
        <f t="shared" si="60"/>
        <v>1</v>
      </c>
      <c r="N303" s="667"/>
      <c r="O303" s="21">
        <f t="shared" si="61"/>
        <v>1</v>
      </c>
      <c r="P303" s="667"/>
      <c r="Q303" s="21">
        <f t="shared" si="62"/>
        <v>1</v>
      </c>
      <c r="R303" s="663">
        <f t="shared" si="63"/>
        <v>0</v>
      </c>
      <c r="S303" s="316">
        <f t="shared" si="64"/>
        <v>0</v>
      </c>
    </row>
    <row r="304" spans="1:19">
      <c r="A304" s="665">
        <f>面积明细表!C283</f>
        <v>0</v>
      </c>
      <c r="B304" s="54"/>
      <c r="C304" s="21">
        <f t="shared" si="55"/>
        <v>1</v>
      </c>
      <c r="D304" s="667"/>
      <c r="E304" s="21">
        <f t="shared" si="56"/>
        <v>1</v>
      </c>
      <c r="F304" s="667"/>
      <c r="G304" s="21">
        <f t="shared" si="57"/>
        <v>1</v>
      </c>
      <c r="H304" s="667"/>
      <c r="I304" s="21">
        <f t="shared" si="58"/>
        <v>1</v>
      </c>
      <c r="J304" s="667"/>
      <c r="K304" s="21">
        <f t="shared" si="59"/>
        <v>1</v>
      </c>
      <c r="L304" s="667"/>
      <c r="M304" s="21">
        <f t="shared" si="60"/>
        <v>1</v>
      </c>
      <c r="N304" s="667"/>
      <c r="O304" s="21">
        <f t="shared" si="61"/>
        <v>1</v>
      </c>
      <c r="P304" s="667"/>
      <c r="Q304" s="21">
        <f t="shared" si="62"/>
        <v>1</v>
      </c>
      <c r="R304" s="663">
        <f t="shared" si="63"/>
        <v>0</v>
      </c>
      <c r="S304" s="316">
        <f t="shared" si="64"/>
        <v>0</v>
      </c>
    </row>
    <row r="305" spans="1:19">
      <c r="A305" s="665">
        <f>面积明细表!C284</f>
        <v>0</v>
      </c>
      <c r="B305" s="54"/>
      <c r="C305" s="21">
        <f t="shared" si="55"/>
        <v>1</v>
      </c>
      <c r="D305" s="667"/>
      <c r="E305" s="21">
        <f t="shared" si="56"/>
        <v>1</v>
      </c>
      <c r="F305" s="667"/>
      <c r="G305" s="21">
        <f t="shared" si="57"/>
        <v>1</v>
      </c>
      <c r="H305" s="667"/>
      <c r="I305" s="21">
        <f t="shared" si="58"/>
        <v>1</v>
      </c>
      <c r="J305" s="667"/>
      <c r="K305" s="21">
        <f t="shared" si="59"/>
        <v>1</v>
      </c>
      <c r="L305" s="667"/>
      <c r="M305" s="21">
        <f t="shared" si="60"/>
        <v>1</v>
      </c>
      <c r="N305" s="667"/>
      <c r="O305" s="21">
        <f t="shared" si="61"/>
        <v>1</v>
      </c>
      <c r="P305" s="667"/>
      <c r="Q305" s="21">
        <f t="shared" si="62"/>
        <v>1</v>
      </c>
      <c r="R305" s="663">
        <f t="shared" si="63"/>
        <v>0</v>
      </c>
      <c r="S305" s="316">
        <f t="shared" si="64"/>
        <v>0</v>
      </c>
    </row>
    <row r="306" spans="1:19">
      <c r="A306" s="665">
        <f>面积明细表!C285</f>
        <v>0</v>
      </c>
      <c r="B306" s="54"/>
      <c r="C306" s="21">
        <f t="shared" si="55"/>
        <v>1</v>
      </c>
      <c r="D306" s="667"/>
      <c r="E306" s="21">
        <f t="shared" si="56"/>
        <v>1</v>
      </c>
      <c r="F306" s="667"/>
      <c r="G306" s="21">
        <f t="shared" si="57"/>
        <v>1</v>
      </c>
      <c r="H306" s="667"/>
      <c r="I306" s="21">
        <f t="shared" si="58"/>
        <v>1</v>
      </c>
      <c r="J306" s="667"/>
      <c r="K306" s="21">
        <f t="shared" si="59"/>
        <v>1</v>
      </c>
      <c r="L306" s="667"/>
      <c r="M306" s="21">
        <f t="shared" si="60"/>
        <v>1</v>
      </c>
      <c r="N306" s="667"/>
      <c r="O306" s="21">
        <f t="shared" si="61"/>
        <v>1</v>
      </c>
      <c r="P306" s="667"/>
      <c r="Q306" s="21">
        <f t="shared" si="62"/>
        <v>1</v>
      </c>
      <c r="R306" s="663">
        <f t="shared" si="63"/>
        <v>0</v>
      </c>
      <c r="S306" s="316">
        <f t="shared" si="64"/>
        <v>0</v>
      </c>
    </row>
    <row r="307" spans="1:19">
      <c r="A307" s="665">
        <f>面积明细表!C286</f>
        <v>0</v>
      </c>
      <c r="B307" s="54"/>
      <c r="C307" s="21">
        <f t="shared" si="55"/>
        <v>1</v>
      </c>
      <c r="D307" s="667"/>
      <c r="E307" s="21">
        <f t="shared" si="56"/>
        <v>1</v>
      </c>
      <c r="F307" s="667"/>
      <c r="G307" s="21">
        <f t="shared" si="57"/>
        <v>1</v>
      </c>
      <c r="H307" s="667"/>
      <c r="I307" s="21">
        <f t="shared" si="58"/>
        <v>1</v>
      </c>
      <c r="J307" s="667"/>
      <c r="K307" s="21">
        <f t="shared" si="59"/>
        <v>1</v>
      </c>
      <c r="L307" s="667"/>
      <c r="M307" s="21">
        <f t="shared" si="60"/>
        <v>1</v>
      </c>
      <c r="N307" s="667"/>
      <c r="O307" s="21">
        <f t="shared" si="61"/>
        <v>1</v>
      </c>
      <c r="P307" s="667"/>
      <c r="Q307" s="21">
        <f t="shared" si="62"/>
        <v>1</v>
      </c>
      <c r="R307" s="663">
        <f t="shared" si="63"/>
        <v>0</v>
      </c>
      <c r="S307" s="316">
        <f t="shared" si="64"/>
        <v>0</v>
      </c>
    </row>
    <row r="308" spans="1:19">
      <c r="A308" s="665">
        <f>面积明细表!C287</f>
        <v>0</v>
      </c>
      <c r="B308" s="54"/>
      <c r="C308" s="21">
        <f t="shared" si="55"/>
        <v>1</v>
      </c>
      <c r="D308" s="667"/>
      <c r="E308" s="21">
        <f t="shared" si="56"/>
        <v>1</v>
      </c>
      <c r="F308" s="667"/>
      <c r="G308" s="21">
        <f t="shared" si="57"/>
        <v>1</v>
      </c>
      <c r="H308" s="667"/>
      <c r="I308" s="21">
        <f t="shared" si="58"/>
        <v>1</v>
      </c>
      <c r="J308" s="667"/>
      <c r="K308" s="21">
        <f t="shared" si="59"/>
        <v>1</v>
      </c>
      <c r="L308" s="667"/>
      <c r="M308" s="21">
        <f t="shared" si="60"/>
        <v>1</v>
      </c>
      <c r="N308" s="667"/>
      <c r="O308" s="21">
        <f t="shared" si="61"/>
        <v>1</v>
      </c>
      <c r="P308" s="667"/>
      <c r="Q308" s="21">
        <f t="shared" si="62"/>
        <v>1</v>
      </c>
      <c r="R308" s="663">
        <f t="shared" si="63"/>
        <v>0</v>
      </c>
      <c r="S308" s="316">
        <f t="shared" si="64"/>
        <v>0</v>
      </c>
    </row>
    <row r="309" spans="1:19">
      <c r="A309" s="665">
        <f>面积明细表!C288</f>
        <v>0</v>
      </c>
      <c r="B309" s="54"/>
      <c r="C309" s="21">
        <f t="shared" si="55"/>
        <v>1</v>
      </c>
      <c r="D309" s="667"/>
      <c r="E309" s="21">
        <f t="shared" si="56"/>
        <v>1</v>
      </c>
      <c r="F309" s="667"/>
      <c r="G309" s="21">
        <f t="shared" si="57"/>
        <v>1</v>
      </c>
      <c r="H309" s="667"/>
      <c r="I309" s="21">
        <f t="shared" si="58"/>
        <v>1</v>
      </c>
      <c r="J309" s="667"/>
      <c r="K309" s="21">
        <f t="shared" si="59"/>
        <v>1</v>
      </c>
      <c r="L309" s="667"/>
      <c r="M309" s="21">
        <f t="shared" si="60"/>
        <v>1</v>
      </c>
      <c r="N309" s="667"/>
      <c r="O309" s="21">
        <f t="shared" si="61"/>
        <v>1</v>
      </c>
      <c r="P309" s="667"/>
      <c r="Q309" s="21">
        <f t="shared" si="62"/>
        <v>1</v>
      </c>
      <c r="R309" s="663">
        <f t="shared" si="63"/>
        <v>0</v>
      </c>
      <c r="S309" s="316">
        <f t="shared" si="64"/>
        <v>0</v>
      </c>
    </row>
    <row r="310" spans="1:19">
      <c r="A310" s="665">
        <f>面积明细表!C289</f>
        <v>0</v>
      </c>
      <c r="B310" s="54"/>
      <c r="C310" s="21">
        <f t="shared" si="55"/>
        <v>1</v>
      </c>
      <c r="D310" s="667"/>
      <c r="E310" s="21">
        <f t="shared" si="56"/>
        <v>1</v>
      </c>
      <c r="F310" s="667"/>
      <c r="G310" s="21">
        <f t="shared" si="57"/>
        <v>1</v>
      </c>
      <c r="H310" s="667"/>
      <c r="I310" s="21">
        <f t="shared" si="58"/>
        <v>1</v>
      </c>
      <c r="J310" s="667"/>
      <c r="K310" s="21">
        <f t="shared" si="59"/>
        <v>1</v>
      </c>
      <c r="L310" s="667"/>
      <c r="M310" s="21">
        <f t="shared" si="60"/>
        <v>1</v>
      </c>
      <c r="N310" s="667"/>
      <c r="O310" s="21">
        <f t="shared" si="61"/>
        <v>1</v>
      </c>
      <c r="P310" s="667"/>
      <c r="Q310" s="21">
        <f t="shared" si="62"/>
        <v>1</v>
      </c>
      <c r="R310" s="663">
        <f t="shared" si="63"/>
        <v>0</v>
      </c>
      <c r="S310" s="316">
        <f t="shared" si="64"/>
        <v>0</v>
      </c>
    </row>
    <row r="311" spans="1:19">
      <c r="A311" s="665">
        <f>面积明细表!C290</f>
        <v>0</v>
      </c>
      <c r="B311" s="54"/>
      <c r="C311" s="21">
        <f t="shared" si="55"/>
        <v>1</v>
      </c>
      <c r="D311" s="667"/>
      <c r="E311" s="21">
        <f t="shared" si="56"/>
        <v>1</v>
      </c>
      <c r="F311" s="667"/>
      <c r="G311" s="21">
        <f t="shared" si="57"/>
        <v>1</v>
      </c>
      <c r="H311" s="667"/>
      <c r="I311" s="21">
        <f t="shared" si="58"/>
        <v>1</v>
      </c>
      <c r="J311" s="667"/>
      <c r="K311" s="21">
        <f t="shared" si="59"/>
        <v>1</v>
      </c>
      <c r="L311" s="667"/>
      <c r="M311" s="21">
        <f t="shared" si="60"/>
        <v>1</v>
      </c>
      <c r="N311" s="667"/>
      <c r="O311" s="21">
        <f t="shared" si="61"/>
        <v>1</v>
      </c>
      <c r="P311" s="667"/>
      <c r="Q311" s="21">
        <f t="shared" si="62"/>
        <v>1</v>
      </c>
      <c r="R311" s="663">
        <f t="shared" si="63"/>
        <v>0</v>
      </c>
      <c r="S311" s="316">
        <f t="shared" si="64"/>
        <v>0</v>
      </c>
    </row>
    <row r="312" spans="1:19">
      <c r="A312" s="665">
        <f>面积明细表!C291</f>
        <v>0</v>
      </c>
      <c r="B312" s="54"/>
      <c r="C312" s="21">
        <f t="shared" si="55"/>
        <v>1</v>
      </c>
      <c r="D312" s="667"/>
      <c r="E312" s="21">
        <f t="shared" si="56"/>
        <v>1</v>
      </c>
      <c r="F312" s="667"/>
      <c r="G312" s="21">
        <f t="shared" si="57"/>
        <v>1</v>
      </c>
      <c r="H312" s="667"/>
      <c r="I312" s="21">
        <f t="shared" si="58"/>
        <v>1</v>
      </c>
      <c r="J312" s="667"/>
      <c r="K312" s="21">
        <f t="shared" si="59"/>
        <v>1</v>
      </c>
      <c r="L312" s="667"/>
      <c r="M312" s="21">
        <f t="shared" si="60"/>
        <v>1</v>
      </c>
      <c r="N312" s="667"/>
      <c r="O312" s="21">
        <f t="shared" si="61"/>
        <v>1</v>
      </c>
      <c r="P312" s="667"/>
      <c r="Q312" s="21">
        <f t="shared" si="62"/>
        <v>1</v>
      </c>
      <c r="R312" s="663">
        <f t="shared" si="63"/>
        <v>0</v>
      </c>
      <c r="S312" s="316">
        <f t="shared" si="64"/>
        <v>0</v>
      </c>
    </row>
    <row r="313" spans="1:19">
      <c r="A313" s="665">
        <f>面积明细表!C292</f>
        <v>0</v>
      </c>
      <c r="B313" s="54"/>
      <c r="C313" s="21">
        <f t="shared" si="55"/>
        <v>1</v>
      </c>
      <c r="D313" s="667"/>
      <c r="E313" s="21">
        <f t="shared" si="56"/>
        <v>1</v>
      </c>
      <c r="F313" s="667"/>
      <c r="G313" s="21">
        <f t="shared" si="57"/>
        <v>1</v>
      </c>
      <c r="H313" s="667"/>
      <c r="I313" s="21">
        <f t="shared" si="58"/>
        <v>1</v>
      </c>
      <c r="J313" s="667"/>
      <c r="K313" s="21">
        <f t="shared" si="59"/>
        <v>1</v>
      </c>
      <c r="L313" s="667"/>
      <c r="M313" s="21">
        <f t="shared" si="60"/>
        <v>1</v>
      </c>
      <c r="N313" s="667"/>
      <c r="O313" s="21">
        <f t="shared" si="61"/>
        <v>1</v>
      </c>
      <c r="P313" s="667"/>
      <c r="Q313" s="21">
        <f t="shared" si="62"/>
        <v>1</v>
      </c>
      <c r="R313" s="663">
        <f t="shared" si="63"/>
        <v>0</v>
      </c>
      <c r="S313" s="316">
        <f t="shared" si="64"/>
        <v>0</v>
      </c>
    </row>
    <row r="314" spans="1:19">
      <c r="A314" s="665">
        <f>面积明细表!C293</f>
        <v>0</v>
      </c>
      <c r="B314" s="54"/>
      <c r="C314" s="21">
        <f t="shared" si="55"/>
        <v>1</v>
      </c>
      <c r="D314" s="667"/>
      <c r="E314" s="21">
        <f t="shared" si="56"/>
        <v>1</v>
      </c>
      <c r="F314" s="667"/>
      <c r="G314" s="21">
        <f t="shared" si="57"/>
        <v>1</v>
      </c>
      <c r="H314" s="667"/>
      <c r="I314" s="21">
        <f t="shared" si="58"/>
        <v>1</v>
      </c>
      <c r="J314" s="667"/>
      <c r="K314" s="21">
        <f t="shared" si="59"/>
        <v>1</v>
      </c>
      <c r="L314" s="667"/>
      <c r="M314" s="21">
        <f t="shared" si="60"/>
        <v>1</v>
      </c>
      <c r="N314" s="667"/>
      <c r="O314" s="21">
        <f t="shared" si="61"/>
        <v>1</v>
      </c>
      <c r="P314" s="667"/>
      <c r="Q314" s="21">
        <f t="shared" si="62"/>
        <v>1</v>
      </c>
      <c r="R314" s="663">
        <f t="shared" si="63"/>
        <v>0</v>
      </c>
      <c r="S314" s="316">
        <f t="shared" si="64"/>
        <v>0</v>
      </c>
    </row>
    <row r="315" spans="1:19">
      <c r="A315" s="665">
        <f>面积明细表!C294</f>
        <v>0</v>
      </c>
      <c r="B315" s="54"/>
      <c r="C315" s="21">
        <f t="shared" si="55"/>
        <v>1</v>
      </c>
      <c r="D315" s="667"/>
      <c r="E315" s="21">
        <f t="shared" si="56"/>
        <v>1</v>
      </c>
      <c r="F315" s="667"/>
      <c r="G315" s="21">
        <f t="shared" si="57"/>
        <v>1</v>
      </c>
      <c r="H315" s="667"/>
      <c r="I315" s="21">
        <f t="shared" si="58"/>
        <v>1</v>
      </c>
      <c r="J315" s="667"/>
      <c r="K315" s="21">
        <f t="shared" si="59"/>
        <v>1</v>
      </c>
      <c r="L315" s="667"/>
      <c r="M315" s="21">
        <f t="shared" si="60"/>
        <v>1</v>
      </c>
      <c r="N315" s="667"/>
      <c r="O315" s="21">
        <f t="shared" si="61"/>
        <v>1</v>
      </c>
      <c r="P315" s="667"/>
      <c r="Q315" s="21">
        <f t="shared" si="62"/>
        <v>1</v>
      </c>
      <c r="R315" s="663">
        <f t="shared" si="63"/>
        <v>0</v>
      </c>
      <c r="S315" s="316">
        <f t="shared" si="64"/>
        <v>0</v>
      </c>
    </row>
    <row r="316" spans="1:19">
      <c r="A316" s="665">
        <f>面积明细表!C295</f>
        <v>0</v>
      </c>
      <c r="B316" s="54"/>
      <c r="C316" s="21">
        <f t="shared" si="55"/>
        <v>1</v>
      </c>
      <c r="D316" s="667"/>
      <c r="E316" s="21">
        <f t="shared" si="56"/>
        <v>1</v>
      </c>
      <c r="F316" s="667"/>
      <c r="G316" s="21">
        <f t="shared" si="57"/>
        <v>1</v>
      </c>
      <c r="H316" s="667"/>
      <c r="I316" s="21">
        <f t="shared" si="58"/>
        <v>1</v>
      </c>
      <c r="J316" s="667"/>
      <c r="K316" s="21">
        <f t="shared" si="59"/>
        <v>1</v>
      </c>
      <c r="L316" s="667"/>
      <c r="M316" s="21">
        <f t="shared" si="60"/>
        <v>1</v>
      </c>
      <c r="N316" s="667"/>
      <c r="O316" s="21">
        <f t="shared" si="61"/>
        <v>1</v>
      </c>
      <c r="P316" s="667"/>
      <c r="Q316" s="21">
        <f t="shared" si="62"/>
        <v>1</v>
      </c>
      <c r="R316" s="663">
        <f t="shared" si="63"/>
        <v>0</v>
      </c>
      <c r="S316" s="316">
        <f t="shared" si="64"/>
        <v>0</v>
      </c>
    </row>
    <row r="317" spans="1:19">
      <c r="A317" s="665">
        <f>面积明细表!C296</f>
        <v>0</v>
      </c>
      <c r="B317" s="54"/>
      <c r="C317" s="21">
        <f t="shared" si="55"/>
        <v>1</v>
      </c>
      <c r="D317" s="667"/>
      <c r="E317" s="21">
        <f t="shared" si="56"/>
        <v>1</v>
      </c>
      <c r="F317" s="667"/>
      <c r="G317" s="21">
        <f t="shared" si="57"/>
        <v>1</v>
      </c>
      <c r="H317" s="667"/>
      <c r="I317" s="21">
        <f t="shared" si="58"/>
        <v>1</v>
      </c>
      <c r="J317" s="667"/>
      <c r="K317" s="21">
        <f t="shared" si="59"/>
        <v>1</v>
      </c>
      <c r="L317" s="667"/>
      <c r="M317" s="21">
        <f t="shared" si="60"/>
        <v>1</v>
      </c>
      <c r="N317" s="667"/>
      <c r="O317" s="21">
        <f t="shared" si="61"/>
        <v>1</v>
      </c>
      <c r="P317" s="667"/>
      <c r="Q317" s="21">
        <f t="shared" si="62"/>
        <v>1</v>
      </c>
      <c r="R317" s="663">
        <f t="shared" si="63"/>
        <v>0</v>
      </c>
      <c r="S317" s="316">
        <f t="shared" si="64"/>
        <v>0</v>
      </c>
    </row>
    <row r="318" spans="1:19">
      <c r="A318" s="665">
        <f>面积明细表!C297</f>
        <v>0</v>
      </c>
      <c r="B318" s="54"/>
      <c r="C318" s="21">
        <f t="shared" si="55"/>
        <v>1</v>
      </c>
      <c r="D318" s="667"/>
      <c r="E318" s="21">
        <f t="shared" si="56"/>
        <v>1</v>
      </c>
      <c r="F318" s="667"/>
      <c r="G318" s="21">
        <f t="shared" si="57"/>
        <v>1</v>
      </c>
      <c r="H318" s="667"/>
      <c r="I318" s="21">
        <f t="shared" si="58"/>
        <v>1</v>
      </c>
      <c r="J318" s="667"/>
      <c r="K318" s="21">
        <f t="shared" si="59"/>
        <v>1</v>
      </c>
      <c r="L318" s="667"/>
      <c r="M318" s="21">
        <f t="shared" si="60"/>
        <v>1</v>
      </c>
      <c r="N318" s="667"/>
      <c r="O318" s="21">
        <f t="shared" si="61"/>
        <v>1</v>
      </c>
      <c r="P318" s="667"/>
      <c r="Q318" s="21">
        <f t="shared" si="62"/>
        <v>1</v>
      </c>
      <c r="R318" s="663">
        <f t="shared" si="63"/>
        <v>0</v>
      </c>
      <c r="S318" s="316">
        <f t="shared" si="64"/>
        <v>0</v>
      </c>
    </row>
    <row r="319" spans="1:19">
      <c r="A319" s="665">
        <f>面积明细表!C298</f>
        <v>0</v>
      </c>
      <c r="B319" s="54"/>
      <c r="C319" s="21">
        <f t="shared" si="55"/>
        <v>1</v>
      </c>
      <c r="D319" s="667"/>
      <c r="E319" s="21">
        <f t="shared" si="56"/>
        <v>1</v>
      </c>
      <c r="F319" s="667"/>
      <c r="G319" s="21">
        <f t="shared" si="57"/>
        <v>1</v>
      </c>
      <c r="H319" s="667"/>
      <c r="I319" s="21">
        <f t="shared" si="58"/>
        <v>1</v>
      </c>
      <c r="J319" s="667"/>
      <c r="K319" s="21">
        <f t="shared" si="59"/>
        <v>1</v>
      </c>
      <c r="L319" s="667"/>
      <c r="M319" s="21">
        <f t="shared" si="60"/>
        <v>1</v>
      </c>
      <c r="N319" s="667"/>
      <c r="O319" s="21">
        <f t="shared" si="61"/>
        <v>1</v>
      </c>
      <c r="P319" s="667"/>
      <c r="Q319" s="21">
        <f t="shared" si="62"/>
        <v>1</v>
      </c>
      <c r="R319" s="663">
        <f t="shared" si="63"/>
        <v>0</v>
      </c>
      <c r="S319" s="316">
        <f t="shared" si="64"/>
        <v>0</v>
      </c>
    </row>
    <row r="320" spans="1:19">
      <c r="A320" s="665">
        <f>面积明细表!C299</f>
        <v>0</v>
      </c>
      <c r="B320" s="54"/>
      <c r="C320" s="21">
        <f t="shared" si="55"/>
        <v>1</v>
      </c>
      <c r="D320" s="667"/>
      <c r="E320" s="21">
        <f t="shared" si="56"/>
        <v>1</v>
      </c>
      <c r="F320" s="667"/>
      <c r="G320" s="21">
        <f t="shared" si="57"/>
        <v>1</v>
      </c>
      <c r="H320" s="667"/>
      <c r="I320" s="21">
        <f t="shared" si="58"/>
        <v>1</v>
      </c>
      <c r="J320" s="667"/>
      <c r="K320" s="21">
        <f t="shared" si="59"/>
        <v>1</v>
      </c>
      <c r="L320" s="667"/>
      <c r="M320" s="21">
        <f t="shared" si="60"/>
        <v>1</v>
      </c>
      <c r="N320" s="667"/>
      <c r="O320" s="21">
        <f t="shared" si="61"/>
        <v>1</v>
      </c>
      <c r="P320" s="667"/>
      <c r="Q320" s="21">
        <f t="shared" si="62"/>
        <v>1</v>
      </c>
      <c r="R320" s="663">
        <f t="shared" si="63"/>
        <v>0</v>
      </c>
      <c r="S320" s="316">
        <f t="shared" si="64"/>
        <v>0</v>
      </c>
    </row>
    <row r="321" spans="1:19">
      <c r="A321" s="665">
        <f>面积明细表!C300</f>
        <v>0</v>
      </c>
      <c r="B321" s="54"/>
      <c r="C321" s="21">
        <f t="shared" si="55"/>
        <v>1</v>
      </c>
      <c r="D321" s="667"/>
      <c r="E321" s="21">
        <f t="shared" si="56"/>
        <v>1</v>
      </c>
      <c r="F321" s="667"/>
      <c r="G321" s="21">
        <f t="shared" si="57"/>
        <v>1</v>
      </c>
      <c r="H321" s="667"/>
      <c r="I321" s="21">
        <f t="shared" si="58"/>
        <v>1</v>
      </c>
      <c r="J321" s="667"/>
      <c r="K321" s="21">
        <f t="shared" si="59"/>
        <v>1</v>
      </c>
      <c r="L321" s="667"/>
      <c r="M321" s="21">
        <f t="shared" si="60"/>
        <v>1</v>
      </c>
      <c r="N321" s="667"/>
      <c r="O321" s="21">
        <f t="shared" si="61"/>
        <v>1</v>
      </c>
      <c r="P321" s="667"/>
      <c r="Q321" s="21">
        <f t="shared" si="62"/>
        <v>1</v>
      </c>
      <c r="R321" s="663">
        <f t="shared" si="63"/>
        <v>0</v>
      </c>
      <c r="S321" s="316">
        <f t="shared" ref="S321:S384" si="65">ROUND(R321*B321/10000,0)</f>
        <v>0</v>
      </c>
    </row>
    <row r="322" spans="1:19">
      <c r="A322" s="665">
        <f>面积明细表!C301</f>
        <v>0</v>
      </c>
      <c r="B322" s="54"/>
      <c r="C322" s="21">
        <f t="shared" si="55"/>
        <v>1</v>
      </c>
      <c r="D322" s="667"/>
      <c r="E322" s="21">
        <f t="shared" si="56"/>
        <v>1</v>
      </c>
      <c r="F322" s="667"/>
      <c r="G322" s="21">
        <f t="shared" si="57"/>
        <v>1</v>
      </c>
      <c r="H322" s="667"/>
      <c r="I322" s="21">
        <f t="shared" si="58"/>
        <v>1</v>
      </c>
      <c r="J322" s="667"/>
      <c r="K322" s="21">
        <f t="shared" si="59"/>
        <v>1</v>
      </c>
      <c r="L322" s="667"/>
      <c r="M322" s="21">
        <f t="shared" si="60"/>
        <v>1</v>
      </c>
      <c r="N322" s="667"/>
      <c r="O322" s="21">
        <f t="shared" si="61"/>
        <v>1</v>
      </c>
      <c r="P322" s="667"/>
      <c r="Q322" s="21">
        <f t="shared" si="62"/>
        <v>1</v>
      </c>
      <c r="R322" s="663">
        <f t="shared" si="63"/>
        <v>0</v>
      </c>
      <c r="S322" s="316">
        <f t="shared" si="65"/>
        <v>0</v>
      </c>
    </row>
    <row r="323" spans="1:19">
      <c r="A323" s="665">
        <f>面积明细表!C302</f>
        <v>0</v>
      </c>
      <c r="B323" s="54"/>
      <c r="C323" s="21">
        <f t="shared" si="55"/>
        <v>1</v>
      </c>
      <c r="D323" s="667"/>
      <c r="E323" s="21">
        <f t="shared" si="56"/>
        <v>1</v>
      </c>
      <c r="F323" s="667"/>
      <c r="G323" s="21">
        <f t="shared" si="57"/>
        <v>1</v>
      </c>
      <c r="H323" s="667"/>
      <c r="I323" s="21">
        <f t="shared" si="58"/>
        <v>1</v>
      </c>
      <c r="J323" s="667"/>
      <c r="K323" s="21">
        <f t="shared" si="59"/>
        <v>1</v>
      </c>
      <c r="L323" s="667"/>
      <c r="M323" s="21">
        <f t="shared" si="60"/>
        <v>1</v>
      </c>
      <c r="N323" s="667"/>
      <c r="O323" s="21">
        <f t="shared" si="61"/>
        <v>1</v>
      </c>
      <c r="P323" s="667"/>
      <c r="Q323" s="21">
        <f t="shared" si="62"/>
        <v>1</v>
      </c>
      <c r="R323" s="663">
        <f t="shared" si="63"/>
        <v>0</v>
      </c>
      <c r="S323" s="316">
        <f t="shared" si="65"/>
        <v>0</v>
      </c>
    </row>
    <row r="324" spans="1:19">
      <c r="A324" s="665">
        <f>面积明细表!C303</f>
        <v>0</v>
      </c>
      <c r="B324" s="54"/>
      <c r="C324" s="21">
        <f t="shared" si="55"/>
        <v>1</v>
      </c>
      <c r="D324" s="667"/>
      <c r="E324" s="21">
        <f t="shared" si="56"/>
        <v>1</v>
      </c>
      <c r="F324" s="667"/>
      <c r="G324" s="21">
        <f t="shared" si="57"/>
        <v>1</v>
      </c>
      <c r="H324" s="667"/>
      <c r="I324" s="21">
        <f t="shared" si="58"/>
        <v>1</v>
      </c>
      <c r="J324" s="667"/>
      <c r="K324" s="21">
        <f t="shared" si="59"/>
        <v>1</v>
      </c>
      <c r="L324" s="667"/>
      <c r="M324" s="21">
        <f t="shared" si="60"/>
        <v>1</v>
      </c>
      <c r="N324" s="667"/>
      <c r="O324" s="21">
        <f t="shared" si="61"/>
        <v>1</v>
      </c>
      <c r="P324" s="667"/>
      <c r="Q324" s="21">
        <f t="shared" si="62"/>
        <v>1</v>
      </c>
      <c r="R324" s="663">
        <f t="shared" si="63"/>
        <v>0</v>
      </c>
      <c r="S324" s="316">
        <f t="shared" si="65"/>
        <v>0</v>
      </c>
    </row>
    <row r="325" spans="1:19">
      <c r="A325" s="665">
        <f>面积明细表!C304</f>
        <v>0</v>
      </c>
      <c r="B325" s="54"/>
      <c r="C325" s="21">
        <f t="shared" si="55"/>
        <v>1</v>
      </c>
      <c r="D325" s="667"/>
      <c r="E325" s="21">
        <f t="shared" si="56"/>
        <v>1</v>
      </c>
      <c r="F325" s="667"/>
      <c r="G325" s="21">
        <f t="shared" si="57"/>
        <v>1</v>
      </c>
      <c r="H325" s="667"/>
      <c r="I325" s="21">
        <f t="shared" si="58"/>
        <v>1</v>
      </c>
      <c r="J325" s="667"/>
      <c r="K325" s="21">
        <f t="shared" si="59"/>
        <v>1</v>
      </c>
      <c r="L325" s="667"/>
      <c r="M325" s="21">
        <f t="shared" si="60"/>
        <v>1</v>
      </c>
      <c r="N325" s="667"/>
      <c r="O325" s="21">
        <f t="shared" si="61"/>
        <v>1</v>
      </c>
      <c r="P325" s="667"/>
      <c r="Q325" s="21">
        <f t="shared" si="62"/>
        <v>1</v>
      </c>
      <c r="R325" s="663">
        <f t="shared" si="63"/>
        <v>0</v>
      </c>
      <c r="S325" s="316">
        <f t="shared" si="65"/>
        <v>0</v>
      </c>
    </row>
    <row r="326" spans="1:19">
      <c r="A326" s="665">
        <f>面积明细表!C305</f>
        <v>0</v>
      </c>
      <c r="B326" s="54"/>
      <c r="C326" s="21">
        <f t="shared" si="55"/>
        <v>1</v>
      </c>
      <c r="D326" s="667"/>
      <c r="E326" s="21">
        <f t="shared" si="56"/>
        <v>1</v>
      </c>
      <c r="F326" s="667"/>
      <c r="G326" s="21">
        <f t="shared" si="57"/>
        <v>1</v>
      </c>
      <c r="H326" s="667"/>
      <c r="I326" s="21">
        <f t="shared" si="58"/>
        <v>1</v>
      </c>
      <c r="J326" s="667"/>
      <c r="K326" s="21">
        <f t="shared" si="59"/>
        <v>1</v>
      </c>
      <c r="L326" s="667"/>
      <c r="M326" s="21">
        <f t="shared" si="60"/>
        <v>1</v>
      </c>
      <c r="N326" s="667"/>
      <c r="O326" s="21">
        <f t="shared" si="61"/>
        <v>1</v>
      </c>
      <c r="P326" s="667"/>
      <c r="Q326" s="21">
        <f t="shared" si="62"/>
        <v>1</v>
      </c>
      <c r="R326" s="663">
        <f t="shared" si="63"/>
        <v>0</v>
      </c>
      <c r="S326" s="316">
        <f t="shared" si="65"/>
        <v>0</v>
      </c>
    </row>
    <row r="327" spans="1:19">
      <c r="A327" s="665">
        <f>面积明细表!C306</f>
        <v>0</v>
      </c>
      <c r="B327" s="54"/>
      <c r="C327" s="21">
        <f t="shared" si="55"/>
        <v>1</v>
      </c>
      <c r="D327" s="667"/>
      <c r="E327" s="21">
        <f t="shared" si="56"/>
        <v>1</v>
      </c>
      <c r="F327" s="667"/>
      <c r="G327" s="21">
        <f t="shared" si="57"/>
        <v>1</v>
      </c>
      <c r="H327" s="667"/>
      <c r="I327" s="21">
        <f t="shared" si="58"/>
        <v>1</v>
      </c>
      <c r="J327" s="667"/>
      <c r="K327" s="21">
        <f t="shared" si="59"/>
        <v>1</v>
      </c>
      <c r="L327" s="667"/>
      <c r="M327" s="21">
        <f t="shared" si="60"/>
        <v>1</v>
      </c>
      <c r="N327" s="667"/>
      <c r="O327" s="21">
        <f t="shared" si="61"/>
        <v>1</v>
      </c>
      <c r="P327" s="667"/>
      <c r="Q327" s="21">
        <f t="shared" si="62"/>
        <v>1</v>
      </c>
      <c r="R327" s="663">
        <f t="shared" si="63"/>
        <v>0</v>
      </c>
      <c r="S327" s="316">
        <f t="shared" si="65"/>
        <v>0</v>
      </c>
    </row>
    <row r="328" spans="1:19">
      <c r="A328" s="665">
        <f>面积明细表!C307</f>
        <v>0</v>
      </c>
      <c r="B328" s="54"/>
      <c r="C328" s="21">
        <f t="shared" si="55"/>
        <v>1</v>
      </c>
      <c r="D328" s="667"/>
      <c r="E328" s="21">
        <f t="shared" si="56"/>
        <v>1</v>
      </c>
      <c r="F328" s="667"/>
      <c r="G328" s="21">
        <f t="shared" si="57"/>
        <v>1</v>
      </c>
      <c r="H328" s="667"/>
      <c r="I328" s="21">
        <f t="shared" si="58"/>
        <v>1</v>
      </c>
      <c r="J328" s="667"/>
      <c r="K328" s="21">
        <f t="shared" si="59"/>
        <v>1</v>
      </c>
      <c r="L328" s="667"/>
      <c r="M328" s="21">
        <f t="shared" si="60"/>
        <v>1</v>
      </c>
      <c r="N328" s="667"/>
      <c r="O328" s="21">
        <f t="shared" si="61"/>
        <v>1</v>
      </c>
      <c r="P328" s="667"/>
      <c r="Q328" s="21">
        <f t="shared" si="62"/>
        <v>1</v>
      </c>
      <c r="R328" s="663">
        <f t="shared" si="63"/>
        <v>0</v>
      </c>
      <c r="S328" s="316">
        <f t="shared" si="65"/>
        <v>0</v>
      </c>
    </row>
    <row r="329" spans="1:19">
      <c r="A329" s="665">
        <f>面积明细表!C308</f>
        <v>0</v>
      </c>
      <c r="B329" s="54"/>
      <c r="C329" s="21">
        <f t="shared" si="55"/>
        <v>1</v>
      </c>
      <c r="D329" s="667"/>
      <c r="E329" s="21">
        <f t="shared" si="56"/>
        <v>1</v>
      </c>
      <c r="F329" s="667"/>
      <c r="G329" s="21">
        <f t="shared" si="57"/>
        <v>1</v>
      </c>
      <c r="H329" s="667"/>
      <c r="I329" s="21">
        <f t="shared" si="58"/>
        <v>1</v>
      </c>
      <c r="J329" s="667"/>
      <c r="K329" s="21">
        <f t="shared" si="59"/>
        <v>1</v>
      </c>
      <c r="L329" s="667"/>
      <c r="M329" s="21">
        <f t="shared" si="60"/>
        <v>1</v>
      </c>
      <c r="N329" s="667"/>
      <c r="O329" s="21">
        <f t="shared" si="61"/>
        <v>1</v>
      </c>
      <c r="P329" s="667"/>
      <c r="Q329" s="21">
        <f t="shared" si="62"/>
        <v>1</v>
      </c>
      <c r="R329" s="663">
        <f t="shared" si="63"/>
        <v>0</v>
      </c>
      <c r="S329" s="316">
        <f t="shared" si="65"/>
        <v>0</v>
      </c>
    </row>
    <row r="330" spans="1:19">
      <c r="A330" s="665">
        <f>面积明细表!C309</f>
        <v>0</v>
      </c>
      <c r="B330" s="54"/>
      <c r="C330" s="21">
        <f t="shared" si="55"/>
        <v>1</v>
      </c>
      <c r="D330" s="667"/>
      <c r="E330" s="21">
        <f t="shared" si="56"/>
        <v>1</v>
      </c>
      <c r="F330" s="667"/>
      <c r="G330" s="21">
        <f t="shared" si="57"/>
        <v>1</v>
      </c>
      <c r="H330" s="667"/>
      <c r="I330" s="21">
        <f t="shared" si="58"/>
        <v>1</v>
      </c>
      <c r="J330" s="667"/>
      <c r="K330" s="21">
        <f t="shared" si="59"/>
        <v>1</v>
      </c>
      <c r="L330" s="667"/>
      <c r="M330" s="21">
        <f t="shared" si="60"/>
        <v>1</v>
      </c>
      <c r="N330" s="667"/>
      <c r="O330" s="21">
        <f t="shared" si="61"/>
        <v>1</v>
      </c>
      <c r="P330" s="667"/>
      <c r="Q330" s="21">
        <f t="shared" si="62"/>
        <v>1</v>
      </c>
      <c r="R330" s="663">
        <f t="shared" si="63"/>
        <v>0</v>
      </c>
      <c r="S330" s="316">
        <f t="shared" si="65"/>
        <v>0</v>
      </c>
    </row>
    <row r="331" spans="1:19">
      <c r="A331" s="665">
        <f>面积明细表!C310</f>
        <v>0</v>
      </c>
      <c r="B331" s="54"/>
      <c r="C331" s="21">
        <f t="shared" si="55"/>
        <v>1</v>
      </c>
      <c r="D331" s="667"/>
      <c r="E331" s="21">
        <f t="shared" si="56"/>
        <v>1</v>
      </c>
      <c r="F331" s="667"/>
      <c r="G331" s="21">
        <f t="shared" si="57"/>
        <v>1</v>
      </c>
      <c r="H331" s="667"/>
      <c r="I331" s="21">
        <f t="shared" si="58"/>
        <v>1</v>
      </c>
      <c r="J331" s="667"/>
      <c r="K331" s="21">
        <f t="shared" si="59"/>
        <v>1</v>
      </c>
      <c r="L331" s="667"/>
      <c r="M331" s="21">
        <f t="shared" si="60"/>
        <v>1</v>
      </c>
      <c r="N331" s="667"/>
      <c r="O331" s="21">
        <f t="shared" si="61"/>
        <v>1</v>
      </c>
      <c r="P331" s="667"/>
      <c r="Q331" s="21">
        <f t="shared" si="62"/>
        <v>1</v>
      </c>
      <c r="R331" s="663">
        <f t="shared" si="63"/>
        <v>0</v>
      </c>
      <c r="S331" s="316">
        <f t="shared" si="65"/>
        <v>0</v>
      </c>
    </row>
    <row r="332" spans="1:19">
      <c r="A332" s="665">
        <f>面积明细表!C311</f>
        <v>0</v>
      </c>
      <c r="B332" s="54"/>
      <c r="C332" s="21">
        <f t="shared" si="55"/>
        <v>1</v>
      </c>
      <c r="D332" s="667"/>
      <c r="E332" s="21">
        <f t="shared" si="56"/>
        <v>1</v>
      </c>
      <c r="F332" s="667"/>
      <c r="G332" s="21">
        <f t="shared" si="57"/>
        <v>1</v>
      </c>
      <c r="H332" s="667"/>
      <c r="I332" s="21">
        <f t="shared" si="58"/>
        <v>1</v>
      </c>
      <c r="J332" s="667"/>
      <c r="K332" s="21">
        <f t="shared" si="59"/>
        <v>1</v>
      </c>
      <c r="L332" s="667"/>
      <c r="M332" s="21">
        <f t="shared" si="60"/>
        <v>1</v>
      </c>
      <c r="N332" s="667"/>
      <c r="O332" s="21">
        <f t="shared" si="61"/>
        <v>1</v>
      </c>
      <c r="P332" s="667"/>
      <c r="Q332" s="21">
        <f t="shared" si="62"/>
        <v>1</v>
      </c>
      <c r="R332" s="663">
        <f t="shared" si="63"/>
        <v>0</v>
      </c>
      <c r="S332" s="316">
        <f t="shared" si="65"/>
        <v>0</v>
      </c>
    </row>
    <row r="333" spans="1:19">
      <c r="A333" s="665">
        <f>面积明细表!C312</f>
        <v>0</v>
      </c>
      <c r="B333" s="54"/>
      <c r="C333" s="21">
        <f t="shared" si="55"/>
        <v>1</v>
      </c>
      <c r="D333" s="667"/>
      <c r="E333" s="21">
        <f t="shared" si="56"/>
        <v>1</v>
      </c>
      <c r="F333" s="667"/>
      <c r="G333" s="21">
        <f t="shared" si="57"/>
        <v>1</v>
      </c>
      <c r="H333" s="667"/>
      <c r="I333" s="21">
        <f t="shared" si="58"/>
        <v>1</v>
      </c>
      <c r="J333" s="667"/>
      <c r="K333" s="21">
        <f t="shared" si="59"/>
        <v>1</v>
      </c>
      <c r="L333" s="667"/>
      <c r="M333" s="21">
        <f t="shared" si="60"/>
        <v>1</v>
      </c>
      <c r="N333" s="667"/>
      <c r="O333" s="21">
        <f t="shared" si="61"/>
        <v>1</v>
      </c>
      <c r="P333" s="667"/>
      <c r="Q333" s="21">
        <f t="shared" si="62"/>
        <v>1</v>
      </c>
      <c r="R333" s="663">
        <f t="shared" si="63"/>
        <v>0</v>
      </c>
      <c r="S333" s="316">
        <f t="shared" si="65"/>
        <v>0</v>
      </c>
    </row>
    <row r="334" spans="1:19">
      <c r="A334" s="665">
        <f>面积明细表!C313</f>
        <v>0</v>
      </c>
      <c r="B334" s="54"/>
      <c r="C334" s="21">
        <f t="shared" si="55"/>
        <v>1</v>
      </c>
      <c r="D334" s="667"/>
      <c r="E334" s="21">
        <f t="shared" si="56"/>
        <v>1</v>
      </c>
      <c r="F334" s="667"/>
      <c r="G334" s="21">
        <f t="shared" si="57"/>
        <v>1</v>
      </c>
      <c r="H334" s="667"/>
      <c r="I334" s="21">
        <f t="shared" si="58"/>
        <v>1</v>
      </c>
      <c r="J334" s="667"/>
      <c r="K334" s="21">
        <f t="shared" si="59"/>
        <v>1</v>
      </c>
      <c r="L334" s="667"/>
      <c r="M334" s="21">
        <f t="shared" si="60"/>
        <v>1</v>
      </c>
      <c r="N334" s="667"/>
      <c r="O334" s="21">
        <f t="shared" si="61"/>
        <v>1</v>
      </c>
      <c r="P334" s="667"/>
      <c r="Q334" s="21">
        <f t="shared" si="62"/>
        <v>1</v>
      </c>
      <c r="R334" s="663">
        <f t="shared" si="63"/>
        <v>0</v>
      </c>
      <c r="S334" s="316">
        <f t="shared" si="65"/>
        <v>0</v>
      </c>
    </row>
    <row r="335" spans="1:19">
      <c r="A335" s="665">
        <f>面积明细表!C314</f>
        <v>0</v>
      </c>
      <c r="B335" s="54"/>
      <c r="C335" s="21">
        <f t="shared" si="55"/>
        <v>1</v>
      </c>
      <c r="D335" s="667"/>
      <c r="E335" s="21">
        <f t="shared" si="56"/>
        <v>1</v>
      </c>
      <c r="F335" s="667"/>
      <c r="G335" s="21">
        <f t="shared" si="57"/>
        <v>1</v>
      </c>
      <c r="H335" s="667"/>
      <c r="I335" s="21">
        <f t="shared" si="58"/>
        <v>1</v>
      </c>
      <c r="J335" s="667"/>
      <c r="K335" s="21">
        <f t="shared" si="59"/>
        <v>1</v>
      </c>
      <c r="L335" s="667"/>
      <c r="M335" s="21">
        <f t="shared" si="60"/>
        <v>1</v>
      </c>
      <c r="N335" s="667"/>
      <c r="O335" s="21">
        <f t="shared" si="61"/>
        <v>1</v>
      </c>
      <c r="P335" s="667"/>
      <c r="Q335" s="21">
        <f t="shared" si="62"/>
        <v>1</v>
      </c>
      <c r="R335" s="663">
        <f t="shared" si="63"/>
        <v>0</v>
      </c>
      <c r="S335" s="316">
        <f t="shared" si="65"/>
        <v>0</v>
      </c>
    </row>
    <row r="336" spans="1:19">
      <c r="A336" s="665">
        <f>面积明细表!C315</f>
        <v>0</v>
      </c>
      <c r="B336" s="54"/>
      <c r="C336" s="21">
        <f t="shared" si="55"/>
        <v>1</v>
      </c>
      <c r="D336" s="667"/>
      <c r="E336" s="21">
        <f t="shared" si="56"/>
        <v>1</v>
      </c>
      <c r="F336" s="667"/>
      <c r="G336" s="21">
        <f t="shared" si="57"/>
        <v>1</v>
      </c>
      <c r="H336" s="667"/>
      <c r="I336" s="21">
        <f t="shared" si="58"/>
        <v>1</v>
      </c>
      <c r="J336" s="667"/>
      <c r="K336" s="21">
        <f t="shared" si="59"/>
        <v>1</v>
      </c>
      <c r="L336" s="667"/>
      <c r="M336" s="21">
        <f t="shared" si="60"/>
        <v>1</v>
      </c>
      <c r="N336" s="667"/>
      <c r="O336" s="21">
        <f t="shared" si="61"/>
        <v>1</v>
      </c>
      <c r="P336" s="667"/>
      <c r="Q336" s="21">
        <f t="shared" si="62"/>
        <v>1</v>
      </c>
      <c r="R336" s="663">
        <f t="shared" si="63"/>
        <v>0</v>
      </c>
      <c r="S336" s="316">
        <f t="shared" si="65"/>
        <v>0</v>
      </c>
    </row>
    <row r="337" spans="1:19">
      <c r="A337" s="665">
        <f>面积明细表!C316</f>
        <v>0</v>
      </c>
      <c r="B337" s="54"/>
      <c r="C337" s="21">
        <f t="shared" si="55"/>
        <v>1</v>
      </c>
      <c r="D337" s="667"/>
      <c r="E337" s="21">
        <f t="shared" si="56"/>
        <v>1</v>
      </c>
      <c r="F337" s="667"/>
      <c r="G337" s="21">
        <f t="shared" si="57"/>
        <v>1</v>
      </c>
      <c r="H337" s="667"/>
      <c r="I337" s="21">
        <f t="shared" si="58"/>
        <v>1</v>
      </c>
      <c r="J337" s="667"/>
      <c r="K337" s="21">
        <f t="shared" si="59"/>
        <v>1</v>
      </c>
      <c r="L337" s="667"/>
      <c r="M337" s="21">
        <f t="shared" si="60"/>
        <v>1</v>
      </c>
      <c r="N337" s="667"/>
      <c r="O337" s="21">
        <f t="shared" si="61"/>
        <v>1</v>
      </c>
      <c r="P337" s="667"/>
      <c r="Q337" s="21">
        <f t="shared" si="62"/>
        <v>1</v>
      </c>
      <c r="R337" s="663">
        <f t="shared" si="63"/>
        <v>0</v>
      </c>
      <c r="S337" s="316">
        <f t="shared" si="65"/>
        <v>0</v>
      </c>
    </row>
    <row r="338" spans="1:19">
      <c r="A338" s="665">
        <f>面积明细表!C317</f>
        <v>0</v>
      </c>
      <c r="B338" s="54"/>
      <c r="C338" s="21">
        <f t="shared" si="55"/>
        <v>1</v>
      </c>
      <c r="D338" s="667"/>
      <c r="E338" s="21">
        <f t="shared" si="56"/>
        <v>1</v>
      </c>
      <c r="F338" s="667"/>
      <c r="G338" s="21">
        <f t="shared" si="57"/>
        <v>1</v>
      </c>
      <c r="H338" s="667"/>
      <c r="I338" s="21">
        <f t="shared" si="58"/>
        <v>1</v>
      </c>
      <c r="J338" s="667"/>
      <c r="K338" s="21">
        <f t="shared" si="59"/>
        <v>1</v>
      </c>
      <c r="L338" s="667"/>
      <c r="M338" s="21">
        <f t="shared" si="60"/>
        <v>1</v>
      </c>
      <c r="N338" s="667"/>
      <c r="O338" s="21">
        <f t="shared" si="61"/>
        <v>1</v>
      </c>
      <c r="P338" s="667"/>
      <c r="Q338" s="21">
        <f t="shared" si="62"/>
        <v>1</v>
      </c>
      <c r="R338" s="663">
        <f t="shared" si="63"/>
        <v>0</v>
      </c>
      <c r="S338" s="316">
        <f t="shared" si="65"/>
        <v>0</v>
      </c>
    </row>
    <row r="339" spans="1:19">
      <c r="A339" s="665">
        <f>面积明细表!C318</f>
        <v>0</v>
      </c>
      <c r="B339" s="54"/>
      <c r="C339" s="21">
        <f t="shared" si="55"/>
        <v>1</v>
      </c>
      <c r="D339" s="667"/>
      <c r="E339" s="21">
        <f t="shared" si="56"/>
        <v>1</v>
      </c>
      <c r="F339" s="667"/>
      <c r="G339" s="21">
        <f t="shared" si="57"/>
        <v>1</v>
      </c>
      <c r="H339" s="667"/>
      <c r="I339" s="21">
        <f t="shared" si="58"/>
        <v>1</v>
      </c>
      <c r="J339" s="667"/>
      <c r="K339" s="21">
        <f t="shared" si="59"/>
        <v>1</v>
      </c>
      <c r="L339" s="667"/>
      <c r="M339" s="21">
        <f t="shared" si="60"/>
        <v>1</v>
      </c>
      <c r="N339" s="667"/>
      <c r="O339" s="21">
        <f t="shared" si="61"/>
        <v>1</v>
      </c>
      <c r="P339" s="667"/>
      <c r="Q339" s="21">
        <f t="shared" si="62"/>
        <v>1</v>
      </c>
      <c r="R339" s="663">
        <f t="shared" si="63"/>
        <v>0</v>
      </c>
      <c r="S339" s="316">
        <f t="shared" si="65"/>
        <v>0</v>
      </c>
    </row>
    <row r="340" spans="1:19">
      <c r="A340" s="665">
        <f>面积明细表!C319</f>
        <v>0</v>
      </c>
      <c r="B340" s="54"/>
      <c r="C340" s="21">
        <f t="shared" si="55"/>
        <v>1</v>
      </c>
      <c r="D340" s="667"/>
      <c r="E340" s="21">
        <f t="shared" si="56"/>
        <v>1</v>
      </c>
      <c r="F340" s="667"/>
      <c r="G340" s="21">
        <f t="shared" si="57"/>
        <v>1</v>
      </c>
      <c r="H340" s="667"/>
      <c r="I340" s="21">
        <f t="shared" si="58"/>
        <v>1</v>
      </c>
      <c r="J340" s="667"/>
      <c r="K340" s="21">
        <f t="shared" si="59"/>
        <v>1</v>
      </c>
      <c r="L340" s="667"/>
      <c r="M340" s="21">
        <f t="shared" si="60"/>
        <v>1</v>
      </c>
      <c r="N340" s="667"/>
      <c r="O340" s="21">
        <f t="shared" si="61"/>
        <v>1</v>
      </c>
      <c r="P340" s="667"/>
      <c r="Q340" s="21">
        <f t="shared" si="62"/>
        <v>1</v>
      </c>
      <c r="R340" s="663">
        <f t="shared" si="63"/>
        <v>0</v>
      </c>
      <c r="S340" s="316">
        <f t="shared" si="65"/>
        <v>0</v>
      </c>
    </row>
    <row r="341" spans="1:19">
      <c r="A341" s="665">
        <f>面积明细表!C320</f>
        <v>0</v>
      </c>
      <c r="B341" s="54"/>
      <c r="C341" s="21">
        <f t="shared" si="55"/>
        <v>1</v>
      </c>
      <c r="D341" s="667"/>
      <c r="E341" s="21">
        <f t="shared" si="56"/>
        <v>1</v>
      </c>
      <c r="F341" s="667"/>
      <c r="G341" s="21">
        <f t="shared" si="57"/>
        <v>1</v>
      </c>
      <c r="H341" s="667"/>
      <c r="I341" s="21">
        <f t="shared" si="58"/>
        <v>1</v>
      </c>
      <c r="J341" s="667"/>
      <c r="K341" s="21">
        <f t="shared" si="59"/>
        <v>1</v>
      </c>
      <c r="L341" s="667"/>
      <c r="M341" s="21">
        <f t="shared" si="60"/>
        <v>1</v>
      </c>
      <c r="N341" s="667"/>
      <c r="O341" s="21">
        <f t="shared" si="61"/>
        <v>1</v>
      </c>
      <c r="P341" s="667"/>
      <c r="Q341" s="21">
        <f t="shared" si="62"/>
        <v>1</v>
      </c>
      <c r="R341" s="663">
        <f t="shared" si="63"/>
        <v>0</v>
      </c>
      <c r="S341" s="316">
        <f t="shared" si="65"/>
        <v>0</v>
      </c>
    </row>
    <row r="342" spans="1:19">
      <c r="A342" s="665">
        <f>面积明细表!C321</f>
        <v>0</v>
      </c>
      <c r="B342" s="54"/>
      <c r="C342" s="21">
        <f t="shared" si="55"/>
        <v>1</v>
      </c>
      <c r="D342" s="667"/>
      <c r="E342" s="21">
        <f t="shared" si="56"/>
        <v>1</v>
      </c>
      <c r="F342" s="667"/>
      <c r="G342" s="21">
        <f t="shared" si="57"/>
        <v>1</v>
      </c>
      <c r="H342" s="667"/>
      <c r="I342" s="21">
        <f t="shared" si="58"/>
        <v>1</v>
      </c>
      <c r="J342" s="667"/>
      <c r="K342" s="21">
        <f t="shared" si="59"/>
        <v>1</v>
      </c>
      <c r="L342" s="667"/>
      <c r="M342" s="21">
        <f t="shared" si="60"/>
        <v>1</v>
      </c>
      <c r="N342" s="667"/>
      <c r="O342" s="21">
        <f t="shared" si="61"/>
        <v>1</v>
      </c>
      <c r="P342" s="667"/>
      <c r="Q342" s="21">
        <f t="shared" si="62"/>
        <v>1</v>
      </c>
      <c r="R342" s="663">
        <f t="shared" si="63"/>
        <v>0</v>
      </c>
      <c r="S342" s="316">
        <f t="shared" si="65"/>
        <v>0</v>
      </c>
    </row>
    <row r="343" spans="1:19">
      <c r="A343" s="665">
        <f>面积明细表!C322</f>
        <v>0</v>
      </c>
      <c r="B343" s="54"/>
      <c r="C343" s="21">
        <f t="shared" si="55"/>
        <v>1</v>
      </c>
      <c r="D343" s="667"/>
      <c r="E343" s="21">
        <f t="shared" si="56"/>
        <v>1</v>
      </c>
      <c r="F343" s="667"/>
      <c r="G343" s="21">
        <f t="shared" si="57"/>
        <v>1</v>
      </c>
      <c r="H343" s="667"/>
      <c r="I343" s="21">
        <f t="shared" si="58"/>
        <v>1</v>
      </c>
      <c r="J343" s="667"/>
      <c r="K343" s="21">
        <f t="shared" si="59"/>
        <v>1</v>
      </c>
      <c r="L343" s="667"/>
      <c r="M343" s="21">
        <f t="shared" si="60"/>
        <v>1</v>
      </c>
      <c r="N343" s="667"/>
      <c r="O343" s="21">
        <f t="shared" si="61"/>
        <v>1</v>
      </c>
      <c r="P343" s="667"/>
      <c r="Q343" s="21">
        <f t="shared" si="62"/>
        <v>1</v>
      </c>
      <c r="R343" s="663">
        <f t="shared" si="63"/>
        <v>0</v>
      </c>
      <c r="S343" s="316">
        <f t="shared" si="65"/>
        <v>0</v>
      </c>
    </row>
    <row r="344" spans="1:19">
      <c r="A344" s="665">
        <f>面积明细表!C323</f>
        <v>0</v>
      </c>
      <c r="B344" s="54"/>
      <c r="C344" s="21">
        <f t="shared" si="55"/>
        <v>1</v>
      </c>
      <c r="D344" s="667"/>
      <c r="E344" s="21">
        <f t="shared" si="56"/>
        <v>1</v>
      </c>
      <c r="F344" s="667"/>
      <c r="G344" s="21">
        <f t="shared" si="57"/>
        <v>1</v>
      </c>
      <c r="H344" s="667"/>
      <c r="I344" s="21">
        <f t="shared" si="58"/>
        <v>1</v>
      </c>
      <c r="J344" s="667"/>
      <c r="K344" s="21">
        <f t="shared" si="59"/>
        <v>1</v>
      </c>
      <c r="L344" s="667"/>
      <c r="M344" s="21">
        <f t="shared" si="60"/>
        <v>1</v>
      </c>
      <c r="N344" s="667"/>
      <c r="O344" s="21">
        <f t="shared" si="61"/>
        <v>1</v>
      </c>
      <c r="P344" s="667"/>
      <c r="Q344" s="21">
        <f t="shared" si="62"/>
        <v>1</v>
      </c>
      <c r="R344" s="663">
        <f t="shared" si="63"/>
        <v>0</v>
      </c>
      <c r="S344" s="316">
        <f t="shared" si="65"/>
        <v>0</v>
      </c>
    </row>
    <row r="345" spans="1:19">
      <c r="A345" s="665">
        <f>面积明细表!C324</f>
        <v>0</v>
      </c>
      <c r="B345" s="54"/>
      <c r="C345" s="21">
        <f t="shared" si="55"/>
        <v>1</v>
      </c>
      <c r="D345" s="667"/>
      <c r="E345" s="21">
        <f t="shared" si="56"/>
        <v>1</v>
      </c>
      <c r="F345" s="667"/>
      <c r="G345" s="21">
        <f t="shared" si="57"/>
        <v>1</v>
      </c>
      <c r="H345" s="667"/>
      <c r="I345" s="21">
        <f t="shared" si="58"/>
        <v>1</v>
      </c>
      <c r="J345" s="667"/>
      <c r="K345" s="21">
        <f t="shared" si="59"/>
        <v>1</v>
      </c>
      <c r="L345" s="667"/>
      <c r="M345" s="21">
        <f t="shared" si="60"/>
        <v>1</v>
      </c>
      <c r="N345" s="667"/>
      <c r="O345" s="21">
        <f t="shared" si="61"/>
        <v>1</v>
      </c>
      <c r="P345" s="667"/>
      <c r="Q345" s="21">
        <f t="shared" si="62"/>
        <v>1</v>
      </c>
      <c r="R345" s="663">
        <f t="shared" si="63"/>
        <v>0</v>
      </c>
      <c r="S345" s="316">
        <f t="shared" si="65"/>
        <v>0</v>
      </c>
    </row>
    <row r="346" spans="1:19">
      <c r="A346" s="665">
        <f>面积明细表!C325</f>
        <v>0</v>
      </c>
      <c r="B346" s="54"/>
      <c r="C346" s="21">
        <f t="shared" ref="C346:C409" si="66">IF(B346="",1,(LOOKUP(B346,$3:$3,$4:$4)-LOOKUP($B$24,$3:$3,$4:$4)+100)/100)</f>
        <v>1</v>
      </c>
      <c r="D346" s="667"/>
      <c r="E346" s="21">
        <f t="shared" ref="E346:E409" si="67">(SUMIF($5:$5,D346,$6:$6)-SUMIF($5:$5,$D$24,$6:$6)+100)/100</f>
        <v>1</v>
      </c>
      <c r="F346" s="667"/>
      <c r="G346" s="21">
        <f t="shared" ref="G346:G409" si="68">(SUMIF($7:$7,F346,$8:$8)-SUMIF($7:$7,$F$24,$8:$8)+100)/100</f>
        <v>1</v>
      </c>
      <c r="H346" s="667"/>
      <c r="I346" s="21">
        <f t="shared" ref="I346:I409" si="69">(SUMIF($9:$9,H346,$10:$10)-SUMIF($9:$9,$H$24,$10:$10)+100)/100</f>
        <v>1</v>
      </c>
      <c r="J346" s="667"/>
      <c r="K346" s="21">
        <f t="shared" ref="K346:K409" si="70">(SUMIF($11:$11,J346,$12:$12)-SUMIF($11:$11,$J$24,$12:$12)+100)/100</f>
        <v>1</v>
      </c>
      <c r="L346" s="667"/>
      <c r="M346" s="21">
        <f t="shared" ref="M346:M409" si="71">(SUMIF($13:$13,L346,$14:$14)-SUMIF($13:$13,$L$24,$14:$14)+100)/100</f>
        <v>1</v>
      </c>
      <c r="N346" s="667"/>
      <c r="O346" s="21">
        <f t="shared" ref="O346:O409" si="72">(SUMIF($15:$15,N346,$16:$16)-SUMIF($15:$15,$N$24,$16:$16)+100)/100</f>
        <v>1</v>
      </c>
      <c r="P346" s="667"/>
      <c r="Q346" s="21">
        <f t="shared" ref="Q346:Q409" si="73">(SUMIF($17:$17,P346,$18:$18)-SUMIF($17:$17,$P$24,$18:$18)+100)/100</f>
        <v>1</v>
      </c>
      <c r="R346" s="663">
        <f t="shared" ref="R346:R409" si="74">IF(B346="",0,ROUND($R$24*C346*E346*G346*I346*K346*M346*O346*Q346,0))</f>
        <v>0</v>
      </c>
      <c r="S346" s="316">
        <f t="shared" si="65"/>
        <v>0</v>
      </c>
    </row>
    <row r="347" spans="1:19">
      <c r="A347" s="665">
        <f>面积明细表!C326</f>
        <v>0</v>
      </c>
      <c r="B347" s="54"/>
      <c r="C347" s="21">
        <f t="shared" si="66"/>
        <v>1</v>
      </c>
      <c r="D347" s="667"/>
      <c r="E347" s="21">
        <f t="shared" si="67"/>
        <v>1</v>
      </c>
      <c r="F347" s="667"/>
      <c r="G347" s="21">
        <f t="shared" si="68"/>
        <v>1</v>
      </c>
      <c r="H347" s="667"/>
      <c r="I347" s="21">
        <f t="shared" si="69"/>
        <v>1</v>
      </c>
      <c r="J347" s="667"/>
      <c r="K347" s="21">
        <f t="shared" si="70"/>
        <v>1</v>
      </c>
      <c r="L347" s="667"/>
      <c r="M347" s="21">
        <f t="shared" si="71"/>
        <v>1</v>
      </c>
      <c r="N347" s="667"/>
      <c r="O347" s="21">
        <f t="shared" si="72"/>
        <v>1</v>
      </c>
      <c r="P347" s="667"/>
      <c r="Q347" s="21">
        <f t="shared" si="73"/>
        <v>1</v>
      </c>
      <c r="R347" s="663">
        <f t="shared" si="74"/>
        <v>0</v>
      </c>
      <c r="S347" s="316">
        <f t="shared" si="65"/>
        <v>0</v>
      </c>
    </row>
    <row r="348" spans="1:19">
      <c r="A348" s="665">
        <f>面积明细表!C327</f>
        <v>0</v>
      </c>
      <c r="B348" s="54"/>
      <c r="C348" s="21">
        <f t="shared" si="66"/>
        <v>1</v>
      </c>
      <c r="D348" s="667"/>
      <c r="E348" s="21">
        <f t="shared" si="67"/>
        <v>1</v>
      </c>
      <c r="F348" s="667"/>
      <c r="G348" s="21">
        <f t="shared" si="68"/>
        <v>1</v>
      </c>
      <c r="H348" s="667"/>
      <c r="I348" s="21">
        <f t="shared" si="69"/>
        <v>1</v>
      </c>
      <c r="J348" s="667"/>
      <c r="K348" s="21">
        <f t="shared" si="70"/>
        <v>1</v>
      </c>
      <c r="L348" s="667"/>
      <c r="M348" s="21">
        <f t="shared" si="71"/>
        <v>1</v>
      </c>
      <c r="N348" s="667"/>
      <c r="O348" s="21">
        <f t="shared" si="72"/>
        <v>1</v>
      </c>
      <c r="P348" s="667"/>
      <c r="Q348" s="21">
        <f t="shared" si="73"/>
        <v>1</v>
      </c>
      <c r="R348" s="663">
        <f t="shared" si="74"/>
        <v>0</v>
      </c>
      <c r="S348" s="316">
        <f t="shared" si="65"/>
        <v>0</v>
      </c>
    </row>
    <row r="349" spans="1:19">
      <c r="A349" s="665">
        <f>面积明细表!C328</f>
        <v>0</v>
      </c>
      <c r="B349" s="54"/>
      <c r="C349" s="21">
        <f t="shared" si="66"/>
        <v>1</v>
      </c>
      <c r="D349" s="667"/>
      <c r="E349" s="21">
        <f t="shared" si="67"/>
        <v>1</v>
      </c>
      <c r="F349" s="667"/>
      <c r="G349" s="21">
        <f t="shared" si="68"/>
        <v>1</v>
      </c>
      <c r="H349" s="667"/>
      <c r="I349" s="21">
        <f t="shared" si="69"/>
        <v>1</v>
      </c>
      <c r="J349" s="667"/>
      <c r="K349" s="21">
        <f t="shared" si="70"/>
        <v>1</v>
      </c>
      <c r="L349" s="667"/>
      <c r="M349" s="21">
        <f t="shared" si="71"/>
        <v>1</v>
      </c>
      <c r="N349" s="667"/>
      <c r="O349" s="21">
        <f t="shared" si="72"/>
        <v>1</v>
      </c>
      <c r="P349" s="667"/>
      <c r="Q349" s="21">
        <f t="shared" si="73"/>
        <v>1</v>
      </c>
      <c r="R349" s="663">
        <f t="shared" si="74"/>
        <v>0</v>
      </c>
      <c r="S349" s="316">
        <f t="shared" si="65"/>
        <v>0</v>
      </c>
    </row>
    <row r="350" spans="1:19">
      <c r="A350" s="665">
        <f>面积明细表!C329</f>
        <v>0</v>
      </c>
      <c r="B350" s="54"/>
      <c r="C350" s="21">
        <f t="shared" si="66"/>
        <v>1</v>
      </c>
      <c r="D350" s="667"/>
      <c r="E350" s="21">
        <f t="shared" si="67"/>
        <v>1</v>
      </c>
      <c r="F350" s="667"/>
      <c r="G350" s="21">
        <f t="shared" si="68"/>
        <v>1</v>
      </c>
      <c r="H350" s="667"/>
      <c r="I350" s="21">
        <f t="shared" si="69"/>
        <v>1</v>
      </c>
      <c r="J350" s="667"/>
      <c r="K350" s="21">
        <f t="shared" si="70"/>
        <v>1</v>
      </c>
      <c r="L350" s="667"/>
      <c r="M350" s="21">
        <f t="shared" si="71"/>
        <v>1</v>
      </c>
      <c r="N350" s="667"/>
      <c r="O350" s="21">
        <f t="shared" si="72"/>
        <v>1</v>
      </c>
      <c r="P350" s="667"/>
      <c r="Q350" s="21">
        <f t="shared" si="73"/>
        <v>1</v>
      </c>
      <c r="R350" s="663">
        <f t="shared" si="74"/>
        <v>0</v>
      </c>
      <c r="S350" s="316">
        <f t="shared" si="65"/>
        <v>0</v>
      </c>
    </row>
    <row r="351" spans="1:19">
      <c r="A351" s="665">
        <f>面积明细表!C330</f>
        <v>0</v>
      </c>
      <c r="B351" s="54"/>
      <c r="C351" s="21">
        <f t="shared" si="66"/>
        <v>1</v>
      </c>
      <c r="D351" s="667"/>
      <c r="E351" s="21">
        <f t="shared" si="67"/>
        <v>1</v>
      </c>
      <c r="F351" s="667"/>
      <c r="G351" s="21">
        <f t="shared" si="68"/>
        <v>1</v>
      </c>
      <c r="H351" s="667"/>
      <c r="I351" s="21">
        <f t="shared" si="69"/>
        <v>1</v>
      </c>
      <c r="J351" s="667"/>
      <c r="K351" s="21">
        <f t="shared" si="70"/>
        <v>1</v>
      </c>
      <c r="L351" s="667"/>
      <c r="M351" s="21">
        <f t="shared" si="71"/>
        <v>1</v>
      </c>
      <c r="N351" s="667"/>
      <c r="O351" s="21">
        <f t="shared" si="72"/>
        <v>1</v>
      </c>
      <c r="P351" s="667"/>
      <c r="Q351" s="21">
        <f t="shared" si="73"/>
        <v>1</v>
      </c>
      <c r="R351" s="663">
        <f t="shared" si="74"/>
        <v>0</v>
      </c>
      <c r="S351" s="316">
        <f t="shared" si="65"/>
        <v>0</v>
      </c>
    </row>
    <row r="352" spans="1:19">
      <c r="A352" s="665">
        <f>面积明细表!C331</f>
        <v>0</v>
      </c>
      <c r="B352" s="54"/>
      <c r="C352" s="21">
        <f t="shared" si="66"/>
        <v>1</v>
      </c>
      <c r="D352" s="667"/>
      <c r="E352" s="21">
        <f t="shared" si="67"/>
        <v>1</v>
      </c>
      <c r="F352" s="667"/>
      <c r="G352" s="21">
        <f t="shared" si="68"/>
        <v>1</v>
      </c>
      <c r="H352" s="667"/>
      <c r="I352" s="21">
        <f t="shared" si="69"/>
        <v>1</v>
      </c>
      <c r="J352" s="667"/>
      <c r="K352" s="21">
        <f t="shared" si="70"/>
        <v>1</v>
      </c>
      <c r="L352" s="667"/>
      <c r="M352" s="21">
        <f t="shared" si="71"/>
        <v>1</v>
      </c>
      <c r="N352" s="667"/>
      <c r="O352" s="21">
        <f t="shared" si="72"/>
        <v>1</v>
      </c>
      <c r="P352" s="667"/>
      <c r="Q352" s="21">
        <f t="shared" si="73"/>
        <v>1</v>
      </c>
      <c r="R352" s="663">
        <f t="shared" si="74"/>
        <v>0</v>
      </c>
      <c r="S352" s="316">
        <f t="shared" si="65"/>
        <v>0</v>
      </c>
    </row>
    <row r="353" spans="1:19">
      <c r="A353" s="665">
        <f>面积明细表!C332</f>
        <v>0</v>
      </c>
      <c r="B353" s="54"/>
      <c r="C353" s="21">
        <f t="shared" si="66"/>
        <v>1</v>
      </c>
      <c r="D353" s="667"/>
      <c r="E353" s="21">
        <f t="shared" si="67"/>
        <v>1</v>
      </c>
      <c r="F353" s="667"/>
      <c r="G353" s="21">
        <f t="shared" si="68"/>
        <v>1</v>
      </c>
      <c r="H353" s="667"/>
      <c r="I353" s="21">
        <f t="shared" si="69"/>
        <v>1</v>
      </c>
      <c r="J353" s="667"/>
      <c r="K353" s="21">
        <f t="shared" si="70"/>
        <v>1</v>
      </c>
      <c r="L353" s="667"/>
      <c r="M353" s="21">
        <f t="shared" si="71"/>
        <v>1</v>
      </c>
      <c r="N353" s="667"/>
      <c r="O353" s="21">
        <f t="shared" si="72"/>
        <v>1</v>
      </c>
      <c r="P353" s="667"/>
      <c r="Q353" s="21">
        <f t="shared" si="73"/>
        <v>1</v>
      </c>
      <c r="R353" s="663">
        <f t="shared" si="74"/>
        <v>0</v>
      </c>
      <c r="S353" s="316">
        <f t="shared" si="65"/>
        <v>0</v>
      </c>
    </row>
    <row r="354" spans="1:19">
      <c r="A354" s="665">
        <f>面积明细表!C333</f>
        <v>0</v>
      </c>
      <c r="B354" s="54"/>
      <c r="C354" s="21">
        <f t="shared" si="66"/>
        <v>1</v>
      </c>
      <c r="D354" s="667"/>
      <c r="E354" s="21">
        <f t="shared" si="67"/>
        <v>1</v>
      </c>
      <c r="F354" s="667"/>
      <c r="G354" s="21">
        <f t="shared" si="68"/>
        <v>1</v>
      </c>
      <c r="H354" s="667"/>
      <c r="I354" s="21">
        <f t="shared" si="69"/>
        <v>1</v>
      </c>
      <c r="J354" s="667"/>
      <c r="K354" s="21">
        <f t="shared" si="70"/>
        <v>1</v>
      </c>
      <c r="L354" s="667"/>
      <c r="M354" s="21">
        <f t="shared" si="71"/>
        <v>1</v>
      </c>
      <c r="N354" s="667"/>
      <c r="O354" s="21">
        <f t="shared" si="72"/>
        <v>1</v>
      </c>
      <c r="P354" s="667"/>
      <c r="Q354" s="21">
        <f t="shared" si="73"/>
        <v>1</v>
      </c>
      <c r="R354" s="663">
        <f t="shared" si="74"/>
        <v>0</v>
      </c>
      <c r="S354" s="316">
        <f t="shared" si="65"/>
        <v>0</v>
      </c>
    </row>
    <row r="355" spans="1:19">
      <c r="A355" s="665">
        <f>面积明细表!C334</f>
        <v>0</v>
      </c>
      <c r="B355" s="54"/>
      <c r="C355" s="21">
        <f t="shared" si="66"/>
        <v>1</v>
      </c>
      <c r="D355" s="667"/>
      <c r="E355" s="21">
        <f t="shared" si="67"/>
        <v>1</v>
      </c>
      <c r="F355" s="667"/>
      <c r="G355" s="21">
        <f t="shared" si="68"/>
        <v>1</v>
      </c>
      <c r="H355" s="667"/>
      <c r="I355" s="21">
        <f t="shared" si="69"/>
        <v>1</v>
      </c>
      <c r="J355" s="667"/>
      <c r="K355" s="21">
        <f t="shared" si="70"/>
        <v>1</v>
      </c>
      <c r="L355" s="667"/>
      <c r="M355" s="21">
        <f t="shared" si="71"/>
        <v>1</v>
      </c>
      <c r="N355" s="667"/>
      <c r="O355" s="21">
        <f t="shared" si="72"/>
        <v>1</v>
      </c>
      <c r="P355" s="667"/>
      <c r="Q355" s="21">
        <f t="shared" si="73"/>
        <v>1</v>
      </c>
      <c r="R355" s="663">
        <f t="shared" si="74"/>
        <v>0</v>
      </c>
      <c r="S355" s="316">
        <f t="shared" si="65"/>
        <v>0</v>
      </c>
    </row>
    <row r="356" spans="1:19">
      <c r="A356" s="665">
        <f>面积明细表!C335</f>
        <v>0</v>
      </c>
      <c r="B356" s="54"/>
      <c r="C356" s="21">
        <f t="shared" si="66"/>
        <v>1</v>
      </c>
      <c r="D356" s="667"/>
      <c r="E356" s="21">
        <f t="shared" si="67"/>
        <v>1</v>
      </c>
      <c r="F356" s="667"/>
      <c r="G356" s="21">
        <f t="shared" si="68"/>
        <v>1</v>
      </c>
      <c r="H356" s="667"/>
      <c r="I356" s="21">
        <f t="shared" si="69"/>
        <v>1</v>
      </c>
      <c r="J356" s="667"/>
      <c r="K356" s="21">
        <f t="shared" si="70"/>
        <v>1</v>
      </c>
      <c r="L356" s="667"/>
      <c r="M356" s="21">
        <f t="shared" si="71"/>
        <v>1</v>
      </c>
      <c r="N356" s="667"/>
      <c r="O356" s="21">
        <f t="shared" si="72"/>
        <v>1</v>
      </c>
      <c r="P356" s="667"/>
      <c r="Q356" s="21">
        <f t="shared" si="73"/>
        <v>1</v>
      </c>
      <c r="R356" s="663">
        <f t="shared" si="74"/>
        <v>0</v>
      </c>
      <c r="S356" s="316">
        <f t="shared" si="65"/>
        <v>0</v>
      </c>
    </row>
    <row r="357" spans="1:19">
      <c r="A357" s="665">
        <f>面积明细表!C336</f>
        <v>0</v>
      </c>
      <c r="B357" s="54"/>
      <c r="C357" s="21">
        <f t="shared" si="66"/>
        <v>1</v>
      </c>
      <c r="D357" s="667"/>
      <c r="E357" s="21">
        <f t="shared" si="67"/>
        <v>1</v>
      </c>
      <c r="F357" s="667"/>
      <c r="G357" s="21">
        <f t="shared" si="68"/>
        <v>1</v>
      </c>
      <c r="H357" s="667"/>
      <c r="I357" s="21">
        <f t="shared" si="69"/>
        <v>1</v>
      </c>
      <c r="J357" s="667"/>
      <c r="K357" s="21">
        <f t="shared" si="70"/>
        <v>1</v>
      </c>
      <c r="L357" s="667"/>
      <c r="M357" s="21">
        <f t="shared" si="71"/>
        <v>1</v>
      </c>
      <c r="N357" s="667"/>
      <c r="O357" s="21">
        <f t="shared" si="72"/>
        <v>1</v>
      </c>
      <c r="P357" s="667"/>
      <c r="Q357" s="21">
        <f t="shared" si="73"/>
        <v>1</v>
      </c>
      <c r="R357" s="663">
        <f t="shared" si="74"/>
        <v>0</v>
      </c>
      <c r="S357" s="316">
        <f t="shared" si="65"/>
        <v>0</v>
      </c>
    </row>
    <row r="358" spans="1:19">
      <c r="A358" s="665">
        <f>面积明细表!C337</f>
        <v>0</v>
      </c>
      <c r="B358" s="54"/>
      <c r="C358" s="21">
        <f t="shared" si="66"/>
        <v>1</v>
      </c>
      <c r="D358" s="667"/>
      <c r="E358" s="21">
        <f t="shared" si="67"/>
        <v>1</v>
      </c>
      <c r="F358" s="667"/>
      <c r="G358" s="21">
        <f t="shared" si="68"/>
        <v>1</v>
      </c>
      <c r="H358" s="667"/>
      <c r="I358" s="21">
        <f t="shared" si="69"/>
        <v>1</v>
      </c>
      <c r="J358" s="667"/>
      <c r="K358" s="21">
        <f t="shared" si="70"/>
        <v>1</v>
      </c>
      <c r="L358" s="667"/>
      <c r="M358" s="21">
        <f t="shared" si="71"/>
        <v>1</v>
      </c>
      <c r="N358" s="667"/>
      <c r="O358" s="21">
        <f t="shared" si="72"/>
        <v>1</v>
      </c>
      <c r="P358" s="667"/>
      <c r="Q358" s="21">
        <f t="shared" si="73"/>
        <v>1</v>
      </c>
      <c r="R358" s="663">
        <f t="shared" si="74"/>
        <v>0</v>
      </c>
      <c r="S358" s="316">
        <f t="shared" si="65"/>
        <v>0</v>
      </c>
    </row>
    <row r="359" spans="1:19">
      <c r="A359" s="665">
        <f>面积明细表!C338</f>
        <v>0</v>
      </c>
      <c r="B359" s="54"/>
      <c r="C359" s="21">
        <f t="shared" si="66"/>
        <v>1</v>
      </c>
      <c r="D359" s="667"/>
      <c r="E359" s="21">
        <f t="shared" si="67"/>
        <v>1</v>
      </c>
      <c r="F359" s="667"/>
      <c r="G359" s="21">
        <f t="shared" si="68"/>
        <v>1</v>
      </c>
      <c r="H359" s="667"/>
      <c r="I359" s="21">
        <f t="shared" si="69"/>
        <v>1</v>
      </c>
      <c r="J359" s="667"/>
      <c r="K359" s="21">
        <f t="shared" si="70"/>
        <v>1</v>
      </c>
      <c r="L359" s="667"/>
      <c r="M359" s="21">
        <f t="shared" si="71"/>
        <v>1</v>
      </c>
      <c r="N359" s="667"/>
      <c r="O359" s="21">
        <f t="shared" si="72"/>
        <v>1</v>
      </c>
      <c r="P359" s="667"/>
      <c r="Q359" s="21">
        <f t="shared" si="73"/>
        <v>1</v>
      </c>
      <c r="R359" s="663">
        <f t="shared" si="74"/>
        <v>0</v>
      </c>
      <c r="S359" s="316">
        <f t="shared" si="65"/>
        <v>0</v>
      </c>
    </row>
    <row r="360" spans="1:19">
      <c r="A360" s="665">
        <f>面积明细表!C339</f>
        <v>0</v>
      </c>
      <c r="B360" s="54"/>
      <c r="C360" s="21">
        <f t="shared" si="66"/>
        <v>1</v>
      </c>
      <c r="D360" s="667"/>
      <c r="E360" s="21">
        <f t="shared" si="67"/>
        <v>1</v>
      </c>
      <c r="F360" s="667"/>
      <c r="G360" s="21">
        <f t="shared" si="68"/>
        <v>1</v>
      </c>
      <c r="H360" s="667"/>
      <c r="I360" s="21">
        <f t="shared" si="69"/>
        <v>1</v>
      </c>
      <c r="J360" s="667"/>
      <c r="K360" s="21">
        <f t="shared" si="70"/>
        <v>1</v>
      </c>
      <c r="L360" s="667"/>
      <c r="M360" s="21">
        <f t="shared" si="71"/>
        <v>1</v>
      </c>
      <c r="N360" s="667"/>
      <c r="O360" s="21">
        <f t="shared" si="72"/>
        <v>1</v>
      </c>
      <c r="P360" s="667"/>
      <c r="Q360" s="21">
        <f t="shared" si="73"/>
        <v>1</v>
      </c>
      <c r="R360" s="663">
        <f t="shared" si="74"/>
        <v>0</v>
      </c>
      <c r="S360" s="316">
        <f t="shared" si="65"/>
        <v>0</v>
      </c>
    </row>
    <row r="361" spans="1:19">
      <c r="A361" s="665">
        <f>面积明细表!C340</f>
        <v>0</v>
      </c>
      <c r="B361" s="54"/>
      <c r="C361" s="21">
        <f t="shared" si="66"/>
        <v>1</v>
      </c>
      <c r="D361" s="667"/>
      <c r="E361" s="21">
        <f t="shared" si="67"/>
        <v>1</v>
      </c>
      <c r="F361" s="667"/>
      <c r="G361" s="21">
        <f t="shared" si="68"/>
        <v>1</v>
      </c>
      <c r="H361" s="667"/>
      <c r="I361" s="21">
        <f t="shared" si="69"/>
        <v>1</v>
      </c>
      <c r="J361" s="667"/>
      <c r="K361" s="21">
        <f t="shared" si="70"/>
        <v>1</v>
      </c>
      <c r="L361" s="667"/>
      <c r="M361" s="21">
        <f t="shared" si="71"/>
        <v>1</v>
      </c>
      <c r="N361" s="667"/>
      <c r="O361" s="21">
        <f t="shared" si="72"/>
        <v>1</v>
      </c>
      <c r="P361" s="667"/>
      <c r="Q361" s="21">
        <f t="shared" si="73"/>
        <v>1</v>
      </c>
      <c r="R361" s="663">
        <f t="shared" si="74"/>
        <v>0</v>
      </c>
      <c r="S361" s="316">
        <f t="shared" si="65"/>
        <v>0</v>
      </c>
    </row>
    <row r="362" spans="1:19">
      <c r="A362" s="665">
        <f>面积明细表!C341</f>
        <v>0</v>
      </c>
      <c r="B362" s="54"/>
      <c r="C362" s="21">
        <f t="shared" si="66"/>
        <v>1</v>
      </c>
      <c r="D362" s="667"/>
      <c r="E362" s="21">
        <f t="shared" si="67"/>
        <v>1</v>
      </c>
      <c r="F362" s="667"/>
      <c r="G362" s="21">
        <f t="shared" si="68"/>
        <v>1</v>
      </c>
      <c r="H362" s="667"/>
      <c r="I362" s="21">
        <f t="shared" si="69"/>
        <v>1</v>
      </c>
      <c r="J362" s="667"/>
      <c r="K362" s="21">
        <f t="shared" si="70"/>
        <v>1</v>
      </c>
      <c r="L362" s="667"/>
      <c r="M362" s="21">
        <f t="shared" si="71"/>
        <v>1</v>
      </c>
      <c r="N362" s="667"/>
      <c r="O362" s="21">
        <f t="shared" si="72"/>
        <v>1</v>
      </c>
      <c r="P362" s="667"/>
      <c r="Q362" s="21">
        <f t="shared" si="73"/>
        <v>1</v>
      </c>
      <c r="R362" s="663">
        <f t="shared" si="74"/>
        <v>0</v>
      </c>
      <c r="S362" s="316">
        <f t="shared" si="65"/>
        <v>0</v>
      </c>
    </row>
    <row r="363" spans="1:19">
      <c r="A363" s="665">
        <f>面积明细表!C342</f>
        <v>0</v>
      </c>
      <c r="B363" s="54"/>
      <c r="C363" s="21">
        <f t="shared" si="66"/>
        <v>1</v>
      </c>
      <c r="D363" s="667"/>
      <c r="E363" s="21">
        <f t="shared" si="67"/>
        <v>1</v>
      </c>
      <c r="F363" s="667"/>
      <c r="G363" s="21">
        <f t="shared" si="68"/>
        <v>1</v>
      </c>
      <c r="H363" s="667"/>
      <c r="I363" s="21">
        <f t="shared" si="69"/>
        <v>1</v>
      </c>
      <c r="J363" s="667"/>
      <c r="K363" s="21">
        <f t="shared" si="70"/>
        <v>1</v>
      </c>
      <c r="L363" s="667"/>
      <c r="M363" s="21">
        <f t="shared" si="71"/>
        <v>1</v>
      </c>
      <c r="N363" s="667"/>
      <c r="O363" s="21">
        <f t="shared" si="72"/>
        <v>1</v>
      </c>
      <c r="P363" s="667"/>
      <c r="Q363" s="21">
        <f t="shared" si="73"/>
        <v>1</v>
      </c>
      <c r="R363" s="663">
        <f t="shared" si="74"/>
        <v>0</v>
      </c>
      <c r="S363" s="316">
        <f t="shared" si="65"/>
        <v>0</v>
      </c>
    </row>
    <row r="364" spans="1:19">
      <c r="A364" s="665">
        <f>面积明细表!C343</f>
        <v>0</v>
      </c>
      <c r="B364" s="54"/>
      <c r="C364" s="21">
        <f t="shared" si="66"/>
        <v>1</v>
      </c>
      <c r="D364" s="667"/>
      <c r="E364" s="21">
        <f t="shared" si="67"/>
        <v>1</v>
      </c>
      <c r="F364" s="667"/>
      <c r="G364" s="21">
        <f t="shared" si="68"/>
        <v>1</v>
      </c>
      <c r="H364" s="667"/>
      <c r="I364" s="21">
        <f t="shared" si="69"/>
        <v>1</v>
      </c>
      <c r="J364" s="667"/>
      <c r="K364" s="21">
        <f t="shared" si="70"/>
        <v>1</v>
      </c>
      <c r="L364" s="667"/>
      <c r="M364" s="21">
        <f t="shared" si="71"/>
        <v>1</v>
      </c>
      <c r="N364" s="667"/>
      <c r="O364" s="21">
        <f t="shared" si="72"/>
        <v>1</v>
      </c>
      <c r="P364" s="667"/>
      <c r="Q364" s="21">
        <f t="shared" si="73"/>
        <v>1</v>
      </c>
      <c r="R364" s="663">
        <f t="shared" si="74"/>
        <v>0</v>
      </c>
      <c r="S364" s="316">
        <f t="shared" si="65"/>
        <v>0</v>
      </c>
    </row>
    <row r="365" spans="1:19">
      <c r="A365" s="665">
        <f>面积明细表!C344</f>
        <v>0</v>
      </c>
      <c r="B365" s="54"/>
      <c r="C365" s="21">
        <f t="shared" si="66"/>
        <v>1</v>
      </c>
      <c r="D365" s="667"/>
      <c r="E365" s="21">
        <f t="shared" si="67"/>
        <v>1</v>
      </c>
      <c r="F365" s="667"/>
      <c r="G365" s="21">
        <f t="shared" si="68"/>
        <v>1</v>
      </c>
      <c r="H365" s="667"/>
      <c r="I365" s="21">
        <f t="shared" si="69"/>
        <v>1</v>
      </c>
      <c r="J365" s="667"/>
      <c r="K365" s="21">
        <f t="shared" si="70"/>
        <v>1</v>
      </c>
      <c r="L365" s="667"/>
      <c r="M365" s="21">
        <f t="shared" si="71"/>
        <v>1</v>
      </c>
      <c r="N365" s="667"/>
      <c r="O365" s="21">
        <f t="shared" si="72"/>
        <v>1</v>
      </c>
      <c r="P365" s="667"/>
      <c r="Q365" s="21">
        <f t="shared" si="73"/>
        <v>1</v>
      </c>
      <c r="R365" s="663">
        <f t="shared" si="74"/>
        <v>0</v>
      </c>
      <c r="S365" s="316">
        <f t="shared" si="65"/>
        <v>0</v>
      </c>
    </row>
    <row r="366" spans="1:19">
      <c r="A366" s="665">
        <f>面积明细表!C345</f>
        <v>0</v>
      </c>
      <c r="B366" s="54"/>
      <c r="C366" s="21">
        <f t="shared" si="66"/>
        <v>1</v>
      </c>
      <c r="D366" s="667"/>
      <c r="E366" s="21">
        <f t="shared" si="67"/>
        <v>1</v>
      </c>
      <c r="F366" s="667"/>
      <c r="G366" s="21">
        <f t="shared" si="68"/>
        <v>1</v>
      </c>
      <c r="H366" s="667"/>
      <c r="I366" s="21">
        <f t="shared" si="69"/>
        <v>1</v>
      </c>
      <c r="J366" s="667"/>
      <c r="K366" s="21">
        <f t="shared" si="70"/>
        <v>1</v>
      </c>
      <c r="L366" s="667"/>
      <c r="M366" s="21">
        <f t="shared" si="71"/>
        <v>1</v>
      </c>
      <c r="N366" s="667"/>
      <c r="O366" s="21">
        <f t="shared" si="72"/>
        <v>1</v>
      </c>
      <c r="P366" s="667"/>
      <c r="Q366" s="21">
        <f t="shared" si="73"/>
        <v>1</v>
      </c>
      <c r="R366" s="663">
        <f t="shared" si="74"/>
        <v>0</v>
      </c>
      <c r="S366" s="316">
        <f t="shared" si="65"/>
        <v>0</v>
      </c>
    </row>
    <row r="367" spans="1:19">
      <c r="A367" s="665">
        <f>面积明细表!C346</f>
        <v>0</v>
      </c>
      <c r="B367" s="54"/>
      <c r="C367" s="21">
        <f t="shared" si="66"/>
        <v>1</v>
      </c>
      <c r="D367" s="667"/>
      <c r="E367" s="21">
        <f t="shared" si="67"/>
        <v>1</v>
      </c>
      <c r="F367" s="667"/>
      <c r="G367" s="21">
        <f t="shared" si="68"/>
        <v>1</v>
      </c>
      <c r="H367" s="667"/>
      <c r="I367" s="21">
        <f t="shared" si="69"/>
        <v>1</v>
      </c>
      <c r="J367" s="667"/>
      <c r="K367" s="21">
        <f t="shared" si="70"/>
        <v>1</v>
      </c>
      <c r="L367" s="667"/>
      <c r="M367" s="21">
        <f t="shared" si="71"/>
        <v>1</v>
      </c>
      <c r="N367" s="667"/>
      <c r="O367" s="21">
        <f t="shared" si="72"/>
        <v>1</v>
      </c>
      <c r="P367" s="667"/>
      <c r="Q367" s="21">
        <f t="shared" si="73"/>
        <v>1</v>
      </c>
      <c r="R367" s="663">
        <f t="shared" si="74"/>
        <v>0</v>
      </c>
      <c r="S367" s="316">
        <f t="shared" si="65"/>
        <v>0</v>
      </c>
    </row>
    <row r="368" spans="1:19">
      <c r="A368" s="665">
        <f>面积明细表!C347</f>
        <v>0</v>
      </c>
      <c r="B368" s="54"/>
      <c r="C368" s="21">
        <f t="shared" si="66"/>
        <v>1</v>
      </c>
      <c r="D368" s="667"/>
      <c r="E368" s="21">
        <f t="shared" si="67"/>
        <v>1</v>
      </c>
      <c r="F368" s="667"/>
      <c r="G368" s="21">
        <f t="shared" si="68"/>
        <v>1</v>
      </c>
      <c r="H368" s="667"/>
      <c r="I368" s="21">
        <f t="shared" si="69"/>
        <v>1</v>
      </c>
      <c r="J368" s="667"/>
      <c r="K368" s="21">
        <f t="shared" si="70"/>
        <v>1</v>
      </c>
      <c r="L368" s="667"/>
      <c r="M368" s="21">
        <f t="shared" si="71"/>
        <v>1</v>
      </c>
      <c r="N368" s="667"/>
      <c r="O368" s="21">
        <f t="shared" si="72"/>
        <v>1</v>
      </c>
      <c r="P368" s="667"/>
      <c r="Q368" s="21">
        <f t="shared" si="73"/>
        <v>1</v>
      </c>
      <c r="R368" s="663">
        <f t="shared" si="74"/>
        <v>0</v>
      </c>
      <c r="S368" s="316">
        <f t="shared" si="65"/>
        <v>0</v>
      </c>
    </row>
    <row r="369" spans="1:19">
      <c r="A369" s="665">
        <f>面积明细表!C348</f>
        <v>0</v>
      </c>
      <c r="B369" s="54"/>
      <c r="C369" s="21">
        <f t="shared" si="66"/>
        <v>1</v>
      </c>
      <c r="D369" s="667"/>
      <c r="E369" s="21">
        <f t="shared" si="67"/>
        <v>1</v>
      </c>
      <c r="F369" s="667"/>
      <c r="G369" s="21">
        <f t="shared" si="68"/>
        <v>1</v>
      </c>
      <c r="H369" s="667"/>
      <c r="I369" s="21">
        <f t="shared" si="69"/>
        <v>1</v>
      </c>
      <c r="J369" s="667"/>
      <c r="K369" s="21">
        <f t="shared" si="70"/>
        <v>1</v>
      </c>
      <c r="L369" s="667"/>
      <c r="M369" s="21">
        <f t="shared" si="71"/>
        <v>1</v>
      </c>
      <c r="N369" s="667"/>
      <c r="O369" s="21">
        <f t="shared" si="72"/>
        <v>1</v>
      </c>
      <c r="P369" s="667"/>
      <c r="Q369" s="21">
        <f t="shared" si="73"/>
        <v>1</v>
      </c>
      <c r="R369" s="663">
        <f t="shared" si="74"/>
        <v>0</v>
      </c>
      <c r="S369" s="316">
        <f t="shared" si="65"/>
        <v>0</v>
      </c>
    </row>
    <row r="370" spans="1:19">
      <c r="A370" s="665">
        <f>面积明细表!C349</f>
        <v>0</v>
      </c>
      <c r="B370" s="54"/>
      <c r="C370" s="21">
        <f t="shared" si="66"/>
        <v>1</v>
      </c>
      <c r="D370" s="667"/>
      <c r="E370" s="21">
        <f t="shared" si="67"/>
        <v>1</v>
      </c>
      <c r="F370" s="667"/>
      <c r="G370" s="21">
        <f t="shared" si="68"/>
        <v>1</v>
      </c>
      <c r="H370" s="667"/>
      <c r="I370" s="21">
        <f t="shared" si="69"/>
        <v>1</v>
      </c>
      <c r="J370" s="667"/>
      <c r="K370" s="21">
        <f t="shared" si="70"/>
        <v>1</v>
      </c>
      <c r="L370" s="667"/>
      <c r="M370" s="21">
        <f t="shared" si="71"/>
        <v>1</v>
      </c>
      <c r="N370" s="667"/>
      <c r="O370" s="21">
        <f t="shared" si="72"/>
        <v>1</v>
      </c>
      <c r="P370" s="667"/>
      <c r="Q370" s="21">
        <f t="shared" si="73"/>
        <v>1</v>
      </c>
      <c r="R370" s="663">
        <f t="shared" si="74"/>
        <v>0</v>
      </c>
      <c r="S370" s="316">
        <f t="shared" si="65"/>
        <v>0</v>
      </c>
    </row>
    <row r="371" spans="1:19">
      <c r="A371" s="665">
        <f>面积明细表!C350</f>
        <v>0</v>
      </c>
      <c r="B371" s="54"/>
      <c r="C371" s="21">
        <f t="shared" si="66"/>
        <v>1</v>
      </c>
      <c r="D371" s="667"/>
      <c r="E371" s="21">
        <f t="shared" si="67"/>
        <v>1</v>
      </c>
      <c r="F371" s="667"/>
      <c r="G371" s="21">
        <f t="shared" si="68"/>
        <v>1</v>
      </c>
      <c r="H371" s="667"/>
      <c r="I371" s="21">
        <f t="shared" si="69"/>
        <v>1</v>
      </c>
      <c r="J371" s="667"/>
      <c r="K371" s="21">
        <f t="shared" si="70"/>
        <v>1</v>
      </c>
      <c r="L371" s="667"/>
      <c r="M371" s="21">
        <f t="shared" si="71"/>
        <v>1</v>
      </c>
      <c r="N371" s="667"/>
      <c r="O371" s="21">
        <f t="shared" si="72"/>
        <v>1</v>
      </c>
      <c r="P371" s="667"/>
      <c r="Q371" s="21">
        <f t="shared" si="73"/>
        <v>1</v>
      </c>
      <c r="R371" s="663">
        <f t="shared" si="74"/>
        <v>0</v>
      </c>
      <c r="S371" s="316">
        <f t="shared" si="65"/>
        <v>0</v>
      </c>
    </row>
    <row r="372" spans="1:19">
      <c r="A372" s="665">
        <f>面积明细表!C351</f>
        <v>0</v>
      </c>
      <c r="B372" s="54"/>
      <c r="C372" s="21">
        <f t="shared" si="66"/>
        <v>1</v>
      </c>
      <c r="D372" s="667"/>
      <c r="E372" s="21">
        <f t="shared" si="67"/>
        <v>1</v>
      </c>
      <c r="F372" s="667"/>
      <c r="G372" s="21">
        <f t="shared" si="68"/>
        <v>1</v>
      </c>
      <c r="H372" s="667"/>
      <c r="I372" s="21">
        <f t="shared" si="69"/>
        <v>1</v>
      </c>
      <c r="J372" s="667"/>
      <c r="K372" s="21">
        <f t="shared" si="70"/>
        <v>1</v>
      </c>
      <c r="L372" s="667"/>
      <c r="M372" s="21">
        <f t="shared" si="71"/>
        <v>1</v>
      </c>
      <c r="N372" s="667"/>
      <c r="O372" s="21">
        <f t="shared" si="72"/>
        <v>1</v>
      </c>
      <c r="P372" s="667"/>
      <c r="Q372" s="21">
        <f t="shared" si="73"/>
        <v>1</v>
      </c>
      <c r="R372" s="663">
        <f t="shared" si="74"/>
        <v>0</v>
      </c>
      <c r="S372" s="316">
        <f t="shared" si="65"/>
        <v>0</v>
      </c>
    </row>
    <row r="373" spans="1:19">
      <c r="A373" s="665">
        <f>面积明细表!C352</f>
        <v>0</v>
      </c>
      <c r="B373" s="54"/>
      <c r="C373" s="21">
        <f t="shared" si="66"/>
        <v>1</v>
      </c>
      <c r="D373" s="667"/>
      <c r="E373" s="21">
        <f t="shared" si="67"/>
        <v>1</v>
      </c>
      <c r="F373" s="667"/>
      <c r="G373" s="21">
        <f t="shared" si="68"/>
        <v>1</v>
      </c>
      <c r="H373" s="667"/>
      <c r="I373" s="21">
        <f t="shared" si="69"/>
        <v>1</v>
      </c>
      <c r="J373" s="667"/>
      <c r="K373" s="21">
        <f t="shared" si="70"/>
        <v>1</v>
      </c>
      <c r="L373" s="667"/>
      <c r="M373" s="21">
        <f t="shared" si="71"/>
        <v>1</v>
      </c>
      <c r="N373" s="667"/>
      <c r="O373" s="21">
        <f t="shared" si="72"/>
        <v>1</v>
      </c>
      <c r="P373" s="667"/>
      <c r="Q373" s="21">
        <f t="shared" si="73"/>
        <v>1</v>
      </c>
      <c r="R373" s="663">
        <f t="shared" si="74"/>
        <v>0</v>
      </c>
      <c r="S373" s="316">
        <f t="shared" si="65"/>
        <v>0</v>
      </c>
    </row>
    <row r="374" spans="1:19">
      <c r="A374" s="665">
        <f>面积明细表!C353</f>
        <v>0</v>
      </c>
      <c r="B374" s="54"/>
      <c r="C374" s="21">
        <f t="shared" si="66"/>
        <v>1</v>
      </c>
      <c r="D374" s="667"/>
      <c r="E374" s="21">
        <f t="shared" si="67"/>
        <v>1</v>
      </c>
      <c r="F374" s="667"/>
      <c r="G374" s="21">
        <f t="shared" si="68"/>
        <v>1</v>
      </c>
      <c r="H374" s="667"/>
      <c r="I374" s="21">
        <f t="shared" si="69"/>
        <v>1</v>
      </c>
      <c r="J374" s="667"/>
      <c r="K374" s="21">
        <f t="shared" si="70"/>
        <v>1</v>
      </c>
      <c r="L374" s="667"/>
      <c r="M374" s="21">
        <f t="shared" si="71"/>
        <v>1</v>
      </c>
      <c r="N374" s="667"/>
      <c r="O374" s="21">
        <f t="shared" si="72"/>
        <v>1</v>
      </c>
      <c r="P374" s="667"/>
      <c r="Q374" s="21">
        <f t="shared" si="73"/>
        <v>1</v>
      </c>
      <c r="R374" s="663">
        <f t="shared" si="74"/>
        <v>0</v>
      </c>
      <c r="S374" s="316">
        <f t="shared" si="65"/>
        <v>0</v>
      </c>
    </row>
    <row r="375" spans="1:19">
      <c r="A375" s="665">
        <f>面积明细表!C354</f>
        <v>0</v>
      </c>
      <c r="B375" s="54"/>
      <c r="C375" s="21">
        <f t="shared" si="66"/>
        <v>1</v>
      </c>
      <c r="D375" s="667"/>
      <c r="E375" s="21">
        <f t="shared" si="67"/>
        <v>1</v>
      </c>
      <c r="F375" s="667"/>
      <c r="G375" s="21">
        <f t="shared" si="68"/>
        <v>1</v>
      </c>
      <c r="H375" s="667"/>
      <c r="I375" s="21">
        <f t="shared" si="69"/>
        <v>1</v>
      </c>
      <c r="J375" s="667"/>
      <c r="K375" s="21">
        <f t="shared" si="70"/>
        <v>1</v>
      </c>
      <c r="L375" s="667"/>
      <c r="M375" s="21">
        <f t="shared" si="71"/>
        <v>1</v>
      </c>
      <c r="N375" s="667"/>
      <c r="O375" s="21">
        <f t="shared" si="72"/>
        <v>1</v>
      </c>
      <c r="P375" s="667"/>
      <c r="Q375" s="21">
        <f t="shared" si="73"/>
        <v>1</v>
      </c>
      <c r="R375" s="663">
        <f t="shared" si="74"/>
        <v>0</v>
      </c>
      <c r="S375" s="316">
        <f t="shared" si="65"/>
        <v>0</v>
      </c>
    </row>
    <row r="376" spans="1:19">
      <c r="A376" s="665">
        <f>面积明细表!C355</f>
        <v>0</v>
      </c>
      <c r="B376" s="54"/>
      <c r="C376" s="21">
        <f t="shared" si="66"/>
        <v>1</v>
      </c>
      <c r="D376" s="667"/>
      <c r="E376" s="21">
        <f t="shared" si="67"/>
        <v>1</v>
      </c>
      <c r="F376" s="667"/>
      <c r="G376" s="21">
        <f t="shared" si="68"/>
        <v>1</v>
      </c>
      <c r="H376" s="667"/>
      <c r="I376" s="21">
        <f t="shared" si="69"/>
        <v>1</v>
      </c>
      <c r="J376" s="667"/>
      <c r="K376" s="21">
        <f t="shared" si="70"/>
        <v>1</v>
      </c>
      <c r="L376" s="667"/>
      <c r="M376" s="21">
        <f t="shared" si="71"/>
        <v>1</v>
      </c>
      <c r="N376" s="667"/>
      <c r="O376" s="21">
        <f t="shared" si="72"/>
        <v>1</v>
      </c>
      <c r="P376" s="667"/>
      <c r="Q376" s="21">
        <f t="shared" si="73"/>
        <v>1</v>
      </c>
      <c r="R376" s="663">
        <f t="shared" si="74"/>
        <v>0</v>
      </c>
      <c r="S376" s="316">
        <f t="shared" si="65"/>
        <v>0</v>
      </c>
    </row>
    <row r="377" spans="1:19">
      <c r="A377" s="665">
        <f>面积明细表!C356</f>
        <v>0</v>
      </c>
      <c r="B377" s="54"/>
      <c r="C377" s="21">
        <f t="shared" si="66"/>
        <v>1</v>
      </c>
      <c r="D377" s="667"/>
      <c r="E377" s="21">
        <f t="shared" si="67"/>
        <v>1</v>
      </c>
      <c r="F377" s="667"/>
      <c r="G377" s="21">
        <f t="shared" si="68"/>
        <v>1</v>
      </c>
      <c r="H377" s="667"/>
      <c r="I377" s="21">
        <f t="shared" si="69"/>
        <v>1</v>
      </c>
      <c r="J377" s="667"/>
      <c r="K377" s="21">
        <f t="shared" si="70"/>
        <v>1</v>
      </c>
      <c r="L377" s="667"/>
      <c r="M377" s="21">
        <f t="shared" si="71"/>
        <v>1</v>
      </c>
      <c r="N377" s="667"/>
      <c r="O377" s="21">
        <f t="shared" si="72"/>
        <v>1</v>
      </c>
      <c r="P377" s="667"/>
      <c r="Q377" s="21">
        <f t="shared" si="73"/>
        <v>1</v>
      </c>
      <c r="R377" s="663">
        <f t="shared" si="74"/>
        <v>0</v>
      </c>
      <c r="S377" s="316">
        <f t="shared" si="65"/>
        <v>0</v>
      </c>
    </row>
    <row r="378" spans="1:19">
      <c r="A378" s="665">
        <f>面积明细表!C357</f>
        <v>0</v>
      </c>
      <c r="B378" s="54"/>
      <c r="C378" s="21">
        <f t="shared" si="66"/>
        <v>1</v>
      </c>
      <c r="D378" s="667"/>
      <c r="E378" s="21">
        <f t="shared" si="67"/>
        <v>1</v>
      </c>
      <c r="F378" s="667"/>
      <c r="G378" s="21">
        <f t="shared" si="68"/>
        <v>1</v>
      </c>
      <c r="H378" s="667"/>
      <c r="I378" s="21">
        <f t="shared" si="69"/>
        <v>1</v>
      </c>
      <c r="J378" s="667"/>
      <c r="K378" s="21">
        <f t="shared" si="70"/>
        <v>1</v>
      </c>
      <c r="L378" s="667"/>
      <c r="M378" s="21">
        <f t="shared" si="71"/>
        <v>1</v>
      </c>
      <c r="N378" s="667"/>
      <c r="O378" s="21">
        <f t="shared" si="72"/>
        <v>1</v>
      </c>
      <c r="P378" s="667"/>
      <c r="Q378" s="21">
        <f t="shared" si="73"/>
        <v>1</v>
      </c>
      <c r="R378" s="663">
        <f t="shared" si="74"/>
        <v>0</v>
      </c>
      <c r="S378" s="316">
        <f t="shared" si="65"/>
        <v>0</v>
      </c>
    </row>
    <row r="379" spans="1:19">
      <c r="A379" s="665">
        <f>面积明细表!C358</f>
        <v>0</v>
      </c>
      <c r="B379" s="54"/>
      <c r="C379" s="21">
        <f t="shared" si="66"/>
        <v>1</v>
      </c>
      <c r="D379" s="667"/>
      <c r="E379" s="21">
        <f t="shared" si="67"/>
        <v>1</v>
      </c>
      <c r="F379" s="667"/>
      <c r="G379" s="21">
        <f t="shared" si="68"/>
        <v>1</v>
      </c>
      <c r="H379" s="667"/>
      <c r="I379" s="21">
        <f t="shared" si="69"/>
        <v>1</v>
      </c>
      <c r="J379" s="667"/>
      <c r="K379" s="21">
        <f t="shared" si="70"/>
        <v>1</v>
      </c>
      <c r="L379" s="667"/>
      <c r="M379" s="21">
        <f t="shared" si="71"/>
        <v>1</v>
      </c>
      <c r="N379" s="667"/>
      <c r="O379" s="21">
        <f t="shared" si="72"/>
        <v>1</v>
      </c>
      <c r="P379" s="667"/>
      <c r="Q379" s="21">
        <f t="shared" si="73"/>
        <v>1</v>
      </c>
      <c r="R379" s="663">
        <f t="shared" si="74"/>
        <v>0</v>
      </c>
      <c r="S379" s="316">
        <f t="shared" si="65"/>
        <v>0</v>
      </c>
    </row>
    <row r="380" spans="1:19">
      <c r="A380" s="665">
        <f>面积明细表!C359</f>
        <v>0</v>
      </c>
      <c r="B380" s="54"/>
      <c r="C380" s="21">
        <f t="shared" si="66"/>
        <v>1</v>
      </c>
      <c r="D380" s="667"/>
      <c r="E380" s="21">
        <f t="shared" si="67"/>
        <v>1</v>
      </c>
      <c r="F380" s="667"/>
      <c r="G380" s="21">
        <f t="shared" si="68"/>
        <v>1</v>
      </c>
      <c r="H380" s="667"/>
      <c r="I380" s="21">
        <f t="shared" si="69"/>
        <v>1</v>
      </c>
      <c r="J380" s="667"/>
      <c r="K380" s="21">
        <f t="shared" si="70"/>
        <v>1</v>
      </c>
      <c r="L380" s="667"/>
      <c r="M380" s="21">
        <f t="shared" si="71"/>
        <v>1</v>
      </c>
      <c r="N380" s="667"/>
      <c r="O380" s="21">
        <f t="shared" si="72"/>
        <v>1</v>
      </c>
      <c r="P380" s="667"/>
      <c r="Q380" s="21">
        <f t="shared" si="73"/>
        <v>1</v>
      </c>
      <c r="R380" s="663">
        <f t="shared" si="74"/>
        <v>0</v>
      </c>
      <c r="S380" s="316">
        <f t="shared" si="65"/>
        <v>0</v>
      </c>
    </row>
    <row r="381" spans="1:19">
      <c r="A381" s="665">
        <f>面积明细表!C360</f>
        <v>0</v>
      </c>
      <c r="B381" s="54"/>
      <c r="C381" s="21">
        <f t="shared" si="66"/>
        <v>1</v>
      </c>
      <c r="D381" s="667"/>
      <c r="E381" s="21">
        <f t="shared" si="67"/>
        <v>1</v>
      </c>
      <c r="F381" s="667"/>
      <c r="G381" s="21">
        <f t="shared" si="68"/>
        <v>1</v>
      </c>
      <c r="H381" s="667"/>
      <c r="I381" s="21">
        <f t="shared" si="69"/>
        <v>1</v>
      </c>
      <c r="J381" s="667"/>
      <c r="K381" s="21">
        <f t="shared" si="70"/>
        <v>1</v>
      </c>
      <c r="L381" s="667"/>
      <c r="M381" s="21">
        <f t="shared" si="71"/>
        <v>1</v>
      </c>
      <c r="N381" s="667"/>
      <c r="O381" s="21">
        <f t="shared" si="72"/>
        <v>1</v>
      </c>
      <c r="P381" s="667"/>
      <c r="Q381" s="21">
        <f t="shared" si="73"/>
        <v>1</v>
      </c>
      <c r="R381" s="663">
        <f t="shared" si="74"/>
        <v>0</v>
      </c>
      <c r="S381" s="316">
        <f t="shared" si="65"/>
        <v>0</v>
      </c>
    </row>
    <row r="382" spans="1:19">
      <c r="A382" s="665">
        <f>面积明细表!C361</f>
        <v>0</v>
      </c>
      <c r="B382" s="54"/>
      <c r="C382" s="21">
        <f t="shared" si="66"/>
        <v>1</v>
      </c>
      <c r="D382" s="667"/>
      <c r="E382" s="21">
        <f t="shared" si="67"/>
        <v>1</v>
      </c>
      <c r="F382" s="667"/>
      <c r="G382" s="21">
        <f t="shared" si="68"/>
        <v>1</v>
      </c>
      <c r="H382" s="667"/>
      <c r="I382" s="21">
        <f t="shared" si="69"/>
        <v>1</v>
      </c>
      <c r="J382" s="667"/>
      <c r="K382" s="21">
        <f t="shared" si="70"/>
        <v>1</v>
      </c>
      <c r="L382" s="667"/>
      <c r="M382" s="21">
        <f t="shared" si="71"/>
        <v>1</v>
      </c>
      <c r="N382" s="667"/>
      <c r="O382" s="21">
        <f t="shared" si="72"/>
        <v>1</v>
      </c>
      <c r="P382" s="667"/>
      <c r="Q382" s="21">
        <f t="shared" si="73"/>
        <v>1</v>
      </c>
      <c r="R382" s="663">
        <f t="shared" si="74"/>
        <v>0</v>
      </c>
      <c r="S382" s="316">
        <f t="shared" si="65"/>
        <v>0</v>
      </c>
    </row>
    <row r="383" spans="1:19">
      <c r="A383" s="665">
        <f>面积明细表!C362</f>
        <v>0</v>
      </c>
      <c r="B383" s="54"/>
      <c r="C383" s="21">
        <f t="shared" si="66"/>
        <v>1</v>
      </c>
      <c r="D383" s="667"/>
      <c r="E383" s="21">
        <f t="shared" si="67"/>
        <v>1</v>
      </c>
      <c r="F383" s="667"/>
      <c r="G383" s="21">
        <f t="shared" si="68"/>
        <v>1</v>
      </c>
      <c r="H383" s="667"/>
      <c r="I383" s="21">
        <f t="shared" si="69"/>
        <v>1</v>
      </c>
      <c r="J383" s="667"/>
      <c r="K383" s="21">
        <f t="shared" si="70"/>
        <v>1</v>
      </c>
      <c r="L383" s="667"/>
      <c r="M383" s="21">
        <f t="shared" si="71"/>
        <v>1</v>
      </c>
      <c r="N383" s="667"/>
      <c r="O383" s="21">
        <f t="shared" si="72"/>
        <v>1</v>
      </c>
      <c r="P383" s="667"/>
      <c r="Q383" s="21">
        <f t="shared" si="73"/>
        <v>1</v>
      </c>
      <c r="R383" s="663">
        <f t="shared" si="74"/>
        <v>0</v>
      </c>
      <c r="S383" s="316">
        <f t="shared" si="65"/>
        <v>0</v>
      </c>
    </row>
    <row r="384" spans="1:19">
      <c r="A384" s="665">
        <f>面积明细表!C363</f>
        <v>0</v>
      </c>
      <c r="B384" s="54"/>
      <c r="C384" s="21">
        <f t="shared" si="66"/>
        <v>1</v>
      </c>
      <c r="D384" s="667"/>
      <c r="E384" s="21">
        <f t="shared" si="67"/>
        <v>1</v>
      </c>
      <c r="F384" s="667"/>
      <c r="G384" s="21">
        <f t="shared" si="68"/>
        <v>1</v>
      </c>
      <c r="H384" s="667"/>
      <c r="I384" s="21">
        <f t="shared" si="69"/>
        <v>1</v>
      </c>
      <c r="J384" s="667"/>
      <c r="K384" s="21">
        <f t="shared" si="70"/>
        <v>1</v>
      </c>
      <c r="L384" s="667"/>
      <c r="M384" s="21">
        <f t="shared" si="71"/>
        <v>1</v>
      </c>
      <c r="N384" s="667"/>
      <c r="O384" s="21">
        <f t="shared" si="72"/>
        <v>1</v>
      </c>
      <c r="P384" s="667"/>
      <c r="Q384" s="21">
        <f t="shared" si="73"/>
        <v>1</v>
      </c>
      <c r="R384" s="663">
        <f t="shared" si="74"/>
        <v>0</v>
      </c>
      <c r="S384" s="316">
        <f t="shared" si="65"/>
        <v>0</v>
      </c>
    </row>
    <row r="385" spans="1:19">
      <c r="A385" s="665">
        <f>面积明细表!C364</f>
        <v>0</v>
      </c>
      <c r="B385" s="54"/>
      <c r="C385" s="21">
        <f t="shared" si="66"/>
        <v>1</v>
      </c>
      <c r="D385" s="667"/>
      <c r="E385" s="21">
        <f t="shared" si="67"/>
        <v>1</v>
      </c>
      <c r="F385" s="667"/>
      <c r="G385" s="21">
        <f t="shared" si="68"/>
        <v>1</v>
      </c>
      <c r="H385" s="667"/>
      <c r="I385" s="21">
        <f t="shared" si="69"/>
        <v>1</v>
      </c>
      <c r="J385" s="667"/>
      <c r="K385" s="21">
        <f t="shared" si="70"/>
        <v>1</v>
      </c>
      <c r="L385" s="667"/>
      <c r="M385" s="21">
        <f t="shared" si="71"/>
        <v>1</v>
      </c>
      <c r="N385" s="667"/>
      <c r="O385" s="21">
        <f t="shared" si="72"/>
        <v>1</v>
      </c>
      <c r="P385" s="667"/>
      <c r="Q385" s="21">
        <f t="shared" si="73"/>
        <v>1</v>
      </c>
      <c r="R385" s="663">
        <f t="shared" si="74"/>
        <v>0</v>
      </c>
      <c r="S385" s="316">
        <f t="shared" ref="S385:S422" si="75">ROUND(R385*B385/10000,0)</f>
        <v>0</v>
      </c>
    </row>
    <row r="386" spans="1:19">
      <c r="A386" s="665">
        <f>面积明细表!C365</f>
        <v>0</v>
      </c>
      <c r="B386" s="54"/>
      <c r="C386" s="21">
        <f t="shared" si="66"/>
        <v>1</v>
      </c>
      <c r="D386" s="667"/>
      <c r="E386" s="21">
        <f t="shared" si="67"/>
        <v>1</v>
      </c>
      <c r="F386" s="667"/>
      <c r="G386" s="21">
        <f t="shared" si="68"/>
        <v>1</v>
      </c>
      <c r="H386" s="667"/>
      <c r="I386" s="21">
        <f t="shared" si="69"/>
        <v>1</v>
      </c>
      <c r="J386" s="667"/>
      <c r="K386" s="21">
        <f t="shared" si="70"/>
        <v>1</v>
      </c>
      <c r="L386" s="667"/>
      <c r="M386" s="21">
        <f t="shared" si="71"/>
        <v>1</v>
      </c>
      <c r="N386" s="667"/>
      <c r="O386" s="21">
        <f t="shared" si="72"/>
        <v>1</v>
      </c>
      <c r="P386" s="667"/>
      <c r="Q386" s="21">
        <f t="shared" si="73"/>
        <v>1</v>
      </c>
      <c r="R386" s="663">
        <f t="shared" si="74"/>
        <v>0</v>
      </c>
      <c r="S386" s="316">
        <f t="shared" si="75"/>
        <v>0</v>
      </c>
    </row>
    <row r="387" spans="1:19">
      <c r="A387" s="665">
        <f>面积明细表!C366</f>
        <v>0</v>
      </c>
      <c r="B387" s="54"/>
      <c r="C387" s="21">
        <f t="shared" si="66"/>
        <v>1</v>
      </c>
      <c r="D387" s="667"/>
      <c r="E387" s="21">
        <f t="shared" si="67"/>
        <v>1</v>
      </c>
      <c r="F387" s="667"/>
      <c r="G387" s="21">
        <f t="shared" si="68"/>
        <v>1</v>
      </c>
      <c r="H387" s="667"/>
      <c r="I387" s="21">
        <f t="shared" si="69"/>
        <v>1</v>
      </c>
      <c r="J387" s="667"/>
      <c r="K387" s="21">
        <f t="shared" si="70"/>
        <v>1</v>
      </c>
      <c r="L387" s="667"/>
      <c r="M387" s="21">
        <f t="shared" si="71"/>
        <v>1</v>
      </c>
      <c r="N387" s="667"/>
      <c r="O387" s="21">
        <f t="shared" si="72"/>
        <v>1</v>
      </c>
      <c r="P387" s="667"/>
      <c r="Q387" s="21">
        <f t="shared" si="73"/>
        <v>1</v>
      </c>
      <c r="R387" s="663">
        <f t="shared" si="74"/>
        <v>0</v>
      </c>
      <c r="S387" s="316">
        <f t="shared" si="75"/>
        <v>0</v>
      </c>
    </row>
    <row r="388" spans="1:19">
      <c r="A388" s="665">
        <f>面积明细表!C367</f>
        <v>0</v>
      </c>
      <c r="B388" s="54"/>
      <c r="C388" s="21">
        <f t="shared" si="66"/>
        <v>1</v>
      </c>
      <c r="D388" s="667"/>
      <c r="E388" s="21">
        <f t="shared" si="67"/>
        <v>1</v>
      </c>
      <c r="F388" s="667"/>
      <c r="G388" s="21">
        <f t="shared" si="68"/>
        <v>1</v>
      </c>
      <c r="H388" s="667"/>
      <c r="I388" s="21">
        <f t="shared" si="69"/>
        <v>1</v>
      </c>
      <c r="J388" s="667"/>
      <c r="K388" s="21">
        <f t="shared" si="70"/>
        <v>1</v>
      </c>
      <c r="L388" s="667"/>
      <c r="M388" s="21">
        <f t="shared" si="71"/>
        <v>1</v>
      </c>
      <c r="N388" s="667"/>
      <c r="O388" s="21">
        <f t="shared" si="72"/>
        <v>1</v>
      </c>
      <c r="P388" s="667"/>
      <c r="Q388" s="21">
        <f t="shared" si="73"/>
        <v>1</v>
      </c>
      <c r="R388" s="663">
        <f t="shared" si="74"/>
        <v>0</v>
      </c>
      <c r="S388" s="316">
        <f t="shared" si="75"/>
        <v>0</v>
      </c>
    </row>
    <row r="389" spans="1:19">
      <c r="A389" s="665">
        <f>面积明细表!C368</f>
        <v>0</v>
      </c>
      <c r="B389" s="54"/>
      <c r="C389" s="21">
        <f t="shared" si="66"/>
        <v>1</v>
      </c>
      <c r="D389" s="667"/>
      <c r="E389" s="21">
        <f t="shared" si="67"/>
        <v>1</v>
      </c>
      <c r="F389" s="667"/>
      <c r="G389" s="21">
        <f t="shared" si="68"/>
        <v>1</v>
      </c>
      <c r="H389" s="667"/>
      <c r="I389" s="21">
        <f t="shared" si="69"/>
        <v>1</v>
      </c>
      <c r="J389" s="667"/>
      <c r="K389" s="21">
        <f t="shared" si="70"/>
        <v>1</v>
      </c>
      <c r="L389" s="667"/>
      <c r="M389" s="21">
        <f t="shared" si="71"/>
        <v>1</v>
      </c>
      <c r="N389" s="667"/>
      <c r="O389" s="21">
        <f t="shared" si="72"/>
        <v>1</v>
      </c>
      <c r="P389" s="667"/>
      <c r="Q389" s="21">
        <f t="shared" si="73"/>
        <v>1</v>
      </c>
      <c r="R389" s="663">
        <f t="shared" si="74"/>
        <v>0</v>
      </c>
      <c r="S389" s="316">
        <f t="shared" si="75"/>
        <v>0</v>
      </c>
    </row>
    <row r="390" spans="1:19">
      <c r="A390" s="665">
        <f>面积明细表!C369</f>
        <v>0</v>
      </c>
      <c r="B390" s="54"/>
      <c r="C390" s="21">
        <f t="shared" si="66"/>
        <v>1</v>
      </c>
      <c r="D390" s="667"/>
      <c r="E390" s="21">
        <f t="shared" si="67"/>
        <v>1</v>
      </c>
      <c r="F390" s="667"/>
      <c r="G390" s="21">
        <f t="shared" si="68"/>
        <v>1</v>
      </c>
      <c r="H390" s="667"/>
      <c r="I390" s="21">
        <f t="shared" si="69"/>
        <v>1</v>
      </c>
      <c r="J390" s="667"/>
      <c r="K390" s="21">
        <f t="shared" si="70"/>
        <v>1</v>
      </c>
      <c r="L390" s="667"/>
      <c r="M390" s="21">
        <f t="shared" si="71"/>
        <v>1</v>
      </c>
      <c r="N390" s="667"/>
      <c r="O390" s="21">
        <f t="shared" si="72"/>
        <v>1</v>
      </c>
      <c r="P390" s="667"/>
      <c r="Q390" s="21">
        <f t="shared" si="73"/>
        <v>1</v>
      </c>
      <c r="R390" s="663">
        <f t="shared" si="74"/>
        <v>0</v>
      </c>
      <c r="S390" s="316">
        <f t="shared" si="75"/>
        <v>0</v>
      </c>
    </row>
    <row r="391" spans="1:19">
      <c r="A391" s="665">
        <f>面积明细表!C370</f>
        <v>0</v>
      </c>
      <c r="B391" s="54"/>
      <c r="C391" s="21">
        <f t="shared" si="66"/>
        <v>1</v>
      </c>
      <c r="D391" s="667"/>
      <c r="E391" s="21">
        <f t="shared" si="67"/>
        <v>1</v>
      </c>
      <c r="F391" s="667"/>
      <c r="G391" s="21">
        <f t="shared" si="68"/>
        <v>1</v>
      </c>
      <c r="H391" s="667"/>
      <c r="I391" s="21">
        <f t="shared" si="69"/>
        <v>1</v>
      </c>
      <c r="J391" s="667"/>
      <c r="K391" s="21">
        <f t="shared" si="70"/>
        <v>1</v>
      </c>
      <c r="L391" s="667"/>
      <c r="M391" s="21">
        <f t="shared" si="71"/>
        <v>1</v>
      </c>
      <c r="N391" s="667"/>
      <c r="O391" s="21">
        <f t="shared" si="72"/>
        <v>1</v>
      </c>
      <c r="P391" s="667"/>
      <c r="Q391" s="21">
        <f t="shared" si="73"/>
        <v>1</v>
      </c>
      <c r="R391" s="663">
        <f t="shared" si="74"/>
        <v>0</v>
      </c>
      <c r="S391" s="316">
        <f t="shared" si="75"/>
        <v>0</v>
      </c>
    </row>
    <row r="392" spans="1:19">
      <c r="A392" s="665">
        <f>面积明细表!C371</f>
        <v>0</v>
      </c>
      <c r="B392" s="54"/>
      <c r="C392" s="21">
        <f t="shared" si="66"/>
        <v>1</v>
      </c>
      <c r="D392" s="667"/>
      <c r="E392" s="21">
        <f t="shared" si="67"/>
        <v>1</v>
      </c>
      <c r="F392" s="667"/>
      <c r="G392" s="21">
        <f t="shared" si="68"/>
        <v>1</v>
      </c>
      <c r="H392" s="667"/>
      <c r="I392" s="21">
        <f t="shared" si="69"/>
        <v>1</v>
      </c>
      <c r="J392" s="667"/>
      <c r="K392" s="21">
        <f t="shared" si="70"/>
        <v>1</v>
      </c>
      <c r="L392" s="667"/>
      <c r="M392" s="21">
        <f t="shared" si="71"/>
        <v>1</v>
      </c>
      <c r="N392" s="667"/>
      <c r="O392" s="21">
        <f t="shared" si="72"/>
        <v>1</v>
      </c>
      <c r="P392" s="667"/>
      <c r="Q392" s="21">
        <f t="shared" si="73"/>
        <v>1</v>
      </c>
      <c r="R392" s="663">
        <f t="shared" si="74"/>
        <v>0</v>
      </c>
      <c r="S392" s="316">
        <f t="shared" si="75"/>
        <v>0</v>
      </c>
    </row>
    <row r="393" spans="1:19">
      <c r="A393" s="665">
        <f>面积明细表!C372</f>
        <v>0</v>
      </c>
      <c r="B393" s="54"/>
      <c r="C393" s="21">
        <f t="shared" si="66"/>
        <v>1</v>
      </c>
      <c r="D393" s="667"/>
      <c r="E393" s="21">
        <f t="shared" si="67"/>
        <v>1</v>
      </c>
      <c r="F393" s="667"/>
      <c r="G393" s="21">
        <f t="shared" si="68"/>
        <v>1</v>
      </c>
      <c r="H393" s="667"/>
      <c r="I393" s="21">
        <f t="shared" si="69"/>
        <v>1</v>
      </c>
      <c r="J393" s="667"/>
      <c r="K393" s="21">
        <f t="shared" si="70"/>
        <v>1</v>
      </c>
      <c r="L393" s="667"/>
      <c r="M393" s="21">
        <f t="shared" si="71"/>
        <v>1</v>
      </c>
      <c r="N393" s="667"/>
      <c r="O393" s="21">
        <f t="shared" si="72"/>
        <v>1</v>
      </c>
      <c r="P393" s="667"/>
      <c r="Q393" s="21">
        <f t="shared" si="73"/>
        <v>1</v>
      </c>
      <c r="R393" s="663">
        <f t="shared" si="74"/>
        <v>0</v>
      </c>
      <c r="S393" s="316">
        <f t="shared" si="75"/>
        <v>0</v>
      </c>
    </row>
    <row r="394" spans="1:19">
      <c r="A394" s="665">
        <f>面积明细表!C373</f>
        <v>0</v>
      </c>
      <c r="B394" s="54"/>
      <c r="C394" s="21">
        <f t="shared" si="66"/>
        <v>1</v>
      </c>
      <c r="D394" s="667"/>
      <c r="E394" s="21">
        <f t="shared" si="67"/>
        <v>1</v>
      </c>
      <c r="F394" s="667"/>
      <c r="G394" s="21">
        <f t="shared" si="68"/>
        <v>1</v>
      </c>
      <c r="H394" s="667"/>
      <c r="I394" s="21">
        <f t="shared" si="69"/>
        <v>1</v>
      </c>
      <c r="J394" s="667"/>
      <c r="K394" s="21">
        <f t="shared" si="70"/>
        <v>1</v>
      </c>
      <c r="L394" s="667"/>
      <c r="M394" s="21">
        <f t="shared" si="71"/>
        <v>1</v>
      </c>
      <c r="N394" s="667"/>
      <c r="O394" s="21">
        <f t="shared" si="72"/>
        <v>1</v>
      </c>
      <c r="P394" s="667"/>
      <c r="Q394" s="21">
        <f t="shared" si="73"/>
        <v>1</v>
      </c>
      <c r="R394" s="663">
        <f t="shared" si="74"/>
        <v>0</v>
      </c>
      <c r="S394" s="316">
        <f t="shared" si="75"/>
        <v>0</v>
      </c>
    </row>
    <row r="395" spans="1:19">
      <c r="A395" s="665">
        <f>面积明细表!C374</f>
        <v>0</v>
      </c>
      <c r="B395" s="54"/>
      <c r="C395" s="21">
        <f t="shared" si="66"/>
        <v>1</v>
      </c>
      <c r="D395" s="667"/>
      <c r="E395" s="21">
        <f t="shared" si="67"/>
        <v>1</v>
      </c>
      <c r="F395" s="667"/>
      <c r="G395" s="21">
        <f t="shared" si="68"/>
        <v>1</v>
      </c>
      <c r="H395" s="667"/>
      <c r="I395" s="21">
        <f t="shared" si="69"/>
        <v>1</v>
      </c>
      <c r="J395" s="667"/>
      <c r="K395" s="21">
        <f t="shared" si="70"/>
        <v>1</v>
      </c>
      <c r="L395" s="667"/>
      <c r="M395" s="21">
        <f t="shared" si="71"/>
        <v>1</v>
      </c>
      <c r="N395" s="667"/>
      <c r="O395" s="21">
        <f t="shared" si="72"/>
        <v>1</v>
      </c>
      <c r="P395" s="667"/>
      <c r="Q395" s="21">
        <f t="shared" si="73"/>
        <v>1</v>
      </c>
      <c r="R395" s="663">
        <f t="shared" si="74"/>
        <v>0</v>
      </c>
      <c r="S395" s="316">
        <f t="shared" si="75"/>
        <v>0</v>
      </c>
    </row>
    <row r="396" spans="1:19">
      <c r="A396" s="665">
        <f>面积明细表!C375</f>
        <v>0</v>
      </c>
      <c r="B396" s="54"/>
      <c r="C396" s="21">
        <f t="shared" si="66"/>
        <v>1</v>
      </c>
      <c r="D396" s="667"/>
      <c r="E396" s="21">
        <f t="shared" si="67"/>
        <v>1</v>
      </c>
      <c r="F396" s="667"/>
      <c r="G396" s="21">
        <f t="shared" si="68"/>
        <v>1</v>
      </c>
      <c r="H396" s="667"/>
      <c r="I396" s="21">
        <f t="shared" si="69"/>
        <v>1</v>
      </c>
      <c r="J396" s="667"/>
      <c r="K396" s="21">
        <f t="shared" si="70"/>
        <v>1</v>
      </c>
      <c r="L396" s="667"/>
      <c r="M396" s="21">
        <f t="shared" si="71"/>
        <v>1</v>
      </c>
      <c r="N396" s="667"/>
      <c r="O396" s="21">
        <f t="shared" si="72"/>
        <v>1</v>
      </c>
      <c r="P396" s="667"/>
      <c r="Q396" s="21">
        <f t="shared" si="73"/>
        <v>1</v>
      </c>
      <c r="R396" s="663">
        <f t="shared" si="74"/>
        <v>0</v>
      </c>
      <c r="S396" s="316">
        <f t="shared" si="75"/>
        <v>0</v>
      </c>
    </row>
    <row r="397" spans="1:19">
      <c r="A397" s="665">
        <f>面积明细表!C376</f>
        <v>0</v>
      </c>
      <c r="B397" s="54"/>
      <c r="C397" s="21">
        <f t="shared" si="66"/>
        <v>1</v>
      </c>
      <c r="D397" s="667"/>
      <c r="E397" s="21">
        <f t="shared" si="67"/>
        <v>1</v>
      </c>
      <c r="F397" s="667"/>
      <c r="G397" s="21">
        <f t="shared" si="68"/>
        <v>1</v>
      </c>
      <c r="H397" s="667"/>
      <c r="I397" s="21">
        <f t="shared" si="69"/>
        <v>1</v>
      </c>
      <c r="J397" s="667"/>
      <c r="K397" s="21">
        <f t="shared" si="70"/>
        <v>1</v>
      </c>
      <c r="L397" s="667"/>
      <c r="M397" s="21">
        <f t="shared" si="71"/>
        <v>1</v>
      </c>
      <c r="N397" s="667"/>
      <c r="O397" s="21">
        <f t="shared" si="72"/>
        <v>1</v>
      </c>
      <c r="P397" s="667"/>
      <c r="Q397" s="21">
        <f t="shared" si="73"/>
        <v>1</v>
      </c>
      <c r="R397" s="663">
        <f t="shared" si="74"/>
        <v>0</v>
      </c>
      <c r="S397" s="316">
        <f t="shared" si="75"/>
        <v>0</v>
      </c>
    </row>
    <row r="398" spans="1:19">
      <c r="A398" s="665">
        <f>面积明细表!C377</f>
        <v>0</v>
      </c>
      <c r="B398" s="54"/>
      <c r="C398" s="21">
        <f t="shared" si="66"/>
        <v>1</v>
      </c>
      <c r="D398" s="667"/>
      <c r="E398" s="21">
        <f t="shared" si="67"/>
        <v>1</v>
      </c>
      <c r="F398" s="667"/>
      <c r="G398" s="21">
        <f t="shared" si="68"/>
        <v>1</v>
      </c>
      <c r="H398" s="667"/>
      <c r="I398" s="21">
        <f t="shared" si="69"/>
        <v>1</v>
      </c>
      <c r="J398" s="667"/>
      <c r="K398" s="21">
        <f t="shared" si="70"/>
        <v>1</v>
      </c>
      <c r="L398" s="667"/>
      <c r="M398" s="21">
        <f t="shared" si="71"/>
        <v>1</v>
      </c>
      <c r="N398" s="667"/>
      <c r="O398" s="21">
        <f t="shared" si="72"/>
        <v>1</v>
      </c>
      <c r="P398" s="667"/>
      <c r="Q398" s="21">
        <f t="shared" si="73"/>
        <v>1</v>
      </c>
      <c r="R398" s="663">
        <f t="shared" si="74"/>
        <v>0</v>
      </c>
      <c r="S398" s="316">
        <f t="shared" si="75"/>
        <v>0</v>
      </c>
    </row>
    <row r="399" spans="1:19">
      <c r="A399" s="665">
        <f>面积明细表!C378</f>
        <v>0</v>
      </c>
      <c r="B399" s="54"/>
      <c r="C399" s="21">
        <f t="shared" si="66"/>
        <v>1</v>
      </c>
      <c r="D399" s="667"/>
      <c r="E399" s="21">
        <f t="shared" si="67"/>
        <v>1</v>
      </c>
      <c r="F399" s="667"/>
      <c r="G399" s="21">
        <f t="shared" si="68"/>
        <v>1</v>
      </c>
      <c r="H399" s="667"/>
      <c r="I399" s="21">
        <f t="shared" si="69"/>
        <v>1</v>
      </c>
      <c r="J399" s="667"/>
      <c r="K399" s="21">
        <f t="shared" si="70"/>
        <v>1</v>
      </c>
      <c r="L399" s="667"/>
      <c r="M399" s="21">
        <f t="shared" si="71"/>
        <v>1</v>
      </c>
      <c r="N399" s="667"/>
      <c r="O399" s="21">
        <f t="shared" si="72"/>
        <v>1</v>
      </c>
      <c r="P399" s="667"/>
      <c r="Q399" s="21">
        <f t="shared" si="73"/>
        <v>1</v>
      </c>
      <c r="R399" s="663">
        <f t="shared" si="74"/>
        <v>0</v>
      </c>
      <c r="S399" s="316">
        <f t="shared" si="75"/>
        <v>0</v>
      </c>
    </row>
    <row r="400" spans="1:19">
      <c r="A400" s="665">
        <f>面积明细表!C379</f>
        <v>0</v>
      </c>
      <c r="B400" s="54"/>
      <c r="C400" s="21">
        <f t="shared" si="66"/>
        <v>1</v>
      </c>
      <c r="D400" s="667"/>
      <c r="E400" s="21">
        <f t="shared" si="67"/>
        <v>1</v>
      </c>
      <c r="F400" s="667"/>
      <c r="G400" s="21">
        <f t="shared" si="68"/>
        <v>1</v>
      </c>
      <c r="H400" s="667"/>
      <c r="I400" s="21">
        <f t="shared" si="69"/>
        <v>1</v>
      </c>
      <c r="J400" s="667"/>
      <c r="K400" s="21">
        <f t="shared" si="70"/>
        <v>1</v>
      </c>
      <c r="L400" s="667"/>
      <c r="M400" s="21">
        <f t="shared" si="71"/>
        <v>1</v>
      </c>
      <c r="N400" s="667"/>
      <c r="O400" s="21">
        <f t="shared" si="72"/>
        <v>1</v>
      </c>
      <c r="P400" s="667"/>
      <c r="Q400" s="21">
        <f t="shared" si="73"/>
        <v>1</v>
      </c>
      <c r="R400" s="663">
        <f t="shared" si="74"/>
        <v>0</v>
      </c>
      <c r="S400" s="316">
        <f t="shared" si="75"/>
        <v>0</v>
      </c>
    </row>
    <row r="401" spans="1:19">
      <c r="A401" s="665">
        <f>面积明细表!C380</f>
        <v>0</v>
      </c>
      <c r="B401" s="54"/>
      <c r="C401" s="21">
        <f t="shared" si="66"/>
        <v>1</v>
      </c>
      <c r="D401" s="667"/>
      <c r="E401" s="21">
        <f t="shared" si="67"/>
        <v>1</v>
      </c>
      <c r="F401" s="667"/>
      <c r="G401" s="21">
        <f t="shared" si="68"/>
        <v>1</v>
      </c>
      <c r="H401" s="667"/>
      <c r="I401" s="21">
        <f t="shared" si="69"/>
        <v>1</v>
      </c>
      <c r="J401" s="667"/>
      <c r="K401" s="21">
        <f t="shared" si="70"/>
        <v>1</v>
      </c>
      <c r="L401" s="667"/>
      <c r="M401" s="21">
        <f t="shared" si="71"/>
        <v>1</v>
      </c>
      <c r="N401" s="667"/>
      <c r="O401" s="21">
        <f t="shared" si="72"/>
        <v>1</v>
      </c>
      <c r="P401" s="667"/>
      <c r="Q401" s="21">
        <f t="shared" si="73"/>
        <v>1</v>
      </c>
      <c r="R401" s="663">
        <f t="shared" si="74"/>
        <v>0</v>
      </c>
      <c r="S401" s="316">
        <f t="shared" si="75"/>
        <v>0</v>
      </c>
    </row>
    <row r="402" spans="1:19">
      <c r="A402" s="665">
        <f>面积明细表!C381</f>
        <v>0</v>
      </c>
      <c r="B402" s="54"/>
      <c r="C402" s="21">
        <f t="shared" si="66"/>
        <v>1</v>
      </c>
      <c r="D402" s="667"/>
      <c r="E402" s="21">
        <f t="shared" si="67"/>
        <v>1</v>
      </c>
      <c r="F402" s="667"/>
      <c r="G402" s="21">
        <f t="shared" si="68"/>
        <v>1</v>
      </c>
      <c r="H402" s="667"/>
      <c r="I402" s="21">
        <f t="shared" si="69"/>
        <v>1</v>
      </c>
      <c r="J402" s="667"/>
      <c r="K402" s="21">
        <f t="shared" si="70"/>
        <v>1</v>
      </c>
      <c r="L402" s="667"/>
      <c r="M402" s="21">
        <f t="shared" si="71"/>
        <v>1</v>
      </c>
      <c r="N402" s="667"/>
      <c r="O402" s="21">
        <f t="shared" si="72"/>
        <v>1</v>
      </c>
      <c r="P402" s="667"/>
      <c r="Q402" s="21">
        <f t="shared" si="73"/>
        <v>1</v>
      </c>
      <c r="R402" s="663">
        <f t="shared" si="74"/>
        <v>0</v>
      </c>
      <c r="S402" s="316">
        <f t="shared" si="75"/>
        <v>0</v>
      </c>
    </row>
    <row r="403" spans="1:19">
      <c r="A403" s="665">
        <f>面积明细表!C382</f>
        <v>0</v>
      </c>
      <c r="B403" s="54"/>
      <c r="C403" s="21">
        <f t="shared" si="66"/>
        <v>1</v>
      </c>
      <c r="D403" s="667"/>
      <c r="E403" s="21">
        <f t="shared" si="67"/>
        <v>1</v>
      </c>
      <c r="F403" s="667"/>
      <c r="G403" s="21">
        <f t="shared" si="68"/>
        <v>1</v>
      </c>
      <c r="H403" s="667"/>
      <c r="I403" s="21">
        <f t="shared" si="69"/>
        <v>1</v>
      </c>
      <c r="J403" s="667"/>
      <c r="K403" s="21">
        <f t="shared" si="70"/>
        <v>1</v>
      </c>
      <c r="L403" s="667"/>
      <c r="M403" s="21">
        <f t="shared" si="71"/>
        <v>1</v>
      </c>
      <c r="N403" s="667"/>
      <c r="O403" s="21">
        <f t="shared" si="72"/>
        <v>1</v>
      </c>
      <c r="P403" s="667"/>
      <c r="Q403" s="21">
        <f t="shared" si="73"/>
        <v>1</v>
      </c>
      <c r="R403" s="663">
        <f t="shared" si="74"/>
        <v>0</v>
      </c>
      <c r="S403" s="316">
        <f t="shared" si="75"/>
        <v>0</v>
      </c>
    </row>
    <row r="404" spans="1:19">
      <c r="A404" s="665">
        <f>面积明细表!C383</f>
        <v>0</v>
      </c>
      <c r="B404" s="54"/>
      <c r="C404" s="21">
        <f t="shared" si="66"/>
        <v>1</v>
      </c>
      <c r="D404" s="667"/>
      <c r="E404" s="21">
        <f t="shared" si="67"/>
        <v>1</v>
      </c>
      <c r="F404" s="667"/>
      <c r="G404" s="21">
        <f t="shared" si="68"/>
        <v>1</v>
      </c>
      <c r="H404" s="667"/>
      <c r="I404" s="21">
        <f t="shared" si="69"/>
        <v>1</v>
      </c>
      <c r="J404" s="667"/>
      <c r="K404" s="21">
        <f t="shared" si="70"/>
        <v>1</v>
      </c>
      <c r="L404" s="667"/>
      <c r="M404" s="21">
        <f t="shared" si="71"/>
        <v>1</v>
      </c>
      <c r="N404" s="667"/>
      <c r="O404" s="21">
        <f t="shared" si="72"/>
        <v>1</v>
      </c>
      <c r="P404" s="667"/>
      <c r="Q404" s="21">
        <f t="shared" si="73"/>
        <v>1</v>
      </c>
      <c r="R404" s="663">
        <f t="shared" si="74"/>
        <v>0</v>
      </c>
      <c r="S404" s="316">
        <f t="shared" si="75"/>
        <v>0</v>
      </c>
    </row>
    <row r="405" spans="1:19">
      <c r="A405" s="665">
        <f>面积明细表!C384</f>
        <v>0</v>
      </c>
      <c r="B405" s="54"/>
      <c r="C405" s="21">
        <f t="shared" si="66"/>
        <v>1</v>
      </c>
      <c r="D405" s="667"/>
      <c r="E405" s="21">
        <f t="shared" si="67"/>
        <v>1</v>
      </c>
      <c r="F405" s="667"/>
      <c r="G405" s="21">
        <f t="shared" si="68"/>
        <v>1</v>
      </c>
      <c r="H405" s="667"/>
      <c r="I405" s="21">
        <f t="shared" si="69"/>
        <v>1</v>
      </c>
      <c r="J405" s="667"/>
      <c r="K405" s="21">
        <f t="shared" si="70"/>
        <v>1</v>
      </c>
      <c r="L405" s="667"/>
      <c r="M405" s="21">
        <f t="shared" si="71"/>
        <v>1</v>
      </c>
      <c r="N405" s="667"/>
      <c r="O405" s="21">
        <f t="shared" si="72"/>
        <v>1</v>
      </c>
      <c r="P405" s="667"/>
      <c r="Q405" s="21">
        <f t="shared" si="73"/>
        <v>1</v>
      </c>
      <c r="R405" s="663">
        <f t="shared" si="74"/>
        <v>0</v>
      </c>
      <c r="S405" s="316">
        <f t="shared" si="75"/>
        <v>0</v>
      </c>
    </row>
    <row r="406" spans="1:19">
      <c r="A406" s="665">
        <f>面积明细表!C385</f>
        <v>0</v>
      </c>
      <c r="B406" s="54"/>
      <c r="C406" s="21">
        <f t="shared" si="66"/>
        <v>1</v>
      </c>
      <c r="D406" s="667"/>
      <c r="E406" s="21">
        <f t="shared" si="67"/>
        <v>1</v>
      </c>
      <c r="F406" s="667"/>
      <c r="G406" s="21">
        <f t="shared" si="68"/>
        <v>1</v>
      </c>
      <c r="H406" s="667"/>
      <c r="I406" s="21">
        <f t="shared" si="69"/>
        <v>1</v>
      </c>
      <c r="J406" s="667"/>
      <c r="K406" s="21">
        <f t="shared" si="70"/>
        <v>1</v>
      </c>
      <c r="L406" s="667"/>
      <c r="M406" s="21">
        <f t="shared" si="71"/>
        <v>1</v>
      </c>
      <c r="N406" s="667"/>
      <c r="O406" s="21">
        <f t="shared" si="72"/>
        <v>1</v>
      </c>
      <c r="P406" s="667"/>
      <c r="Q406" s="21">
        <f t="shared" si="73"/>
        <v>1</v>
      </c>
      <c r="R406" s="663">
        <f t="shared" si="74"/>
        <v>0</v>
      </c>
      <c r="S406" s="316">
        <f t="shared" si="75"/>
        <v>0</v>
      </c>
    </row>
    <row r="407" spans="1:19">
      <c r="A407" s="665">
        <f>面积明细表!C386</f>
        <v>0</v>
      </c>
      <c r="B407" s="54"/>
      <c r="C407" s="21">
        <f t="shared" si="66"/>
        <v>1</v>
      </c>
      <c r="D407" s="667"/>
      <c r="E407" s="21">
        <f t="shared" si="67"/>
        <v>1</v>
      </c>
      <c r="F407" s="667"/>
      <c r="G407" s="21">
        <f t="shared" si="68"/>
        <v>1</v>
      </c>
      <c r="H407" s="667"/>
      <c r="I407" s="21">
        <f t="shared" si="69"/>
        <v>1</v>
      </c>
      <c r="J407" s="667"/>
      <c r="K407" s="21">
        <f t="shared" si="70"/>
        <v>1</v>
      </c>
      <c r="L407" s="667"/>
      <c r="M407" s="21">
        <f t="shared" si="71"/>
        <v>1</v>
      </c>
      <c r="N407" s="667"/>
      <c r="O407" s="21">
        <f t="shared" si="72"/>
        <v>1</v>
      </c>
      <c r="P407" s="667"/>
      <c r="Q407" s="21">
        <f t="shared" si="73"/>
        <v>1</v>
      </c>
      <c r="R407" s="663">
        <f t="shared" si="74"/>
        <v>0</v>
      </c>
      <c r="S407" s="316">
        <f t="shared" si="75"/>
        <v>0</v>
      </c>
    </row>
    <row r="408" spans="1:19">
      <c r="A408" s="665">
        <f>面积明细表!C387</f>
        <v>0</v>
      </c>
      <c r="B408" s="54"/>
      <c r="C408" s="21">
        <f t="shared" si="66"/>
        <v>1</v>
      </c>
      <c r="D408" s="667"/>
      <c r="E408" s="21">
        <f t="shared" si="67"/>
        <v>1</v>
      </c>
      <c r="F408" s="667"/>
      <c r="G408" s="21">
        <f t="shared" si="68"/>
        <v>1</v>
      </c>
      <c r="H408" s="667"/>
      <c r="I408" s="21">
        <f t="shared" si="69"/>
        <v>1</v>
      </c>
      <c r="J408" s="667"/>
      <c r="K408" s="21">
        <f t="shared" si="70"/>
        <v>1</v>
      </c>
      <c r="L408" s="667"/>
      <c r="M408" s="21">
        <f t="shared" si="71"/>
        <v>1</v>
      </c>
      <c r="N408" s="667"/>
      <c r="O408" s="21">
        <f t="shared" si="72"/>
        <v>1</v>
      </c>
      <c r="P408" s="667"/>
      <c r="Q408" s="21">
        <f t="shared" si="73"/>
        <v>1</v>
      </c>
      <c r="R408" s="663">
        <f t="shared" si="74"/>
        <v>0</v>
      </c>
      <c r="S408" s="316">
        <f t="shared" si="75"/>
        <v>0</v>
      </c>
    </row>
    <row r="409" spans="1:19">
      <c r="A409" s="665">
        <f>面积明细表!C388</f>
        <v>0</v>
      </c>
      <c r="B409" s="54"/>
      <c r="C409" s="21">
        <f t="shared" si="66"/>
        <v>1</v>
      </c>
      <c r="D409" s="667"/>
      <c r="E409" s="21">
        <f t="shared" si="67"/>
        <v>1</v>
      </c>
      <c r="F409" s="667"/>
      <c r="G409" s="21">
        <f t="shared" si="68"/>
        <v>1</v>
      </c>
      <c r="H409" s="667"/>
      <c r="I409" s="21">
        <f t="shared" si="69"/>
        <v>1</v>
      </c>
      <c r="J409" s="667"/>
      <c r="K409" s="21">
        <f t="shared" si="70"/>
        <v>1</v>
      </c>
      <c r="L409" s="667"/>
      <c r="M409" s="21">
        <f t="shared" si="71"/>
        <v>1</v>
      </c>
      <c r="N409" s="667"/>
      <c r="O409" s="21">
        <f t="shared" si="72"/>
        <v>1</v>
      </c>
      <c r="P409" s="667"/>
      <c r="Q409" s="21">
        <f t="shared" si="73"/>
        <v>1</v>
      </c>
      <c r="R409" s="663">
        <f t="shared" si="74"/>
        <v>0</v>
      </c>
      <c r="S409" s="316">
        <f t="shared" si="75"/>
        <v>0</v>
      </c>
    </row>
    <row r="410" spans="1:19">
      <c r="A410" s="665">
        <f>面积明细表!C389</f>
        <v>0</v>
      </c>
      <c r="B410" s="54"/>
      <c r="C410" s="21">
        <f t="shared" ref="C410:C473" si="76">IF(B410="",1,(LOOKUP(B410,$3:$3,$4:$4)-LOOKUP($B$24,$3:$3,$4:$4)+100)/100)</f>
        <v>1</v>
      </c>
      <c r="D410" s="667"/>
      <c r="E410" s="21">
        <f t="shared" ref="E410:E473" si="77">(SUMIF($5:$5,D410,$6:$6)-SUMIF($5:$5,$D$24,$6:$6)+100)/100</f>
        <v>1</v>
      </c>
      <c r="F410" s="667"/>
      <c r="G410" s="21">
        <f t="shared" ref="G410:G473" si="78">(SUMIF($7:$7,F410,$8:$8)-SUMIF($7:$7,$F$24,$8:$8)+100)/100</f>
        <v>1</v>
      </c>
      <c r="H410" s="667"/>
      <c r="I410" s="21">
        <f t="shared" ref="I410:I473" si="79">(SUMIF($9:$9,H410,$10:$10)-SUMIF($9:$9,$H$24,$10:$10)+100)/100</f>
        <v>1</v>
      </c>
      <c r="J410" s="667"/>
      <c r="K410" s="21">
        <f t="shared" ref="K410:K473" si="80">(SUMIF($11:$11,J410,$12:$12)-SUMIF($11:$11,$J$24,$12:$12)+100)/100</f>
        <v>1</v>
      </c>
      <c r="L410" s="667"/>
      <c r="M410" s="21">
        <f t="shared" ref="M410:M473" si="81">(SUMIF($13:$13,L410,$14:$14)-SUMIF($13:$13,$L$24,$14:$14)+100)/100</f>
        <v>1</v>
      </c>
      <c r="N410" s="667"/>
      <c r="O410" s="21">
        <f t="shared" ref="O410:O473" si="82">(SUMIF($15:$15,N410,$16:$16)-SUMIF($15:$15,$N$24,$16:$16)+100)/100</f>
        <v>1</v>
      </c>
      <c r="P410" s="667"/>
      <c r="Q410" s="21">
        <f t="shared" ref="Q410:Q473" si="83">(SUMIF($17:$17,P410,$18:$18)-SUMIF($17:$17,$P$24,$18:$18)+100)/100</f>
        <v>1</v>
      </c>
      <c r="R410" s="663">
        <f t="shared" ref="R410:R473" si="84">IF(B410="",0,ROUND($R$24*C410*E410*G410*I410*K410*M410*O410*Q410,0))</f>
        <v>0</v>
      </c>
      <c r="S410" s="316">
        <f t="shared" si="75"/>
        <v>0</v>
      </c>
    </row>
    <row r="411" spans="1:19">
      <c r="A411" s="665">
        <f>面积明细表!C390</f>
        <v>0</v>
      </c>
      <c r="B411" s="54"/>
      <c r="C411" s="21">
        <f t="shared" si="76"/>
        <v>1</v>
      </c>
      <c r="D411" s="667"/>
      <c r="E411" s="21">
        <f t="shared" si="77"/>
        <v>1</v>
      </c>
      <c r="F411" s="667"/>
      <c r="G411" s="21">
        <f t="shared" si="78"/>
        <v>1</v>
      </c>
      <c r="H411" s="667"/>
      <c r="I411" s="21">
        <f t="shared" si="79"/>
        <v>1</v>
      </c>
      <c r="J411" s="667"/>
      <c r="K411" s="21">
        <f t="shared" si="80"/>
        <v>1</v>
      </c>
      <c r="L411" s="667"/>
      <c r="M411" s="21">
        <f t="shared" si="81"/>
        <v>1</v>
      </c>
      <c r="N411" s="667"/>
      <c r="O411" s="21">
        <f t="shared" si="82"/>
        <v>1</v>
      </c>
      <c r="P411" s="667"/>
      <c r="Q411" s="21">
        <f t="shared" si="83"/>
        <v>1</v>
      </c>
      <c r="R411" s="663">
        <f t="shared" si="84"/>
        <v>0</v>
      </c>
      <c r="S411" s="316">
        <f t="shared" si="75"/>
        <v>0</v>
      </c>
    </row>
    <row r="412" spans="1:19">
      <c r="A412" s="665">
        <f>面积明细表!C391</f>
        <v>0</v>
      </c>
      <c r="B412" s="54"/>
      <c r="C412" s="21">
        <f t="shared" si="76"/>
        <v>1</v>
      </c>
      <c r="D412" s="667"/>
      <c r="E412" s="21">
        <f t="shared" si="77"/>
        <v>1</v>
      </c>
      <c r="F412" s="667"/>
      <c r="G412" s="21">
        <f t="shared" si="78"/>
        <v>1</v>
      </c>
      <c r="H412" s="667"/>
      <c r="I412" s="21">
        <f t="shared" si="79"/>
        <v>1</v>
      </c>
      <c r="J412" s="667"/>
      <c r="K412" s="21">
        <f t="shared" si="80"/>
        <v>1</v>
      </c>
      <c r="L412" s="667"/>
      <c r="M412" s="21">
        <f t="shared" si="81"/>
        <v>1</v>
      </c>
      <c r="N412" s="667"/>
      <c r="O412" s="21">
        <f t="shared" si="82"/>
        <v>1</v>
      </c>
      <c r="P412" s="667"/>
      <c r="Q412" s="21">
        <f t="shared" si="83"/>
        <v>1</v>
      </c>
      <c r="R412" s="663">
        <f t="shared" si="84"/>
        <v>0</v>
      </c>
      <c r="S412" s="316">
        <f t="shared" si="75"/>
        <v>0</v>
      </c>
    </row>
    <row r="413" spans="1:19">
      <c r="A413" s="665">
        <f>面积明细表!C392</f>
        <v>0</v>
      </c>
      <c r="B413" s="54"/>
      <c r="C413" s="21">
        <f t="shared" si="76"/>
        <v>1</v>
      </c>
      <c r="D413" s="667"/>
      <c r="E413" s="21">
        <f t="shared" si="77"/>
        <v>1</v>
      </c>
      <c r="F413" s="667"/>
      <c r="G413" s="21">
        <f t="shared" si="78"/>
        <v>1</v>
      </c>
      <c r="H413" s="667"/>
      <c r="I413" s="21">
        <f t="shared" si="79"/>
        <v>1</v>
      </c>
      <c r="J413" s="667"/>
      <c r="K413" s="21">
        <f t="shared" si="80"/>
        <v>1</v>
      </c>
      <c r="L413" s="667"/>
      <c r="M413" s="21">
        <f t="shared" si="81"/>
        <v>1</v>
      </c>
      <c r="N413" s="667"/>
      <c r="O413" s="21">
        <f t="shared" si="82"/>
        <v>1</v>
      </c>
      <c r="P413" s="667"/>
      <c r="Q413" s="21">
        <f t="shared" si="83"/>
        <v>1</v>
      </c>
      <c r="R413" s="663">
        <f t="shared" si="84"/>
        <v>0</v>
      </c>
      <c r="S413" s="316">
        <f t="shared" si="75"/>
        <v>0</v>
      </c>
    </row>
    <row r="414" spans="1:19">
      <c r="A414" s="665">
        <f>面积明细表!C393</f>
        <v>0</v>
      </c>
      <c r="B414" s="54"/>
      <c r="C414" s="21">
        <f t="shared" si="76"/>
        <v>1</v>
      </c>
      <c r="D414" s="667"/>
      <c r="E414" s="21">
        <f t="shared" si="77"/>
        <v>1</v>
      </c>
      <c r="F414" s="667"/>
      <c r="G414" s="21">
        <f t="shared" si="78"/>
        <v>1</v>
      </c>
      <c r="H414" s="667"/>
      <c r="I414" s="21">
        <f t="shared" si="79"/>
        <v>1</v>
      </c>
      <c r="J414" s="667"/>
      <c r="K414" s="21">
        <f t="shared" si="80"/>
        <v>1</v>
      </c>
      <c r="L414" s="667"/>
      <c r="M414" s="21">
        <f t="shared" si="81"/>
        <v>1</v>
      </c>
      <c r="N414" s="667"/>
      <c r="O414" s="21">
        <f t="shared" si="82"/>
        <v>1</v>
      </c>
      <c r="P414" s="667"/>
      <c r="Q414" s="21">
        <f t="shared" si="83"/>
        <v>1</v>
      </c>
      <c r="R414" s="663">
        <f t="shared" si="84"/>
        <v>0</v>
      </c>
      <c r="S414" s="316">
        <f t="shared" si="75"/>
        <v>0</v>
      </c>
    </row>
    <row r="415" spans="1:19">
      <c r="A415" s="665">
        <f>面积明细表!C394</f>
        <v>0</v>
      </c>
      <c r="B415" s="54"/>
      <c r="C415" s="21">
        <f t="shared" si="76"/>
        <v>1</v>
      </c>
      <c r="D415" s="667"/>
      <c r="E415" s="21">
        <f t="shared" si="77"/>
        <v>1</v>
      </c>
      <c r="F415" s="667"/>
      <c r="G415" s="21">
        <f t="shared" si="78"/>
        <v>1</v>
      </c>
      <c r="H415" s="667"/>
      <c r="I415" s="21">
        <f t="shared" si="79"/>
        <v>1</v>
      </c>
      <c r="J415" s="667"/>
      <c r="K415" s="21">
        <f t="shared" si="80"/>
        <v>1</v>
      </c>
      <c r="L415" s="667"/>
      <c r="M415" s="21">
        <f t="shared" si="81"/>
        <v>1</v>
      </c>
      <c r="N415" s="667"/>
      <c r="O415" s="21">
        <f t="shared" si="82"/>
        <v>1</v>
      </c>
      <c r="P415" s="667"/>
      <c r="Q415" s="21">
        <f t="shared" si="83"/>
        <v>1</v>
      </c>
      <c r="R415" s="663">
        <f t="shared" si="84"/>
        <v>0</v>
      </c>
      <c r="S415" s="316">
        <f t="shared" si="75"/>
        <v>0</v>
      </c>
    </row>
    <row r="416" spans="1:19">
      <c r="A416" s="665">
        <f>面积明细表!C395</f>
        <v>0</v>
      </c>
      <c r="B416" s="54"/>
      <c r="C416" s="21">
        <f t="shared" si="76"/>
        <v>1</v>
      </c>
      <c r="D416" s="667"/>
      <c r="E416" s="21">
        <f t="shared" si="77"/>
        <v>1</v>
      </c>
      <c r="F416" s="667"/>
      <c r="G416" s="21">
        <f t="shared" si="78"/>
        <v>1</v>
      </c>
      <c r="H416" s="667"/>
      <c r="I416" s="21">
        <f t="shared" si="79"/>
        <v>1</v>
      </c>
      <c r="J416" s="667"/>
      <c r="K416" s="21">
        <f t="shared" si="80"/>
        <v>1</v>
      </c>
      <c r="L416" s="667"/>
      <c r="M416" s="21">
        <f t="shared" si="81"/>
        <v>1</v>
      </c>
      <c r="N416" s="667"/>
      <c r="O416" s="21">
        <f t="shared" si="82"/>
        <v>1</v>
      </c>
      <c r="P416" s="667"/>
      <c r="Q416" s="21">
        <f t="shared" si="83"/>
        <v>1</v>
      </c>
      <c r="R416" s="663">
        <f t="shared" si="84"/>
        <v>0</v>
      </c>
      <c r="S416" s="316">
        <f t="shared" si="75"/>
        <v>0</v>
      </c>
    </row>
    <row r="417" spans="1:19">
      <c r="A417" s="665">
        <f>面积明细表!C396</f>
        <v>0</v>
      </c>
      <c r="B417" s="54"/>
      <c r="C417" s="21">
        <f t="shared" si="76"/>
        <v>1</v>
      </c>
      <c r="D417" s="667"/>
      <c r="E417" s="21">
        <f t="shared" si="77"/>
        <v>1</v>
      </c>
      <c r="F417" s="667"/>
      <c r="G417" s="21">
        <f t="shared" si="78"/>
        <v>1</v>
      </c>
      <c r="H417" s="667"/>
      <c r="I417" s="21">
        <f t="shared" si="79"/>
        <v>1</v>
      </c>
      <c r="J417" s="667"/>
      <c r="K417" s="21">
        <f t="shared" si="80"/>
        <v>1</v>
      </c>
      <c r="L417" s="667"/>
      <c r="M417" s="21">
        <f t="shared" si="81"/>
        <v>1</v>
      </c>
      <c r="N417" s="667"/>
      <c r="O417" s="21">
        <f t="shared" si="82"/>
        <v>1</v>
      </c>
      <c r="P417" s="667"/>
      <c r="Q417" s="21">
        <f t="shared" si="83"/>
        <v>1</v>
      </c>
      <c r="R417" s="663">
        <f t="shared" si="84"/>
        <v>0</v>
      </c>
      <c r="S417" s="316">
        <f t="shared" si="75"/>
        <v>0</v>
      </c>
    </row>
    <row r="418" spans="1:19">
      <c r="A418" s="665">
        <f>面积明细表!C397</f>
        <v>0</v>
      </c>
      <c r="B418" s="54"/>
      <c r="C418" s="21">
        <f t="shared" si="76"/>
        <v>1</v>
      </c>
      <c r="D418" s="667"/>
      <c r="E418" s="21">
        <f t="shared" si="77"/>
        <v>1</v>
      </c>
      <c r="F418" s="667"/>
      <c r="G418" s="21">
        <f t="shared" si="78"/>
        <v>1</v>
      </c>
      <c r="H418" s="667"/>
      <c r="I418" s="21">
        <f t="shared" si="79"/>
        <v>1</v>
      </c>
      <c r="J418" s="667"/>
      <c r="K418" s="21">
        <f t="shared" si="80"/>
        <v>1</v>
      </c>
      <c r="L418" s="667"/>
      <c r="M418" s="21">
        <f t="shared" si="81"/>
        <v>1</v>
      </c>
      <c r="N418" s="667"/>
      <c r="O418" s="21">
        <f t="shared" si="82"/>
        <v>1</v>
      </c>
      <c r="P418" s="667"/>
      <c r="Q418" s="21">
        <f t="shared" si="83"/>
        <v>1</v>
      </c>
      <c r="R418" s="663">
        <f t="shared" si="84"/>
        <v>0</v>
      </c>
      <c r="S418" s="316">
        <f t="shared" si="75"/>
        <v>0</v>
      </c>
    </row>
    <row r="419" spans="1:19">
      <c r="A419" s="665">
        <f>面积明细表!C398</f>
        <v>0</v>
      </c>
      <c r="B419" s="54"/>
      <c r="C419" s="21">
        <f t="shared" si="76"/>
        <v>1</v>
      </c>
      <c r="D419" s="667"/>
      <c r="E419" s="21">
        <f t="shared" si="77"/>
        <v>1</v>
      </c>
      <c r="F419" s="667"/>
      <c r="G419" s="21">
        <f t="shared" si="78"/>
        <v>1</v>
      </c>
      <c r="H419" s="667"/>
      <c r="I419" s="21">
        <f t="shared" si="79"/>
        <v>1</v>
      </c>
      <c r="J419" s="667"/>
      <c r="K419" s="21">
        <f t="shared" si="80"/>
        <v>1</v>
      </c>
      <c r="L419" s="667"/>
      <c r="M419" s="21">
        <f t="shared" si="81"/>
        <v>1</v>
      </c>
      <c r="N419" s="667"/>
      <c r="O419" s="21">
        <f t="shared" si="82"/>
        <v>1</v>
      </c>
      <c r="P419" s="667"/>
      <c r="Q419" s="21">
        <f t="shared" si="83"/>
        <v>1</v>
      </c>
      <c r="R419" s="663">
        <f t="shared" si="84"/>
        <v>0</v>
      </c>
      <c r="S419" s="316">
        <f t="shared" si="75"/>
        <v>0</v>
      </c>
    </row>
    <row r="420" spans="1:19">
      <c r="A420" s="665">
        <f>面积明细表!C399</f>
        <v>0</v>
      </c>
      <c r="B420" s="54"/>
      <c r="C420" s="21">
        <f t="shared" si="76"/>
        <v>1</v>
      </c>
      <c r="D420" s="667"/>
      <c r="E420" s="21">
        <f t="shared" si="77"/>
        <v>1</v>
      </c>
      <c r="F420" s="667"/>
      <c r="G420" s="21">
        <f t="shared" si="78"/>
        <v>1</v>
      </c>
      <c r="H420" s="667"/>
      <c r="I420" s="21">
        <f t="shared" si="79"/>
        <v>1</v>
      </c>
      <c r="J420" s="667"/>
      <c r="K420" s="21">
        <f t="shared" si="80"/>
        <v>1</v>
      </c>
      <c r="L420" s="667"/>
      <c r="M420" s="21">
        <f t="shared" si="81"/>
        <v>1</v>
      </c>
      <c r="N420" s="667"/>
      <c r="O420" s="21">
        <f t="shared" si="82"/>
        <v>1</v>
      </c>
      <c r="P420" s="667"/>
      <c r="Q420" s="21">
        <f t="shared" si="83"/>
        <v>1</v>
      </c>
      <c r="R420" s="663">
        <f t="shared" si="84"/>
        <v>0</v>
      </c>
      <c r="S420" s="316">
        <f t="shared" si="75"/>
        <v>0</v>
      </c>
    </row>
    <row r="421" spans="1:19">
      <c r="A421" s="665">
        <f>面积明细表!C400</f>
        <v>0</v>
      </c>
      <c r="B421" s="54"/>
      <c r="C421" s="21">
        <f t="shared" si="76"/>
        <v>1</v>
      </c>
      <c r="D421" s="667"/>
      <c r="E421" s="21">
        <f t="shared" si="77"/>
        <v>1</v>
      </c>
      <c r="F421" s="667"/>
      <c r="G421" s="21">
        <f t="shared" si="78"/>
        <v>1</v>
      </c>
      <c r="H421" s="667"/>
      <c r="I421" s="21">
        <f t="shared" si="79"/>
        <v>1</v>
      </c>
      <c r="J421" s="667"/>
      <c r="K421" s="21">
        <f t="shared" si="80"/>
        <v>1</v>
      </c>
      <c r="L421" s="667"/>
      <c r="M421" s="21">
        <f t="shared" si="81"/>
        <v>1</v>
      </c>
      <c r="N421" s="667"/>
      <c r="O421" s="21">
        <f t="shared" si="82"/>
        <v>1</v>
      </c>
      <c r="P421" s="667"/>
      <c r="Q421" s="21">
        <f t="shared" si="83"/>
        <v>1</v>
      </c>
      <c r="R421" s="663">
        <f t="shared" si="84"/>
        <v>0</v>
      </c>
      <c r="S421" s="316">
        <f t="shared" si="75"/>
        <v>0</v>
      </c>
    </row>
    <row r="422" spans="1:19">
      <c r="A422" s="665">
        <f>面积明细表!C401</f>
        <v>0</v>
      </c>
      <c r="B422" s="54"/>
      <c r="C422" s="21">
        <f t="shared" si="76"/>
        <v>1</v>
      </c>
      <c r="D422" s="667"/>
      <c r="E422" s="21">
        <f t="shared" si="77"/>
        <v>1</v>
      </c>
      <c r="F422" s="667"/>
      <c r="G422" s="21">
        <f t="shared" si="78"/>
        <v>1</v>
      </c>
      <c r="H422" s="667"/>
      <c r="I422" s="21">
        <f t="shared" si="79"/>
        <v>1</v>
      </c>
      <c r="J422" s="667"/>
      <c r="K422" s="21">
        <f t="shared" si="80"/>
        <v>1</v>
      </c>
      <c r="L422" s="667"/>
      <c r="M422" s="21">
        <f t="shared" si="81"/>
        <v>1</v>
      </c>
      <c r="N422" s="667"/>
      <c r="O422" s="21">
        <f t="shared" si="82"/>
        <v>1</v>
      </c>
      <c r="P422" s="667"/>
      <c r="Q422" s="21">
        <f t="shared" si="83"/>
        <v>1</v>
      </c>
      <c r="R422" s="663">
        <f t="shared" si="84"/>
        <v>0</v>
      </c>
      <c r="S422" s="316">
        <f t="shared" si="75"/>
        <v>0</v>
      </c>
    </row>
    <row r="423" spans="1:19">
      <c r="A423" s="665">
        <f>面积明细表!C402</f>
        <v>0</v>
      </c>
      <c r="B423" s="54"/>
      <c r="C423" s="21">
        <f t="shared" si="76"/>
        <v>1</v>
      </c>
      <c r="D423" s="667"/>
      <c r="E423" s="21">
        <f t="shared" si="77"/>
        <v>1</v>
      </c>
      <c r="F423" s="667"/>
      <c r="G423" s="21">
        <f t="shared" si="78"/>
        <v>1</v>
      </c>
      <c r="H423" s="667"/>
      <c r="I423" s="21">
        <f t="shared" si="79"/>
        <v>1</v>
      </c>
      <c r="J423" s="667"/>
      <c r="K423" s="21">
        <f t="shared" si="80"/>
        <v>1</v>
      </c>
      <c r="L423" s="667"/>
      <c r="M423" s="21">
        <f t="shared" si="81"/>
        <v>1</v>
      </c>
      <c r="N423" s="667"/>
      <c r="O423" s="21">
        <f t="shared" si="82"/>
        <v>1</v>
      </c>
      <c r="P423" s="667"/>
      <c r="Q423" s="21">
        <f t="shared" si="83"/>
        <v>1</v>
      </c>
      <c r="R423" s="663">
        <f t="shared" si="84"/>
        <v>0</v>
      </c>
      <c r="S423" s="316">
        <f t="shared" ref="S423:S467" si="85">ROUND(R423*B423/10000,0)</f>
        <v>0</v>
      </c>
    </row>
    <row r="424" spans="1:19">
      <c r="A424" s="665">
        <f>面积明细表!C403</f>
        <v>0</v>
      </c>
      <c r="B424" s="54"/>
      <c r="C424" s="21">
        <f t="shared" si="76"/>
        <v>1</v>
      </c>
      <c r="D424" s="667"/>
      <c r="E424" s="21">
        <f t="shared" si="77"/>
        <v>1</v>
      </c>
      <c r="F424" s="667"/>
      <c r="G424" s="21">
        <f t="shared" si="78"/>
        <v>1</v>
      </c>
      <c r="H424" s="667"/>
      <c r="I424" s="21">
        <f t="shared" si="79"/>
        <v>1</v>
      </c>
      <c r="J424" s="667"/>
      <c r="K424" s="21">
        <f t="shared" si="80"/>
        <v>1</v>
      </c>
      <c r="L424" s="667"/>
      <c r="M424" s="21">
        <f t="shared" si="81"/>
        <v>1</v>
      </c>
      <c r="N424" s="667"/>
      <c r="O424" s="21">
        <f t="shared" si="82"/>
        <v>1</v>
      </c>
      <c r="P424" s="667"/>
      <c r="Q424" s="21">
        <f t="shared" si="83"/>
        <v>1</v>
      </c>
      <c r="R424" s="663">
        <f t="shared" si="84"/>
        <v>0</v>
      </c>
      <c r="S424" s="316">
        <f t="shared" si="85"/>
        <v>0</v>
      </c>
    </row>
    <row r="425" spans="1:19">
      <c r="A425" s="665">
        <f>面积明细表!C404</f>
        <v>0</v>
      </c>
      <c r="B425" s="54"/>
      <c r="C425" s="21">
        <f t="shared" si="76"/>
        <v>1</v>
      </c>
      <c r="D425" s="667"/>
      <c r="E425" s="21">
        <f t="shared" si="77"/>
        <v>1</v>
      </c>
      <c r="F425" s="667"/>
      <c r="G425" s="21">
        <f t="shared" si="78"/>
        <v>1</v>
      </c>
      <c r="H425" s="667"/>
      <c r="I425" s="21">
        <f t="shared" si="79"/>
        <v>1</v>
      </c>
      <c r="J425" s="667"/>
      <c r="K425" s="21">
        <f t="shared" si="80"/>
        <v>1</v>
      </c>
      <c r="L425" s="667"/>
      <c r="M425" s="21">
        <f t="shared" si="81"/>
        <v>1</v>
      </c>
      <c r="N425" s="667"/>
      <c r="O425" s="21">
        <f t="shared" si="82"/>
        <v>1</v>
      </c>
      <c r="P425" s="667"/>
      <c r="Q425" s="21">
        <f t="shared" si="83"/>
        <v>1</v>
      </c>
      <c r="R425" s="663">
        <f t="shared" si="84"/>
        <v>0</v>
      </c>
      <c r="S425" s="316">
        <f t="shared" si="85"/>
        <v>0</v>
      </c>
    </row>
    <row r="426" spans="1:19">
      <c r="A426" s="665">
        <f>面积明细表!C405</f>
        <v>0</v>
      </c>
      <c r="B426" s="54"/>
      <c r="C426" s="21">
        <f t="shared" si="76"/>
        <v>1</v>
      </c>
      <c r="D426" s="667"/>
      <c r="E426" s="21">
        <f t="shared" si="77"/>
        <v>1</v>
      </c>
      <c r="F426" s="667"/>
      <c r="G426" s="21">
        <f t="shared" si="78"/>
        <v>1</v>
      </c>
      <c r="H426" s="667"/>
      <c r="I426" s="21">
        <f t="shared" si="79"/>
        <v>1</v>
      </c>
      <c r="J426" s="667"/>
      <c r="K426" s="21">
        <f t="shared" si="80"/>
        <v>1</v>
      </c>
      <c r="L426" s="667"/>
      <c r="M426" s="21">
        <f t="shared" si="81"/>
        <v>1</v>
      </c>
      <c r="N426" s="667"/>
      <c r="O426" s="21">
        <f t="shared" si="82"/>
        <v>1</v>
      </c>
      <c r="P426" s="667"/>
      <c r="Q426" s="21">
        <f t="shared" si="83"/>
        <v>1</v>
      </c>
      <c r="R426" s="663">
        <f t="shared" si="84"/>
        <v>0</v>
      </c>
      <c r="S426" s="316">
        <f t="shared" si="85"/>
        <v>0</v>
      </c>
    </row>
    <row r="427" spans="1:19">
      <c r="A427" s="665">
        <f>面积明细表!C406</f>
        <v>0</v>
      </c>
      <c r="B427" s="54"/>
      <c r="C427" s="21">
        <f t="shared" si="76"/>
        <v>1</v>
      </c>
      <c r="D427" s="667"/>
      <c r="E427" s="21">
        <f t="shared" si="77"/>
        <v>1</v>
      </c>
      <c r="F427" s="667"/>
      <c r="G427" s="21">
        <f t="shared" si="78"/>
        <v>1</v>
      </c>
      <c r="H427" s="667"/>
      <c r="I427" s="21">
        <f t="shared" si="79"/>
        <v>1</v>
      </c>
      <c r="J427" s="667"/>
      <c r="K427" s="21">
        <f t="shared" si="80"/>
        <v>1</v>
      </c>
      <c r="L427" s="667"/>
      <c r="M427" s="21">
        <f t="shared" si="81"/>
        <v>1</v>
      </c>
      <c r="N427" s="667"/>
      <c r="O427" s="21">
        <f t="shared" si="82"/>
        <v>1</v>
      </c>
      <c r="P427" s="667"/>
      <c r="Q427" s="21">
        <f t="shared" si="83"/>
        <v>1</v>
      </c>
      <c r="R427" s="663">
        <f t="shared" si="84"/>
        <v>0</v>
      </c>
      <c r="S427" s="316">
        <f t="shared" si="85"/>
        <v>0</v>
      </c>
    </row>
    <row r="428" spans="1:19">
      <c r="A428" s="665">
        <f>面积明细表!C407</f>
        <v>0</v>
      </c>
      <c r="B428" s="54"/>
      <c r="C428" s="21">
        <f t="shared" si="76"/>
        <v>1</v>
      </c>
      <c r="D428" s="667"/>
      <c r="E428" s="21">
        <f t="shared" si="77"/>
        <v>1</v>
      </c>
      <c r="F428" s="667"/>
      <c r="G428" s="21">
        <f t="shared" si="78"/>
        <v>1</v>
      </c>
      <c r="H428" s="667"/>
      <c r="I428" s="21">
        <f t="shared" si="79"/>
        <v>1</v>
      </c>
      <c r="J428" s="667"/>
      <c r="K428" s="21">
        <f t="shared" si="80"/>
        <v>1</v>
      </c>
      <c r="L428" s="667"/>
      <c r="M428" s="21">
        <f t="shared" si="81"/>
        <v>1</v>
      </c>
      <c r="N428" s="667"/>
      <c r="O428" s="21">
        <f t="shared" si="82"/>
        <v>1</v>
      </c>
      <c r="P428" s="667"/>
      <c r="Q428" s="21">
        <f t="shared" si="83"/>
        <v>1</v>
      </c>
      <c r="R428" s="663">
        <f t="shared" si="84"/>
        <v>0</v>
      </c>
      <c r="S428" s="316">
        <f t="shared" si="85"/>
        <v>0</v>
      </c>
    </row>
    <row r="429" spans="1:19">
      <c r="A429" s="665">
        <f>面积明细表!C408</f>
        <v>0</v>
      </c>
      <c r="B429" s="54"/>
      <c r="C429" s="21">
        <f t="shared" si="76"/>
        <v>1</v>
      </c>
      <c r="D429" s="667"/>
      <c r="E429" s="21">
        <f t="shared" si="77"/>
        <v>1</v>
      </c>
      <c r="F429" s="667"/>
      <c r="G429" s="21">
        <f t="shared" si="78"/>
        <v>1</v>
      </c>
      <c r="H429" s="667"/>
      <c r="I429" s="21">
        <f t="shared" si="79"/>
        <v>1</v>
      </c>
      <c r="J429" s="667"/>
      <c r="K429" s="21">
        <f t="shared" si="80"/>
        <v>1</v>
      </c>
      <c r="L429" s="667"/>
      <c r="M429" s="21">
        <f t="shared" si="81"/>
        <v>1</v>
      </c>
      <c r="N429" s="667"/>
      <c r="O429" s="21">
        <f t="shared" si="82"/>
        <v>1</v>
      </c>
      <c r="P429" s="667"/>
      <c r="Q429" s="21">
        <f t="shared" si="83"/>
        <v>1</v>
      </c>
      <c r="R429" s="663">
        <f t="shared" si="84"/>
        <v>0</v>
      </c>
      <c r="S429" s="316">
        <f t="shared" si="85"/>
        <v>0</v>
      </c>
    </row>
    <row r="430" spans="1:19">
      <c r="A430" s="665">
        <f>面积明细表!C409</f>
        <v>0</v>
      </c>
      <c r="B430" s="54"/>
      <c r="C430" s="21">
        <f t="shared" si="76"/>
        <v>1</v>
      </c>
      <c r="D430" s="667"/>
      <c r="E430" s="21">
        <f t="shared" si="77"/>
        <v>1</v>
      </c>
      <c r="F430" s="667"/>
      <c r="G430" s="21">
        <f t="shared" si="78"/>
        <v>1</v>
      </c>
      <c r="H430" s="667"/>
      <c r="I430" s="21">
        <f t="shared" si="79"/>
        <v>1</v>
      </c>
      <c r="J430" s="667"/>
      <c r="K430" s="21">
        <f t="shared" si="80"/>
        <v>1</v>
      </c>
      <c r="L430" s="667"/>
      <c r="M430" s="21">
        <f t="shared" si="81"/>
        <v>1</v>
      </c>
      <c r="N430" s="667"/>
      <c r="O430" s="21">
        <f t="shared" si="82"/>
        <v>1</v>
      </c>
      <c r="P430" s="667"/>
      <c r="Q430" s="21">
        <f t="shared" si="83"/>
        <v>1</v>
      </c>
      <c r="R430" s="663">
        <f t="shared" si="84"/>
        <v>0</v>
      </c>
      <c r="S430" s="316">
        <f t="shared" si="85"/>
        <v>0</v>
      </c>
    </row>
    <row r="431" spans="1:19">
      <c r="A431" s="665">
        <f>面积明细表!C410</f>
        <v>0</v>
      </c>
      <c r="B431" s="54"/>
      <c r="C431" s="21">
        <f t="shared" si="76"/>
        <v>1</v>
      </c>
      <c r="D431" s="667"/>
      <c r="E431" s="21">
        <f t="shared" si="77"/>
        <v>1</v>
      </c>
      <c r="F431" s="667"/>
      <c r="G431" s="21">
        <f t="shared" si="78"/>
        <v>1</v>
      </c>
      <c r="H431" s="667"/>
      <c r="I431" s="21">
        <f t="shared" si="79"/>
        <v>1</v>
      </c>
      <c r="J431" s="667"/>
      <c r="K431" s="21">
        <f t="shared" si="80"/>
        <v>1</v>
      </c>
      <c r="L431" s="667"/>
      <c r="M431" s="21">
        <f t="shared" si="81"/>
        <v>1</v>
      </c>
      <c r="N431" s="667"/>
      <c r="O431" s="21">
        <f t="shared" si="82"/>
        <v>1</v>
      </c>
      <c r="P431" s="667"/>
      <c r="Q431" s="21">
        <f t="shared" si="83"/>
        <v>1</v>
      </c>
      <c r="R431" s="663">
        <f t="shared" si="84"/>
        <v>0</v>
      </c>
      <c r="S431" s="316">
        <f t="shared" si="85"/>
        <v>0</v>
      </c>
    </row>
    <row r="432" spans="1:19">
      <c r="A432" s="665">
        <f>面积明细表!C411</f>
        <v>0</v>
      </c>
      <c r="B432" s="54"/>
      <c r="C432" s="21">
        <f t="shared" si="76"/>
        <v>1</v>
      </c>
      <c r="D432" s="667"/>
      <c r="E432" s="21">
        <f t="shared" si="77"/>
        <v>1</v>
      </c>
      <c r="F432" s="667"/>
      <c r="G432" s="21">
        <f t="shared" si="78"/>
        <v>1</v>
      </c>
      <c r="H432" s="667"/>
      <c r="I432" s="21">
        <f t="shared" si="79"/>
        <v>1</v>
      </c>
      <c r="J432" s="667"/>
      <c r="K432" s="21">
        <f t="shared" si="80"/>
        <v>1</v>
      </c>
      <c r="L432" s="667"/>
      <c r="M432" s="21">
        <f t="shared" si="81"/>
        <v>1</v>
      </c>
      <c r="N432" s="667"/>
      <c r="O432" s="21">
        <f t="shared" si="82"/>
        <v>1</v>
      </c>
      <c r="P432" s="667"/>
      <c r="Q432" s="21">
        <f t="shared" si="83"/>
        <v>1</v>
      </c>
      <c r="R432" s="663">
        <f t="shared" si="84"/>
        <v>0</v>
      </c>
      <c r="S432" s="316">
        <f t="shared" si="85"/>
        <v>0</v>
      </c>
    </row>
    <row r="433" spans="1:19">
      <c r="A433" s="665">
        <f>面积明细表!C412</f>
        <v>0</v>
      </c>
      <c r="B433" s="54"/>
      <c r="C433" s="21">
        <f t="shared" si="76"/>
        <v>1</v>
      </c>
      <c r="D433" s="667"/>
      <c r="E433" s="21">
        <f t="shared" si="77"/>
        <v>1</v>
      </c>
      <c r="F433" s="667"/>
      <c r="G433" s="21">
        <f t="shared" si="78"/>
        <v>1</v>
      </c>
      <c r="H433" s="667"/>
      <c r="I433" s="21">
        <f t="shared" si="79"/>
        <v>1</v>
      </c>
      <c r="J433" s="667"/>
      <c r="K433" s="21">
        <f t="shared" si="80"/>
        <v>1</v>
      </c>
      <c r="L433" s="667"/>
      <c r="M433" s="21">
        <f t="shared" si="81"/>
        <v>1</v>
      </c>
      <c r="N433" s="667"/>
      <c r="O433" s="21">
        <f t="shared" si="82"/>
        <v>1</v>
      </c>
      <c r="P433" s="667"/>
      <c r="Q433" s="21">
        <f t="shared" si="83"/>
        <v>1</v>
      </c>
      <c r="R433" s="663">
        <f t="shared" si="84"/>
        <v>0</v>
      </c>
      <c r="S433" s="316">
        <f t="shared" si="85"/>
        <v>0</v>
      </c>
    </row>
    <row r="434" spans="1:19">
      <c r="A434" s="665">
        <f>面积明细表!C413</f>
        <v>0</v>
      </c>
      <c r="B434" s="54"/>
      <c r="C434" s="21">
        <f t="shared" si="76"/>
        <v>1</v>
      </c>
      <c r="D434" s="667"/>
      <c r="E434" s="21">
        <f t="shared" si="77"/>
        <v>1</v>
      </c>
      <c r="F434" s="667"/>
      <c r="G434" s="21">
        <f t="shared" si="78"/>
        <v>1</v>
      </c>
      <c r="H434" s="667"/>
      <c r="I434" s="21">
        <f t="shared" si="79"/>
        <v>1</v>
      </c>
      <c r="J434" s="667"/>
      <c r="K434" s="21">
        <f t="shared" si="80"/>
        <v>1</v>
      </c>
      <c r="L434" s="667"/>
      <c r="M434" s="21">
        <f t="shared" si="81"/>
        <v>1</v>
      </c>
      <c r="N434" s="667"/>
      <c r="O434" s="21">
        <f t="shared" si="82"/>
        <v>1</v>
      </c>
      <c r="P434" s="667"/>
      <c r="Q434" s="21">
        <f t="shared" si="83"/>
        <v>1</v>
      </c>
      <c r="R434" s="663">
        <f t="shared" si="84"/>
        <v>0</v>
      </c>
      <c r="S434" s="316">
        <f t="shared" si="85"/>
        <v>0</v>
      </c>
    </row>
    <row r="435" spans="1:19">
      <c r="A435" s="665">
        <f>面积明细表!C414</f>
        <v>0</v>
      </c>
      <c r="B435" s="54"/>
      <c r="C435" s="21">
        <f t="shared" si="76"/>
        <v>1</v>
      </c>
      <c r="D435" s="667"/>
      <c r="E435" s="21">
        <f t="shared" si="77"/>
        <v>1</v>
      </c>
      <c r="F435" s="667"/>
      <c r="G435" s="21">
        <f t="shared" si="78"/>
        <v>1</v>
      </c>
      <c r="H435" s="667"/>
      <c r="I435" s="21">
        <f t="shared" si="79"/>
        <v>1</v>
      </c>
      <c r="J435" s="667"/>
      <c r="K435" s="21">
        <f t="shared" si="80"/>
        <v>1</v>
      </c>
      <c r="L435" s="667"/>
      <c r="M435" s="21">
        <f t="shared" si="81"/>
        <v>1</v>
      </c>
      <c r="N435" s="667"/>
      <c r="O435" s="21">
        <f t="shared" si="82"/>
        <v>1</v>
      </c>
      <c r="P435" s="667"/>
      <c r="Q435" s="21">
        <f t="shared" si="83"/>
        <v>1</v>
      </c>
      <c r="R435" s="663">
        <f t="shared" si="84"/>
        <v>0</v>
      </c>
      <c r="S435" s="316">
        <f t="shared" si="85"/>
        <v>0</v>
      </c>
    </row>
    <row r="436" spans="1:19">
      <c r="A436" s="665">
        <f>面积明细表!C415</f>
        <v>0</v>
      </c>
      <c r="B436" s="54"/>
      <c r="C436" s="21">
        <f t="shared" si="76"/>
        <v>1</v>
      </c>
      <c r="D436" s="667"/>
      <c r="E436" s="21">
        <f t="shared" si="77"/>
        <v>1</v>
      </c>
      <c r="F436" s="667"/>
      <c r="G436" s="21">
        <f t="shared" si="78"/>
        <v>1</v>
      </c>
      <c r="H436" s="667"/>
      <c r="I436" s="21">
        <f t="shared" si="79"/>
        <v>1</v>
      </c>
      <c r="J436" s="667"/>
      <c r="K436" s="21">
        <f t="shared" si="80"/>
        <v>1</v>
      </c>
      <c r="L436" s="667"/>
      <c r="M436" s="21">
        <f t="shared" si="81"/>
        <v>1</v>
      </c>
      <c r="N436" s="667"/>
      <c r="O436" s="21">
        <f t="shared" si="82"/>
        <v>1</v>
      </c>
      <c r="P436" s="667"/>
      <c r="Q436" s="21">
        <f t="shared" si="83"/>
        <v>1</v>
      </c>
      <c r="R436" s="663">
        <f t="shared" si="84"/>
        <v>0</v>
      </c>
      <c r="S436" s="316">
        <f t="shared" si="85"/>
        <v>0</v>
      </c>
    </row>
    <row r="437" spans="1:19">
      <c r="A437" s="665">
        <f>面积明细表!C416</f>
        <v>0</v>
      </c>
      <c r="B437" s="54"/>
      <c r="C437" s="21">
        <f t="shared" si="76"/>
        <v>1</v>
      </c>
      <c r="D437" s="667"/>
      <c r="E437" s="21">
        <f t="shared" si="77"/>
        <v>1</v>
      </c>
      <c r="F437" s="667"/>
      <c r="G437" s="21">
        <f t="shared" si="78"/>
        <v>1</v>
      </c>
      <c r="H437" s="667"/>
      <c r="I437" s="21">
        <f t="shared" si="79"/>
        <v>1</v>
      </c>
      <c r="J437" s="667"/>
      <c r="K437" s="21">
        <f t="shared" si="80"/>
        <v>1</v>
      </c>
      <c r="L437" s="667"/>
      <c r="M437" s="21">
        <f t="shared" si="81"/>
        <v>1</v>
      </c>
      <c r="N437" s="667"/>
      <c r="O437" s="21">
        <f t="shared" si="82"/>
        <v>1</v>
      </c>
      <c r="P437" s="667"/>
      <c r="Q437" s="21">
        <f t="shared" si="83"/>
        <v>1</v>
      </c>
      <c r="R437" s="663">
        <f t="shared" si="84"/>
        <v>0</v>
      </c>
      <c r="S437" s="316">
        <f t="shared" si="85"/>
        <v>0</v>
      </c>
    </row>
    <row r="438" spans="1:19">
      <c r="A438" s="665">
        <f>面积明细表!C417</f>
        <v>0</v>
      </c>
      <c r="B438" s="54"/>
      <c r="C438" s="21">
        <f t="shared" si="76"/>
        <v>1</v>
      </c>
      <c r="D438" s="667"/>
      <c r="E438" s="21">
        <f t="shared" si="77"/>
        <v>1</v>
      </c>
      <c r="F438" s="667"/>
      <c r="G438" s="21">
        <f t="shared" si="78"/>
        <v>1</v>
      </c>
      <c r="H438" s="667"/>
      <c r="I438" s="21">
        <f t="shared" si="79"/>
        <v>1</v>
      </c>
      <c r="J438" s="667"/>
      <c r="K438" s="21">
        <f t="shared" si="80"/>
        <v>1</v>
      </c>
      <c r="L438" s="667"/>
      <c r="M438" s="21">
        <f t="shared" si="81"/>
        <v>1</v>
      </c>
      <c r="N438" s="667"/>
      <c r="O438" s="21">
        <f t="shared" si="82"/>
        <v>1</v>
      </c>
      <c r="P438" s="667"/>
      <c r="Q438" s="21">
        <f t="shared" si="83"/>
        <v>1</v>
      </c>
      <c r="R438" s="663">
        <f t="shared" si="84"/>
        <v>0</v>
      </c>
      <c r="S438" s="316">
        <f t="shared" si="85"/>
        <v>0</v>
      </c>
    </row>
    <row r="439" spans="1:19">
      <c r="A439" s="665">
        <f>面积明细表!C418</f>
        <v>0</v>
      </c>
      <c r="B439" s="54"/>
      <c r="C439" s="21">
        <f t="shared" si="76"/>
        <v>1</v>
      </c>
      <c r="D439" s="667"/>
      <c r="E439" s="21">
        <f t="shared" si="77"/>
        <v>1</v>
      </c>
      <c r="F439" s="667"/>
      <c r="G439" s="21">
        <f t="shared" si="78"/>
        <v>1</v>
      </c>
      <c r="H439" s="667"/>
      <c r="I439" s="21">
        <f t="shared" si="79"/>
        <v>1</v>
      </c>
      <c r="J439" s="667"/>
      <c r="K439" s="21">
        <f t="shared" si="80"/>
        <v>1</v>
      </c>
      <c r="L439" s="667"/>
      <c r="M439" s="21">
        <f t="shared" si="81"/>
        <v>1</v>
      </c>
      <c r="N439" s="667"/>
      <c r="O439" s="21">
        <f t="shared" si="82"/>
        <v>1</v>
      </c>
      <c r="P439" s="667"/>
      <c r="Q439" s="21">
        <f t="shared" si="83"/>
        <v>1</v>
      </c>
      <c r="R439" s="663">
        <f t="shared" si="84"/>
        <v>0</v>
      </c>
      <c r="S439" s="316">
        <f t="shared" si="85"/>
        <v>0</v>
      </c>
    </row>
    <row r="440" spans="1:19">
      <c r="A440" s="665">
        <f>面积明细表!C419</f>
        <v>0</v>
      </c>
      <c r="B440" s="54"/>
      <c r="C440" s="21">
        <f t="shared" si="76"/>
        <v>1</v>
      </c>
      <c r="D440" s="667"/>
      <c r="E440" s="21">
        <f t="shared" si="77"/>
        <v>1</v>
      </c>
      <c r="F440" s="667"/>
      <c r="G440" s="21">
        <f t="shared" si="78"/>
        <v>1</v>
      </c>
      <c r="H440" s="667"/>
      <c r="I440" s="21">
        <f t="shared" si="79"/>
        <v>1</v>
      </c>
      <c r="J440" s="667"/>
      <c r="K440" s="21">
        <f t="shared" si="80"/>
        <v>1</v>
      </c>
      <c r="L440" s="667"/>
      <c r="M440" s="21">
        <f t="shared" si="81"/>
        <v>1</v>
      </c>
      <c r="N440" s="667"/>
      <c r="O440" s="21">
        <f t="shared" si="82"/>
        <v>1</v>
      </c>
      <c r="P440" s="667"/>
      <c r="Q440" s="21">
        <f t="shared" si="83"/>
        <v>1</v>
      </c>
      <c r="R440" s="663">
        <f t="shared" si="84"/>
        <v>0</v>
      </c>
      <c r="S440" s="316">
        <f t="shared" si="85"/>
        <v>0</v>
      </c>
    </row>
    <row r="441" spans="1:19">
      <c r="A441" s="665">
        <f>面积明细表!C420</f>
        <v>0</v>
      </c>
      <c r="B441" s="54"/>
      <c r="C441" s="21">
        <f t="shared" si="76"/>
        <v>1</v>
      </c>
      <c r="D441" s="667"/>
      <c r="E441" s="21">
        <f t="shared" si="77"/>
        <v>1</v>
      </c>
      <c r="F441" s="667"/>
      <c r="G441" s="21">
        <f t="shared" si="78"/>
        <v>1</v>
      </c>
      <c r="H441" s="667"/>
      <c r="I441" s="21">
        <f t="shared" si="79"/>
        <v>1</v>
      </c>
      <c r="J441" s="667"/>
      <c r="K441" s="21">
        <f t="shared" si="80"/>
        <v>1</v>
      </c>
      <c r="L441" s="667"/>
      <c r="M441" s="21">
        <f t="shared" si="81"/>
        <v>1</v>
      </c>
      <c r="N441" s="667"/>
      <c r="O441" s="21">
        <f t="shared" si="82"/>
        <v>1</v>
      </c>
      <c r="P441" s="667"/>
      <c r="Q441" s="21">
        <f t="shared" si="83"/>
        <v>1</v>
      </c>
      <c r="R441" s="663">
        <f t="shared" si="84"/>
        <v>0</v>
      </c>
      <c r="S441" s="316">
        <f t="shared" si="85"/>
        <v>0</v>
      </c>
    </row>
    <row r="442" spans="1:19">
      <c r="A442" s="665">
        <f>面积明细表!C421</f>
        <v>0</v>
      </c>
      <c r="B442" s="54"/>
      <c r="C442" s="21">
        <f t="shared" si="76"/>
        <v>1</v>
      </c>
      <c r="D442" s="667"/>
      <c r="E442" s="21">
        <f t="shared" si="77"/>
        <v>1</v>
      </c>
      <c r="F442" s="667"/>
      <c r="G442" s="21">
        <f t="shared" si="78"/>
        <v>1</v>
      </c>
      <c r="H442" s="667"/>
      <c r="I442" s="21">
        <f t="shared" si="79"/>
        <v>1</v>
      </c>
      <c r="J442" s="667"/>
      <c r="K442" s="21">
        <f t="shared" si="80"/>
        <v>1</v>
      </c>
      <c r="L442" s="667"/>
      <c r="M442" s="21">
        <f t="shared" si="81"/>
        <v>1</v>
      </c>
      <c r="N442" s="667"/>
      <c r="O442" s="21">
        <f t="shared" si="82"/>
        <v>1</v>
      </c>
      <c r="P442" s="667"/>
      <c r="Q442" s="21">
        <f t="shared" si="83"/>
        <v>1</v>
      </c>
      <c r="R442" s="663">
        <f t="shared" si="84"/>
        <v>0</v>
      </c>
      <c r="S442" s="316">
        <f t="shared" si="85"/>
        <v>0</v>
      </c>
    </row>
    <row r="443" spans="1:19">
      <c r="A443" s="665">
        <f>面积明细表!C422</f>
        <v>0</v>
      </c>
      <c r="B443" s="54"/>
      <c r="C443" s="21">
        <f t="shared" si="76"/>
        <v>1</v>
      </c>
      <c r="D443" s="667"/>
      <c r="E443" s="21">
        <f t="shared" si="77"/>
        <v>1</v>
      </c>
      <c r="F443" s="667"/>
      <c r="G443" s="21">
        <f t="shared" si="78"/>
        <v>1</v>
      </c>
      <c r="H443" s="667"/>
      <c r="I443" s="21">
        <f t="shared" si="79"/>
        <v>1</v>
      </c>
      <c r="J443" s="667"/>
      <c r="K443" s="21">
        <f t="shared" si="80"/>
        <v>1</v>
      </c>
      <c r="L443" s="667"/>
      <c r="M443" s="21">
        <f t="shared" si="81"/>
        <v>1</v>
      </c>
      <c r="N443" s="667"/>
      <c r="O443" s="21">
        <f t="shared" si="82"/>
        <v>1</v>
      </c>
      <c r="P443" s="667"/>
      <c r="Q443" s="21">
        <f t="shared" si="83"/>
        <v>1</v>
      </c>
      <c r="R443" s="663">
        <f t="shared" si="84"/>
        <v>0</v>
      </c>
      <c r="S443" s="316">
        <f t="shared" si="85"/>
        <v>0</v>
      </c>
    </row>
    <row r="444" spans="1:19">
      <c r="A444" s="665">
        <f>面积明细表!C423</f>
        <v>0</v>
      </c>
      <c r="B444" s="54"/>
      <c r="C444" s="21">
        <f t="shared" si="76"/>
        <v>1</v>
      </c>
      <c r="D444" s="667"/>
      <c r="E444" s="21">
        <f t="shared" si="77"/>
        <v>1</v>
      </c>
      <c r="F444" s="667"/>
      <c r="G444" s="21">
        <f t="shared" si="78"/>
        <v>1</v>
      </c>
      <c r="H444" s="667"/>
      <c r="I444" s="21">
        <f t="shared" si="79"/>
        <v>1</v>
      </c>
      <c r="J444" s="667"/>
      <c r="K444" s="21">
        <f t="shared" si="80"/>
        <v>1</v>
      </c>
      <c r="L444" s="667"/>
      <c r="M444" s="21">
        <f t="shared" si="81"/>
        <v>1</v>
      </c>
      <c r="N444" s="667"/>
      <c r="O444" s="21">
        <f t="shared" si="82"/>
        <v>1</v>
      </c>
      <c r="P444" s="667"/>
      <c r="Q444" s="21">
        <f t="shared" si="83"/>
        <v>1</v>
      </c>
      <c r="R444" s="663">
        <f t="shared" si="84"/>
        <v>0</v>
      </c>
      <c r="S444" s="316">
        <f t="shared" si="85"/>
        <v>0</v>
      </c>
    </row>
    <row r="445" spans="1:19">
      <c r="A445" s="665">
        <f>面积明细表!C424</f>
        <v>0</v>
      </c>
      <c r="B445" s="54"/>
      <c r="C445" s="21">
        <f t="shared" si="76"/>
        <v>1</v>
      </c>
      <c r="D445" s="667"/>
      <c r="E445" s="21">
        <f t="shared" si="77"/>
        <v>1</v>
      </c>
      <c r="F445" s="667"/>
      <c r="G445" s="21">
        <f t="shared" si="78"/>
        <v>1</v>
      </c>
      <c r="H445" s="667"/>
      <c r="I445" s="21">
        <f t="shared" si="79"/>
        <v>1</v>
      </c>
      <c r="J445" s="667"/>
      <c r="K445" s="21">
        <f t="shared" si="80"/>
        <v>1</v>
      </c>
      <c r="L445" s="667"/>
      <c r="M445" s="21">
        <f t="shared" si="81"/>
        <v>1</v>
      </c>
      <c r="N445" s="667"/>
      <c r="O445" s="21">
        <f t="shared" si="82"/>
        <v>1</v>
      </c>
      <c r="P445" s="667"/>
      <c r="Q445" s="21">
        <f t="shared" si="83"/>
        <v>1</v>
      </c>
      <c r="R445" s="663">
        <f t="shared" si="84"/>
        <v>0</v>
      </c>
      <c r="S445" s="316">
        <f t="shared" si="85"/>
        <v>0</v>
      </c>
    </row>
    <row r="446" spans="1:19">
      <c r="A446" s="665">
        <f>面积明细表!C425</f>
        <v>0</v>
      </c>
      <c r="B446" s="54"/>
      <c r="C446" s="21">
        <f t="shared" si="76"/>
        <v>1</v>
      </c>
      <c r="D446" s="667"/>
      <c r="E446" s="21">
        <f t="shared" si="77"/>
        <v>1</v>
      </c>
      <c r="F446" s="667"/>
      <c r="G446" s="21">
        <f t="shared" si="78"/>
        <v>1</v>
      </c>
      <c r="H446" s="667"/>
      <c r="I446" s="21">
        <f t="shared" si="79"/>
        <v>1</v>
      </c>
      <c r="J446" s="667"/>
      <c r="K446" s="21">
        <f t="shared" si="80"/>
        <v>1</v>
      </c>
      <c r="L446" s="667"/>
      <c r="M446" s="21">
        <f t="shared" si="81"/>
        <v>1</v>
      </c>
      <c r="N446" s="667"/>
      <c r="O446" s="21">
        <f t="shared" si="82"/>
        <v>1</v>
      </c>
      <c r="P446" s="667"/>
      <c r="Q446" s="21">
        <f t="shared" si="83"/>
        <v>1</v>
      </c>
      <c r="R446" s="663">
        <f t="shared" si="84"/>
        <v>0</v>
      </c>
      <c r="S446" s="316">
        <f t="shared" si="85"/>
        <v>0</v>
      </c>
    </row>
    <row r="447" spans="1:19">
      <c r="A447" s="665">
        <f>面积明细表!C426</f>
        <v>0</v>
      </c>
      <c r="B447" s="54"/>
      <c r="C447" s="21">
        <f t="shared" si="76"/>
        <v>1</v>
      </c>
      <c r="D447" s="667"/>
      <c r="E447" s="21">
        <f t="shared" si="77"/>
        <v>1</v>
      </c>
      <c r="F447" s="667"/>
      <c r="G447" s="21">
        <f t="shared" si="78"/>
        <v>1</v>
      </c>
      <c r="H447" s="667"/>
      <c r="I447" s="21">
        <f t="shared" si="79"/>
        <v>1</v>
      </c>
      <c r="J447" s="667"/>
      <c r="K447" s="21">
        <f t="shared" si="80"/>
        <v>1</v>
      </c>
      <c r="L447" s="667"/>
      <c r="M447" s="21">
        <f t="shared" si="81"/>
        <v>1</v>
      </c>
      <c r="N447" s="667"/>
      <c r="O447" s="21">
        <f t="shared" si="82"/>
        <v>1</v>
      </c>
      <c r="P447" s="667"/>
      <c r="Q447" s="21">
        <f t="shared" si="83"/>
        <v>1</v>
      </c>
      <c r="R447" s="663">
        <f t="shared" si="84"/>
        <v>0</v>
      </c>
      <c r="S447" s="316">
        <f t="shared" si="85"/>
        <v>0</v>
      </c>
    </row>
    <row r="448" spans="1:19">
      <c r="A448" s="665">
        <f>面积明细表!C427</f>
        <v>0</v>
      </c>
      <c r="B448" s="54"/>
      <c r="C448" s="21">
        <f t="shared" si="76"/>
        <v>1</v>
      </c>
      <c r="D448" s="667"/>
      <c r="E448" s="21">
        <f t="shared" si="77"/>
        <v>1</v>
      </c>
      <c r="F448" s="667"/>
      <c r="G448" s="21">
        <f t="shared" si="78"/>
        <v>1</v>
      </c>
      <c r="H448" s="667"/>
      <c r="I448" s="21">
        <f t="shared" si="79"/>
        <v>1</v>
      </c>
      <c r="J448" s="667"/>
      <c r="K448" s="21">
        <f t="shared" si="80"/>
        <v>1</v>
      </c>
      <c r="L448" s="667"/>
      <c r="M448" s="21">
        <f t="shared" si="81"/>
        <v>1</v>
      </c>
      <c r="N448" s="667"/>
      <c r="O448" s="21">
        <f t="shared" si="82"/>
        <v>1</v>
      </c>
      <c r="P448" s="667"/>
      <c r="Q448" s="21">
        <f t="shared" si="83"/>
        <v>1</v>
      </c>
      <c r="R448" s="663">
        <f t="shared" si="84"/>
        <v>0</v>
      </c>
      <c r="S448" s="316">
        <f t="shared" si="85"/>
        <v>0</v>
      </c>
    </row>
    <row r="449" spans="1:19">
      <c r="A449" s="665">
        <f>面积明细表!C428</f>
        <v>0</v>
      </c>
      <c r="B449" s="54"/>
      <c r="C449" s="21">
        <f t="shared" si="76"/>
        <v>1</v>
      </c>
      <c r="D449" s="667"/>
      <c r="E449" s="21">
        <f t="shared" si="77"/>
        <v>1</v>
      </c>
      <c r="F449" s="667"/>
      <c r="G449" s="21">
        <f t="shared" si="78"/>
        <v>1</v>
      </c>
      <c r="H449" s="667"/>
      <c r="I449" s="21">
        <f t="shared" si="79"/>
        <v>1</v>
      </c>
      <c r="J449" s="667"/>
      <c r="K449" s="21">
        <f t="shared" si="80"/>
        <v>1</v>
      </c>
      <c r="L449" s="667"/>
      <c r="M449" s="21">
        <f t="shared" si="81"/>
        <v>1</v>
      </c>
      <c r="N449" s="667"/>
      <c r="O449" s="21">
        <f t="shared" si="82"/>
        <v>1</v>
      </c>
      <c r="P449" s="667"/>
      <c r="Q449" s="21">
        <f t="shared" si="83"/>
        <v>1</v>
      </c>
      <c r="R449" s="663">
        <f t="shared" si="84"/>
        <v>0</v>
      </c>
      <c r="S449" s="316">
        <f t="shared" si="85"/>
        <v>0</v>
      </c>
    </row>
    <row r="450" spans="1:19">
      <c r="A450" s="665">
        <f>面积明细表!C429</f>
        <v>0</v>
      </c>
      <c r="B450" s="54"/>
      <c r="C450" s="21">
        <f t="shared" si="76"/>
        <v>1</v>
      </c>
      <c r="D450" s="667"/>
      <c r="E450" s="21">
        <f t="shared" si="77"/>
        <v>1</v>
      </c>
      <c r="F450" s="667"/>
      <c r="G450" s="21">
        <f t="shared" si="78"/>
        <v>1</v>
      </c>
      <c r="H450" s="667"/>
      <c r="I450" s="21">
        <f t="shared" si="79"/>
        <v>1</v>
      </c>
      <c r="J450" s="667"/>
      <c r="K450" s="21">
        <f t="shared" si="80"/>
        <v>1</v>
      </c>
      <c r="L450" s="667"/>
      <c r="M450" s="21">
        <f t="shared" si="81"/>
        <v>1</v>
      </c>
      <c r="N450" s="667"/>
      <c r="O450" s="21">
        <f t="shared" si="82"/>
        <v>1</v>
      </c>
      <c r="P450" s="667"/>
      <c r="Q450" s="21">
        <f t="shared" si="83"/>
        <v>1</v>
      </c>
      <c r="R450" s="663">
        <f t="shared" si="84"/>
        <v>0</v>
      </c>
      <c r="S450" s="316">
        <f t="shared" si="85"/>
        <v>0</v>
      </c>
    </row>
    <row r="451" spans="1:19">
      <c r="A451" s="665">
        <f>面积明细表!C430</f>
        <v>0</v>
      </c>
      <c r="B451" s="54"/>
      <c r="C451" s="21">
        <f t="shared" si="76"/>
        <v>1</v>
      </c>
      <c r="D451" s="667"/>
      <c r="E451" s="21">
        <f t="shared" si="77"/>
        <v>1</v>
      </c>
      <c r="F451" s="667"/>
      <c r="G451" s="21">
        <f t="shared" si="78"/>
        <v>1</v>
      </c>
      <c r="H451" s="667"/>
      <c r="I451" s="21">
        <f t="shared" si="79"/>
        <v>1</v>
      </c>
      <c r="J451" s="667"/>
      <c r="K451" s="21">
        <f t="shared" si="80"/>
        <v>1</v>
      </c>
      <c r="L451" s="667"/>
      <c r="M451" s="21">
        <f t="shared" si="81"/>
        <v>1</v>
      </c>
      <c r="N451" s="667"/>
      <c r="O451" s="21">
        <f t="shared" si="82"/>
        <v>1</v>
      </c>
      <c r="P451" s="667"/>
      <c r="Q451" s="21">
        <f t="shared" si="83"/>
        <v>1</v>
      </c>
      <c r="R451" s="663">
        <f t="shared" si="84"/>
        <v>0</v>
      </c>
      <c r="S451" s="316">
        <f t="shared" si="85"/>
        <v>0</v>
      </c>
    </row>
    <row r="452" spans="1:19">
      <c r="A452" s="665">
        <f>面积明细表!C431</f>
        <v>0</v>
      </c>
      <c r="B452" s="54"/>
      <c r="C452" s="21">
        <f t="shared" si="76"/>
        <v>1</v>
      </c>
      <c r="D452" s="667"/>
      <c r="E452" s="21">
        <f t="shared" si="77"/>
        <v>1</v>
      </c>
      <c r="F452" s="667"/>
      <c r="G452" s="21">
        <f t="shared" si="78"/>
        <v>1</v>
      </c>
      <c r="H452" s="667"/>
      <c r="I452" s="21">
        <f t="shared" si="79"/>
        <v>1</v>
      </c>
      <c r="J452" s="667"/>
      <c r="K452" s="21">
        <f t="shared" si="80"/>
        <v>1</v>
      </c>
      <c r="L452" s="667"/>
      <c r="M452" s="21">
        <f t="shared" si="81"/>
        <v>1</v>
      </c>
      <c r="N452" s="667"/>
      <c r="O452" s="21">
        <f t="shared" si="82"/>
        <v>1</v>
      </c>
      <c r="P452" s="667"/>
      <c r="Q452" s="21">
        <f t="shared" si="83"/>
        <v>1</v>
      </c>
      <c r="R452" s="663">
        <f t="shared" si="84"/>
        <v>0</v>
      </c>
      <c r="S452" s="316">
        <f t="shared" si="85"/>
        <v>0</v>
      </c>
    </row>
    <row r="453" spans="1:19">
      <c r="A453" s="665">
        <f>面积明细表!C432</f>
        <v>0</v>
      </c>
      <c r="B453" s="54"/>
      <c r="C453" s="21">
        <f t="shared" si="76"/>
        <v>1</v>
      </c>
      <c r="D453" s="667"/>
      <c r="E453" s="21">
        <f t="shared" si="77"/>
        <v>1</v>
      </c>
      <c r="F453" s="667"/>
      <c r="G453" s="21">
        <f t="shared" si="78"/>
        <v>1</v>
      </c>
      <c r="H453" s="667"/>
      <c r="I453" s="21">
        <f t="shared" si="79"/>
        <v>1</v>
      </c>
      <c r="J453" s="667"/>
      <c r="K453" s="21">
        <f t="shared" si="80"/>
        <v>1</v>
      </c>
      <c r="L453" s="667"/>
      <c r="M453" s="21">
        <f t="shared" si="81"/>
        <v>1</v>
      </c>
      <c r="N453" s="667"/>
      <c r="O453" s="21">
        <f t="shared" si="82"/>
        <v>1</v>
      </c>
      <c r="P453" s="667"/>
      <c r="Q453" s="21">
        <f t="shared" si="83"/>
        <v>1</v>
      </c>
      <c r="R453" s="663">
        <f t="shared" si="84"/>
        <v>0</v>
      </c>
      <c r="S453" s="316">
        <f t="shared" si="85"/>
        <v>0</v>
      </c>
    </row>
    <row r="454" spans="1:19">
      <c r="A454" s="665">
        <f>面积明细表!C433</f>
        <v>0</v>
      </c>
      <c r="B454" s="54"/>
      <c r="C454" s="21">
        <f t="shared" si="76"/>
        <v>1</v>
      </c>
      <c r="D454" s="667"/>
      <c r="E454" s="21">
        <f t="shared" si="77"/>
        <v>1</v>
      </c>
      <c r="F454" s="667"/>
      <c r="G454" s="21">
        <f t="shared" si="78"/>
        <v>1</v>
      </c>
      <c r="H454" s="667"/>
      <c r="I454" s="21">
        <f t="shared" si="79"/>
        <v>1</v>
      </c>
      <c r="J454" s="667"/>
      <c r="K454" s="21">
        <f t="shared" si="80"/>
        <v>1</v>
      </c>
      <c r="L454" s="667"/>
      <c r="M454" s="21">
        <f t="shared" si="81"/>
        <v>1</v>
      </c>
      <c r="N454" s="667"/>
      <c r="O454" s="21">
        <f t="shared" si="82"/>
        <v>1</v>
      </c>
      <c r="P454" s="667"/>
      <c r="Q454" s="21">
        <f t="shared" si="83"/>
        <v>1</v>
      </c>
      <c r="R454" s="663">
        <f t="shared" si="84"/>
        <v>0</v>
      </c>
      <c r="S454" s="316">
        <f t="shared" si="85"/>
        <v>0</v>
      </c>
    </row>
    <row r="455" spans="1:19">
      <c r="A455" s="665">
        <f>面积明细表!C434</f>
        <v>0</v>
      </c>
      <c r="B455" s="54"/>
      <c r="C455" s="21">
        <f t="shared" si="76"/>
        <v>1</v>
      </c>
      <c r="D455" s="667"/>
      <c r="E455" s="21">
        <f t="shared" si="77"/>
        <v>1</v>
      </c>
      <c r="F455" s="667"/>
      <c r="G455" s="21">
        <f t="shared" si="78"/>
        <v>1</v>
      </c>
      <c r="H455" s="667"/>
      <c r="I455" s="21">
        <f t="shared" si="79"/>
        <v>1</v>
      </c>
      <c r="J455" s="667"/>
      <c r="K455" s="21">
        <f t="shared" si="80"/>
        <v>1</v>
      </c>
      <c r="L455" s="667"/>
      <c r="M455" s="21">
        <f t="shared" si="81"/>
        <v>1</v>
      </c>
      <c r="N455" s="667"/>
      <c r="O455" s="21">
        <f t="shared" si="82"/>
        <v>1</v>
      </c>
      <c r="P455" s="667"/>
      <c r="Q455" s="21">
        <f t="shared" si="83"/>
        <v>1</v>
      </c>
      <c r="R455" s="663">
        <f t="shared" si="84"/>
        <v>0</v>
      </c>
      <c r="S455" s="316">
        <f t="shared" si="85"/>
        <v>0</v>
      </c>
    </row>
    <row r="456" spans="1:19">
      <c r="A456" s="665">
        <f>面积明细表!C435</f>
        <v>0</v>
      </c>
      <c r="B456" s="54"/>
      <c r="C456" s="21">
        <f t="shared" si="76"/>
        <v>1</v>
      </c>
      <c r="D456" s="667"/>
      <c r="E456" s="21">
        <f t="shared" si="77"/>
        <v>1</v>
      </c>
      <c r="F456" s="667"/>
      <c r="G456" s="21">
        <f t="shared" si="78"/>
        <v>1</v>
      </c>
      <c r="H456" s="667"/>
      <c r="I456" s="21">
        <f t="shared" si="79"/>
        <v>1</v>
      </c>
      <c r="J456" s="667"/>
      <c r="K456" s="21">
        <f t="shared" si="80"/>
        <v>1</v>
      </c>
      <c r="L456" s="667"/>
      <c r="M456" s="21">
        <f t="shared" si="81"/>
        <v>1</v>
      </c>
      <c r="N456" s="667"/>
      <c r="O456" s="21">
        <f t="shared" si="82"/>
        <v>1</v>
      </c>
      <c r="P456" s="667"/>
      <c r="Q456" s="21">
        <f t="shared" si="83"/>
        <v>1</v>
      </c>
      <c r="R456" s="663">
        <f t="shared" si="84"/>
        <v>0</v>
      </c>
      <c r="S456" s="316">
        <f t="shared" si="85"/>
        <v>0</v>
      </c>
    </row>
    <row r="457" spans="1:19">
      <c r="A457" s="665">
        <f>面积明细表!C436</f>
        <v>0</v>
      </c>
      <c r="B457" s="54"/>
      <c r="C457" s="21">
        <f t="shared" si="76"/>
        <v>1</v>
      </c>
      <c r="D457" s="667"/>
      <c r="E457" s="21">
        <f t="shared" si="77"/>
        <v>1</v>
      </c>
      <c r="F457" s="667"/>
      <c r="G457" s="21">
        <f t="shared" si="78"/>
        <v>1</v>
      </c>
      <c r="H457" s="667"/>
      <c r="I457" s="21">
        <f t="shared" si="79"/>
        <v>1</v>
      </c>
      <c r="J457" s="667"/>
      <c r="K457" s="21">
        <f t="shared" si="80"/>
        <v>1</v>
      </c>
      <c r="L457" s="667"/>
      <c r="M457" s="21">
        <f t="shared" si="81"/>
        <v>1</v>
      </c>
      <c r="N457" s="667"/>
      <c r="O457" s="21">
        <f t="shared" si="82"/>
        <v>1</v>
      </c>
      <c r="P457" s="667"/>
      <c r="Q457" s="21">
        <f t="shared" si="83"/>
        <v>1</v>
      </c>
      <c r="R457" s="663">
        <f t="shared" si="84"/>
        <v>0</v>
      </c>
      <c r="S457" s="316">
        <f t="shared" si="85"/>
        <v>0</v>
      </c>
    </row>
    <row r="458" spans="1:19">
      <c r="A458" s="665">
        <f>面积明细表!C437</f>
        <v>0</v>
      </c>
      <c r="B458" s="54"/>
      <c r="C458" s="21">
        <f t="shared" si="76"/>
        <v>1</v>
      </c>
      <c r="D458" s="667"/>
      <c r="E458" s="21">
        <f t="shared" si="77"/>
        <v>1</v>
      </c>
      <c r="F458" s="667"/>
      <c r="G458" s="21">
        <f t="shared" si="78"/>
        <v>1</v>
      </c>
      <c r="H458" s="667"/>
      <c r="I458" s="21">
        <f t="shared" si="79"/>
        <v>1</v>
      </c>
      <c r="J458" s="667"/>
      <c r="K458" s="21">
        <f t="shared" si="80"/>
        <v>1</v>
      </c>
      <c r="L458" s="667"/>
      <c r="M458" s="21">
        <f t="shared" si="81"/>
        <v>1</v>
      </c>
      <c r="N458" s="667"/>
      <c r="O458" s="21">
        <f t="shared" si="82"/>
        <v>1</v>
      </c>
      <c r="P458" s="667"/>
      <c r="Q458" s="21">
        <f t="shared" si="83"/>
        <v>1</v>
      </c>
      <c r="R458" s="663">
        <f t="shared" si="84"/>
        <v>0</v>
      </c>
      <c r="S458" s="316">
        <f t="shared" si="85"/>
        <v>0</v>
      </c>
    </row>
    <row r="459" spans="1:19">
      <c r="A459" s="665">
        <f>面积明细表!C438</f>
        <v>0</v>
      </c>
      <c r="B459" s="54"/>
      <c r="C459" s="21">
        <f t="shared" si="76"/>
        <v>1</v>
      </c>
      <c r="D459" s="667"/>
      <c r="E459" s="21">
        <f t="shared" si="77"/>
        <v>1</v>
      </c>
      <c r="F459" s="667"/>
      <c r="G459" s="21">
        <f t="shared" si="78"/>
        <v>1</v>
      </c>
      <c r="H459" s="667"/>
      <c r="I459" s="21">
        <f t="shared" si="79"/>
        <v>1</v>
      </c>
      <c r="J459" s="667"/>
      <c r="K459" s="21">
        <f t="shared" si="80"/>
        <v>1</v>
      </c>
      <c r="L459" s="667"/>
      <c r="M459" s="21">
        <f t="shared" si="81"/>
        <v>1</v>
      </c>
      <c r="N459" s="667"/>
      <c r="O459" s="21">
        <f t="shared" si="82"/>
        <v>1</v>
      </c>
      <c r="P459" s="667"/>
      <c r="Q459" s="21">
        <f t="shared" si="83"/>
        <v>1</v>
      </c>
      <c r="R459" s="663">
        <f t="shared" si="84"/>
        <v>0</v>
      </c>
      <c r="S459" s="316">
        <f t="shared" si="85"/>
        <v>0</v>
      </c>
    </row>
    <row r="460" spans="1:19">
      <c r="A460" s="665">
        <f>面积明细表!C439</f>
        <v>0</v>
      </c>
      <c r="B460" s="54"/>
      <c r="C460" s="21">
        <f t="shared" si="76"/>
        <v>1</v>
      </c>
      <c r="D460" s="667"/>
      <c r="E460" s="21">
        <f t="shared" si="77"/>
        <v>1</v>
      </c>
      <c r="F460" s="667"/>
      <c r="G460" s="21">
        <f t="shared" si="78"/>
        <v>1</v>
      </c>
      <c r="H460" s="667"/>
      <c r="I460" s="21">
        <f t="shared" si="79"/>
        <v>1</v>
      </c>
      <c r="J460" s="667"/>
      <c r="K460" s="21">
        <f t="shared" si="80"/>
        <v>1</v>
      </c>
      <c r="L460" s="667"/>
      <c r="M460" s="21">
        <f t="shared" si="81"/>
        <v>1</v>
      </c>
      <c r="N460" s="667"/>
      <c r="O460" s="21">
        <f t="shared" si="82"/>
        <v>1</v>
      </c>
      <c r="P460" s="667"/>
      <c r="Q460" s="21">
        <f t="shared" si="83"/>
        <v>1</v>
      </c>
      <c r="R460" s="663">
        <f t="shared" si="84"/>
        <v>0</v>
      </c>
      <c r="S460" s="316">
        <f t="shared" si="85"/>
        <v>0</v>
      </c>
    </row>
    <row r="461" spans="1:19">
      <c r="A461" s="665">
        <f>面积明细表!C440</f>
        <v>0</v>
      </c>
      <c r="B461" s="54"/>
      <c r="C461" s="21">
        <f t="shared" si="76"/>
        <v>1</v>
      </c>
      <c r="D461" s="667"/>
      <c r="E461" s="21">
        <f t="shared" si="77"/>
        <v>1</v>
      </c>
      <c r="F461" s="667"/>
      <c r="G461" s="21">
        <f t="shared" si="78"/>
        <v>1</v>
      </c>
      <c r="H461" s="667"/>
      <c r="I461" s="21">
        <f t="shared" si="79"/>
        <v>1</v>
      </c>
      <c r="J461" s="667"/>
      <c r="K461" s="21">
        <f t="shared" si="80"/>
        <v>1</v>
      </c>
      <c r="L461" s="667"/>
      <c r="M461" s="21">
        <f t="shared" si="81"/>
        <v>1</v>
      </c>
      <c r="N461" s="667"/>
      <c r="O461" s="21">
        <f t="shared" si="82"/>
        <v>1</v>
      </c>
      <c r="P461" s="667"/>
      <c r="Q461" s="21">
        <f t="shared" si="83"/>
        <v>1</v>
      </c>
      <c r="R461" s="663">
        <f t="shared" si="84"/>
        <v>0</v>
      </c>
      <c r="S461" s="316">
        <f t="shared" si="85"/>
        <v>0</v>
      </c>
    </row>
    <row r="462" spans="1:19">
      <c r="A462" s="665">
        <f>面积明细表!C441</f>
        <v>0</v>
      </c>
      <c r="B462" s="54"/>
      <c r="C462" s="21">
        <f t="shared" si="76"/>
        <v>1</v>
      </c>
      <c r="D462" s="667"/>
      <c r="E462" s="21">
        <f t="shared" si="77"/>
        <v>1</v>
      </c>
      <c r="F462" s="667"/>
      <c r="G462" s="21">
        <f t="shared" si="78"/>
        <v>1</v>
      </c>
      <c r="H462" s="667"/>
      <c r="I462" s="21">
        <f t="shared" si="79"/>
        <v>1</v>
      </c>
      <c r="J462" s="667"/>
      <c r="K462" s="21">
        <f t="shared" si="80"/>
        <v>1</v>
      </c>
      <c r="L462" s="667"/>
      <c r="M462" s="21">
        <f t="shared" si="81"/>
        <v>1</v>
      </c>
      <c r="N462" s="667"/>
      <c r="O462" s="21">
        <f t="shared" si="82"/>
        <v>1</v>
      </c>
      <c r="P462" s="667"/>
      <c r="Q462" s="21">
        <f t="shared" si="83"/>
        <v>1</v>
      </c>
      <c r="R462" s="663">
        <f t="shared" si="84"/>
        <v>0</v>
      </c>
      <c r="S462" s="316">
        <f t="shared" si="85"/>
        <v>0</v>
      </c>
    </row>
    <row r="463" spans="1:19">
      <c r="A463" s="665">
        <f>面积明细表!C442</f>
        <v>0</v>
      </c>
      <c r="B463" s="54"/>
      <c r="C463" s="21">
        <f t="shared" si="76"/>
        <v>1</v>
      </c>
      <c r="D463" s="667"/>
      <c r="E463" s="21">
        <f t="shared" si="77"/>
        <v>1</v>
      </c>
      <c r="F463" s="667"/>
      <c r="G463" s="21">
        <f t="shared" si="78"/>
        <v>1</v>
      </c>
      <c r="H463" s="667"/>
      <c r="I463" s="21">
        <f t="shared" si="79"/>
        <v>1</v>
      </c>
      <c r="J463" s="667"/>
      <c r="K463" s="21">
        <f t="shared" si="80"/>
        <v>1</v>
      </c>
      <c r="L463" s="667"/>
      <c r="M463" s="21">
        <f t="shared" si="81"/>
        <v>1</v>
      </c>
      <c r="N463" s="667"/>
      <c r="O463" s="21">
        <f t="shared" si="82"/>
        <v>1</v>
      </c>
      <c r="P463" s="667"/>
      <c r="Q463" s="21">
        <f t="shared" si="83"/>
        <v>1</v>
      </c>
      <c r="R463" s="663">
        <f t="shared" si="84"/>
        <v>0</v>
      </c>
      <c r="S463" s="316">
        <f t="shared" si="85"/>
        <v>0</v>
      </c>
    </row>
    <row r="464" spans="1:19">
      <c r="A464" s="665">
        <f>面积明细表!C443</f>
        <v>0</v>
      </c>
      <c r="B464" s="54"/>
      <c r="C464" s="21">
        <f t="shared" si="76"/>
        <v>1</v>
      </c>
      <c r="D464" s="667"/>
      <c r="E464" s="21">
        <f t="shared" si="77"/>
        <v>1</v>
      </c>
      <c r="F464" s="667"/>
      <c r="G464" s="21">
        <f t="shared" si="78"/>
        <v>1</v>
      </c>
      <c r="H464" s="667"/>
      <c r="I464" s="21">
        <f t="shared" si="79"/>
        <v>1</v>
      </c>
      <c r="J464" s="667"/>
      <c r="K464" s="21">
        <f t="shared" si="80"/>
        <v>1</v>
      </c>
      <c r="L464" s="667"/>
      <c r="M464" s="21">
        <f t="shared" si="81"/>
        <v>1</v>
      </c>
      <c r="N464" s="667"/>
      <c r="O464" s="21">
        <f t="shared" si="82"/>
        <v>1</v>
      </c>
      <c r="P464" s="667"/>
      <c r="Q464" s="21">
        <f t="shared" si="83"/>
        <v>1</v>
      </c>
      <c r="R464" s="663">
        <f t="shared" si="84"/>
        <v>0</v>
      </c>
      <c r="S464" s="316">
        <f t="shared" si="85"/>
        <v>0</v>
      </c>
    </row>
    <row r="465" spans="1:19">
      <c r="A465" s="665">
        <f>面积明细表!C444</f>
        <v>0</v>
      </c>
      <c r="B465" s="54"/>
      <c r="C465" s="21">
        <f t="shared" si="76"/>
        <v>1</v>
      </c>
      <c r="D465" s="667"/>
      <c r="E465" s="21">
        <f t="shared" si="77"/>
        <v>1</v>
      </c>
      <c r="F465" s="667"/>
      <c r="G465" s="21">
        <f t="shared" si="78"/>
        <v>1</v>
      </c>
      <c r="H465" s="667"/>
      <c r="I465" s="21">
        <f t="shared" si="79"/>
        <v>1</v>
      </c>
      <c r="J465" s="667"/>
      <c r="K465" s="21">
        <f t="shared" si="80"/>
        <v>1</v>
      </c>
      <c r="L465" s="667"/>
      <c r="M465" s="21">
        <f t="shared" si="81"/>
        <v>1</v>
      </c>
      <c r="N465" s="667"/>
      <c r="O465" s="21">
        <f t="shared" si="82"/>
        <v>1</v>
      </c>
      <c r="P465" s="667"/>
      <c r="Q465" s="21">
        <f t="shared" si="83"/>
        <v>1</v>
      </c>
      <c r="R465" s="663">
        <f t="shared" si="84"/>
        <v>0</v>
      </c>
      <c r="S465" s="316">
        <f t="shared" si="85"/>
        <v>0</v>
      </c>
    </row>
    <row r="466" spans="1:19">
      <c r="A466" s="665">
        <f>面积明细表!C445</f>
        <v>0</v>
      </c>
      <c r="B466" s="54"/>
      <c r="C466" s="21">
        <f t="shared" si="76"/>
        <v>1</v>
      </c>
      <c r="D466" s="667"/>
      <c r="E466" s="21">
        <f t="shared" si="77"/>
        <v>1</v>
      </c>
      <c r="F466" s="667"/>
      <c r="G466" s="21">
        <f t="shared" si="78"/>
        <v>1</v>
      </c>
      <c r="H466" s="667"/>
      <c r="I466" s="21">
        <f t="shared" si="79"/>
        <v>1</v>
      </c>
      <c r="J466" s="667"/>
      <c r="K466" s="21">
        <f t="shared" si="80"/>
        <v>1</v>
      </c>
      <c r="L466" s="667"/>
      <c r="M466" s="21">
        <f t="shared" si="81"/>
        <v>1</v>
      </c>
      <c r="N466" s="667"/>
      <c r="O466" s="21">
        <f t="shared" si="82"/>
        <v>1</v>
      </c>
      <c r="P466" s="667"/>
      <c r="Q466" s="21">
        <f t="shared" si="83"/>
        <v>1</v>
      </c>
      <c r="R466" s="663">
        <f t="shared" si="84"/>
        <v>0</v>
      </c>
      <c r="S466" s="316">
        <f t="shared" si="85"/>
        <v>0</v>
      </c>
    </row>
    <row r="467" spans="1:19">
      <c r="A467" s="665">
        <f>面积明细表!C446</f>
        <v>0</v>
      </c>
      <c r="B467" s="54"/>
      <c r="C467" s="21">
        <f t="shared" si="76"/>
        <v>1</v>
      </c>
      <c r="D467" s="667"/>
      <c r="E467" s="21">
        <f t="shared" si="77"/>
        <v>1</v>
      </c>
      <c r="F467" s="667"/>
      <c r="G467" s="21">
        <f t="shared" si="78"/>
        <v>1</v>
      </c>
      <c r="H467" s="667"/>
      <c r="I467" s="21">
        <f t="shared" si="79"/>
        <v>1</v>
      </c>
      <c r="J467" s="667"/>
      <c r="K467" s="21">
        <f t="shared" si="80"/>
        <v>1</v>
      </c>
      <c r="L467" s="667"/>
      <c r="M467" s="21">
        <f t="shared" si="81"/>
        <v>1</v>
      </c>
      <c r="N467" s="667"/>
      <c r="O467" s="21">
        <f t="shared" si="82"/>
        <v>1</v>
      </c>
      <c r="P467" s="667"/>
      <c r="Q467" s="21">
        <f t="shared" si="83"/>
        <v>1</v>
      </c>
      <c r="R467" s="663">
        <f t="shared" si="84"/>
        <v>0</v>
      </c>
      <c r="S467" s="316">
        <f t="shared" si="85"/>
        <v>0</v>
      </c>
    </row>
    <row r="468" spans="1:19">
      <c r="A468" s="665">
        <f>面积明细表!C447</f>
        <v>0</v>
      </c>
      <c r="B468" s="54"/>
      <c r="C468" s="21">
        <f t="shared" si="76"/>
        <v>1</v>
      </c>
      <c r="D468" s="667"/>
      <c r="E468" s="21">
        <f t="shared" si="77"/>
        <v>1</v>
      </c>
      <c r="F468" s="667"/>
      <c r="G468" s="21">
        <f t="shared" si="78"/>
        <v>1</v>
      </c>
      <c r="H468" s="667"/>
      <c r="I468" s="21">
        <f t="shared" si="79"/>
        <v>1</v>
      </c>
      <c r="J468" s="667"/>
      <c r="K468" s="21">
        <f t="shared" si="80"/>
        <v>1</v>
      </c>
      <c r="L468" s="667"/>
      <c r="M468" s="21">
        <f t="shared" si="81"/>
        <v>1</v>
      </c>
      <c r="N468" s="667"/>
      <c r="O468" s="21">
        <f t="shared" si="82"/>
        <v>1</v>
      </c>
      <c r="P468" s="667"/>
      <c r="Q468" s="21">
        <f t="shared" si="83"/>
        <v>1</v>
      </c>
      <c r="R468" s="663">
        <f t="shared" si="84"/>
        <v>0</v>
      </c>
      <c r="S468" s="316">
        <f t="shared" ref="S468:S497" si="86">ROUND(R468*B468/10000,0)</f>
        <v>0</v>
      </c>
    </row>
    <row r="469" spans="1:19">
      <c r="A469" s="665">
        <f>面积明细表!C448</f>
        <v>0</v>
      </c>
      <c r="B469" s="54"/>
      <c r="C469" s="21">
        <f t="shared" si="76"/>
        <v>1</v>
      </c>
      <c r="D469" s="667"/>
      <c r="E469" s="21">
        <f t="shared" si="77"/>
        <v>1</v>
      </c>
      <c r="F469" s="667"/>
      <c r="G469" s="21">
        <f t="shared" si="78"/>
        <v>1</v>
      </c>
      <c r="H469" s="667"/>
      <c r="I469" s="21">
        <f t="shared" si="79"/>
        <v>1</v>
      </c>
      <c r="J469" s="667"/>
      <c r="K469" s="21">
        <f t="shared" si="80"/>
        <v>1</v>
      </c>
      <c r="L469" s="667"/>
      <c r="M469" s="21">
        <f t="shared" si="81"/>
        <v>1</v>
      </c>
      <c r="N469" s="667"/>
      <c r="O469" s="21">
        <f t="shared" si="82"/>
        <v>1</v>
      </c>
      <c r="P469" s="667"/>
      <c r="Q469" s="21">
        <f t="shared" si="83"/>
        <v>1</v>
      </c>
      <c r="R469" s="663">
        <f t="shared" si="84"/>
        <v>0</v>
      </c>
      <c r="S469" s="316">
        <f t="shared" si="86"/>
        <v>0</v>
      </c>
    </row>
    <row r="470" spans="1:19">
      <c r="A470" s="665">
        <f>面积明细表!C449</f>
        <v>0</v>
      </c>
      <c r="B470" s="54"/>
      <c r="C470" s="21">
        <f t="shared" si="76"/>
        <v>1</v>
      </c>
      <c r="D470" s="667"/>
      <c r="E470" s="21">
        <f t="shared" si="77"/>
        <v>1</v>
      </c>
      <c r="F470" s="667"/>
      <c r="G470" s="21">
        <f t="shared" si="78"/>
        <v>1</v>
      </c>
      <c r="H470" s="667"/>
      <c r="I470" s="21">
        <f t="shared" si="79"/>
        <v>1</v>
      </c>
      <c r="J470" s="667"/>
      <c r="K470" s="21">
        <f t="shared" si="80"/>
        <v>1</v>
      </c>
      <c r="L470" s="667"/>
      <c r="M470" s="21">
        <f t="shared" si="81"/>
        <v>1</v>
      </c>
      <c r="N470" s="667"/>
      <c r="O470" s="21">
        <f t="shared" si="82"/>
        <v>1</v>
      </c>
      <c r="P470" s="667"/>
      <c r="Q470" s="21">
        <f t="shared" si="83"/>
        <v>1</v>
      </c>
      <c r="R470" s="663">
        <f t="shared" si="84"/>
        <v>0</v>
      </c>
      <c r="S470" s="316">
        <f t="shared" si="86"/>
        <v>0</v>
      </c>
    </row>
    <row r="471" spans="1:19">
      <c r="A471" s="665">
        <f>面积明细表!C450</f>
        <v>0</v>
      </c>
      <c r="B471" s="54"/>
      <c r="C471" s="21">
        <f t="shared" si="76"/>
        <v>1</v>
      </c>
      <c r="D471" s="667"/>
      <c r="E471" s="21">
        <f t="shared" si="77"/>
        <v>1</v>
      </c>
      <c r="F471" s="667"/>
      <c r="G471" s="21">
        <f t="shared" si="78"/>
        <v>1</v>
      </c>
      <c r="H471" s="667"/>
      <c r="I471" s="21">
        <f t="shared" si="79"/>
        <v>1</v>
      </c>
      <c r="J471" s="667"/>
      <c r="K471" s="21">
        <f t="shared" si="80"/>
        <v>1</v>
      </c>
      <c r="L471" s="667"/>
      <c r="M471" s="21">
        <f t="shared" si="81"/>
        <v>1</v>
      </c>
      <c r="N471" s="667"/>
      <c r="O471" s="21">
        <f t="shared" si="82"/>
        <v>1</v>
      </c>
      <c r="P471" s="667"/>
      <c r="Q471" s="21">
        <f t="shared" si="83"/>
        <v>1</v>
      </c>
      <c r="R471" s="663">
        <f t="shared" si="84"/>
        <v>0</v>
      </c>
      <c r="S471" s="316">
        <f t="shared" si="86"/>
        <v>0</v>
      </c>
    </row>
    <row r="472" spans="1:19">
      <c r="A472" s="665">
        <f>面积明细表!C451</f>
        <v>0</v>
      </c>
      <c r="B472" s="54"/>
      <c r="C472" s="21">
        <f t="shared" si="76"/>
        <v>1</v>
      </c>
      <c r="D472" s="667"/>
      <c r="E472" s="21">
        <f t="shared" si="77"/>
        <v>1</v>
      </c>
      <c r="F472" s="667"/>
      <c r="G472" s="21">
        <f t="shared" si="78"/>
        <v>1</v>
      </c>
      <c r="H472" s="667"/>
      <c r="I472" s="21">
        <f t="shared" si="79"/>
        <v>1</v>
      </c>
      <c r="J472" s="667"/>
      <c r="K472" s="21">
        <f t="shared" si="80"/>
        <v>1</v>
      </c>
      <c r="L472" s="667"/>
      <c r="M472" s="21">
        <f t="shared" si="81"/>
        <v>1</v>
      </c>
      <c r="N472" s="667"/>
      <c r="O472" s="21">
        <f t="shared" si="82"/>
        <v>1</v>
      </c>
      <c r="P472" s="667"/>
      <c r="Q472" s="21">
        <f t="shared" si="83"/>
        <v>1</v>
      </c>
      <c r="R472" s="663">
        <f t="shared" si="84"/>
        <v>0</v>
      </c>
      <c r="S472" s="316">
        <f t="shared" si="86"/>
        <v>0</v>
      </c>
    </row>
    <row r="473" spans="1:19">
      <c r="A473" s="665">
        <f>面积明细表!C452</f>
        <v>0</v>
      </c>
      <c r="B473" s="54"/>
      <c r="C473" s="21">
        <f t="shared" si="76"/>
        <v>1</v>
      </c>
      <c r="D473" s="667"/>
      <c r="E473" s="21">
        <f t="shared" si="77"/>
        <v>1</v>
      </c>
      <c r="F473" s="667"/>
      <c r="G473" s="21">
        <f t="shared" si="78"/>
        <v>1</v>
      </c>
      <c r="H473" s="667"/>
      <c r="I473" s="21">
        <f t="shared" si="79"/>
        <v>1</v>
      </c>
      <c r="J473" s="667"/>
      <c r="K473" s="21">
        <f t="shared" si="80"/>
        <v>1</v>
      </c>
      <c r="L473" s="667"/>
      <c r="M473" s="21">
        <f t="shared" si="81"/>
        <v>1</v>
      </c>
      <c r="N473" s="667"/>
      <c r="O473" s="21">
        <f t="shared" si="82"/>
        <v>1</v>
      </c>
      <c r="P473" s="667"/>
      <c r="Q473" s="21">
        <f t="shared" si="83"/>
        <v>1</v>
      </c>
      <c r="R473" s="663">
        <f t="shared" si="84"/>
        <v>0</v>
      </c>
      <c r="S473" s="316">
        <f t="shared" si="86"/>
        <v>0</v>
      </c>
    </row>
    <row r="474" spans="1:19">
      <c r="A474" s="665">
        <f>面积明细表!C453</f>
        <v>0</v>
      </c>
      <c r="B474" s="54"/>
      <c r="C474" s="21">
        <f t="shared" ref="C474:C524" si="87">IF(B474="",1,(LOOKUP(B474,$3:$3,$4:$4)-LOOKUP($B$24,$3:$3,$4:$4)+100)/100)</f>
        <v>1</v>
      </c>
      <c r="D474" s="667"/>
      <c r="E474" s="21">
        <f t="shared" ref="E474:E524" si="88">(SUMIF($5:$5,D474,$6:$6)-SUMIF($5:$5,$D$24,$6:$6)+100)/100</f>
        <v>1</v>
      </c>
      <c r="F474" s="667"/>
      <c r="G474" s="21">
        <f t="shared" ref="G474:G524" si="89">(SUMIF($7:$7,F474,$8:$8)-SUMIF($7:$7,$F$24,$8:$8)+100)/100</f>
        <v>1</v>
      </c>
      <c r="H474" s="667"/>
      <c r="I474" s="21">
        <f t="shared" ref="I474:I524" si="90">(SUMIF($9:$9,H474,$10:$10)-SUMIF($9:$9,$H$24,$10:$10)+100)/100</f>
        <v>1</v>
      </c>
      <c r="J474" s="667"/>
      <c r="K474" s="21">
        <f t="shared" ref="K474:K524" si="91">(SUMIF($11:$11,J474,$12:$12)-SUMIF($11:$11,$J$24,$12:$12)+100)/100</f>
        <v>1</v>
      </c>
      <c r="L474" s="667"/>
      <c r="M474" s="21">
        <f t="shared" ref="M474:M524" si="92">(SUMIF($13:$13,L474,$14:$14)-SUMIF($13:$13,$L$24,$14:$14)+100)/100</f>
        <v>1</v>
      </c>
      <c r="N474" s="667"/>
      <c r="O474" s="21">
        <f t="shared" ref="O474:O524" si="93">(SUMIF($15:$15,N474,$16:$16)-SUMIF($15:$15,$N$24,$16:$16)+100)/100</f>
        <v>1</v>
      </c>
      <c r="P474" s="667"/>
      <c r="Q474" s="21">
        <f t="shared" ref="Q474:Q524" si="94">(SUMIF($17:$17,P474,$18:$18)-SUMIF($17:$17,$P$24,$18:$18)+100)/100</f>
        <v>1</v>
      </c>
      <c r="R474" s="663">
        <f t="shared" ref="R474:R524" si="95">IF(B474="",0,ROUND($R$24*C474*E474*G474*I474*K474*M474*O474*Q474,0))</f>
        <v>0</v>
      </c>
      <c r="S474" s="316">
        <f t="shared" si="86"/>
        <v>0</v>
      </c>
    </row>
    <row r="475" spans="1:19">
      <c r="A475" s="665">
        <f>面积明细表!C454</f>
        <v>0</v>
      </c>
      <c r="B475" s="54"/>
      <c r="C475" s="21">
        <f t="shared" si="87"/>
        <v>1</v>
      </c>
      <c r="D475" s="667"/>
      <c r="E475" s="21">
        <f t="shared" si="88"/>
        <v>1</v>
      </c>
      <c r="F475" s="667"/>
      <c r="G475" s="21">
        <f t="shared" si="89"/>
        <v>1</v>
      </c>
      <c r="H475" s="667"/>
      <c r="I475" s="21">
        <f t="shared" si="90"/>
        <v>1</v>
      </c>
      <c r="J475" s="667"/>
      <c r="K475" s="21">
        <f t="shared" si="91"/>
        <v>1</v>
      </c>
      <c r="L475" s="667"/>
      <c r="M475" s="21">
        <f t="shared" si="92"/>
        <v>1</v>
      </c>
      <c r="N475" s="667"/>
      <c r="O475" s="21">
        <f t="shared" si="93"/>
        <v>1</v>
      </c>
      <c r="P475" s="667"/>
      <c r="Q475" s="21">
        <f t="shared" si="94"/>
        <v>1</v>
      </c>
      <c r="R475" s="663">
        <f t="shared" si="95"/>
        <v>0</v>
      </c>
      <c r="S475" s="316">
        <f t="shared" si="86"/>
        <v>0</v>
      </c>
    </row>
    <row r="476" spans="1:19">
      <c r="A476" s="665">
        <f>面积明细表!C455</f>
        <v>0</v>
      </c>
      <c r="B476" s="54"/>
      <c r="C476" s="21">
        <f t="shared" si="87"/>
        <v>1</v>
      </c>
      <c r="D476" s="667"/>
      <c r="E476" s="21">
        <f t="shared" si="88"/>
        <v>1</v>
      </c>
      <c r="F476" s="667"/>
      <c r="G476" s="21">
        <f t="shared" si="89"/>
        <v>1</v>
      </c>
      <c r="H476" s="667"/>
      <c r="I476" s="21">
        <f t="shared" si="90"/>
        <v>1</v>
      </c>
      <c r="J476" s="667"/>
      <c r="K476" s="21">
        <f t="shared" si="91"/>
        <v>1</v>
      </c>
      <c r="L476" s="667"/>
      <c r="M476" s="21">
        <f t="shared" si="92"/>
        <v>1</v>
      </c>
      <c r="N476" s="667"/>
      <c r="O476" s="21">
        <f t="shared" si="93"/>
        <v>1</v>
      </c>
      <c r="P476" s="667"/>
      <c r="Q476" s="21">
        <f t="shared" si="94"/>
        <v>1</v>
      </c>
      <c r="R476" s="663">
        <f t="shared" si="95"/>
        <v>0</v>
      </c>
      <c r="S476" s="316">
        <f t="shared" si="86"/>
        <v>0</v>
      </c>
    </row>
    <row r="477" spans="1:19">
      <c r="A477" s="665">
        <f>面积明细表!C456</f>
        <v>0</v>
      </c>
      <c r="B477" s="54"/>
      <c r="C477" s="21">
        <f t="shared" si="87"/>
        <v>1</v>
      </c>
      <c r="D477" s="667"/>
      <c r="E477" s="21">
        <f t="shared" si="88"/>
        <v>1</v>
      </c>
      <c r="F477" s="667"/>
      <c r="G477" s="21">
        <f t="shared" si="89"/>
        <v>1</v>
      </c>
      <c r="H477" s="667"/>
      <c r="I477" s="21">
        <f t="shared" si="90"/>
        <v>1</v>
      </c>
      <c r="J477" s="667"/>
      <c r="K477" s="21">
        <f t="shared" si="91"/>
        <v>1</v>
      </c>
      <c r="L477" s="667"/>
      <c r="M477" s="21">
        <f t="shared" si="92"/>
        <v>1</v>
      </c>
      <c r="N477" s="667"/>
      <c r="O477" s="21">
        <f t="shared" si="93"/>
        <v>1</v>
      </c>
      <c r="P477" s="667"/>
      <c r="Q477" s="21">
        <f t="shared" si="94"/>
        <v>1</v>
      </c>
      <c r="R477" s="663">
        <f t="shared" si="95"/>
        <v>0</v>
      </c>
      <c r="S477" s="316">
        <f t="shared" si="86"/>
        <v>0</v>
      </c>
    </row>
    <row r="478" spans="1:19">
      <c r="A478" s="665">
        <f>面积明细表!C457</f>
        <v>0</v>
      </c>
      <c r="B478" s="54"/>
      <c r="C478" s="21">
        <f t="shared" si="87"/>
        <v>1</v>
      </c>
      <c r="D478" s="667"/>
      <c r="E478" s="21">
        <f t="shared" si="88"/>
        <v>1</v>
      </c>
      <c r="F478" s="667"/>
      <c r="G478" s="21">
        <f t="shared" si="89"/>
        <v>1</v>
      </c>
      <c r="H478" s="667"/>
      <c r="I478" s="21">
        <f t="shared" si="90"/>
        <v>1</v>
      </c>
      <c r="J478" s="667"/>
      <c r="K478" s="21">
        <f t="shared" si="91"/>
        <v>1</v>
      </c>
      <c r="L478" s="667"/>
      <c r="M478" s="21">
        <f t="shared" si="92"/>
        <v>1</v>
      </c>
      <c r="N478" s="667"/>
      <c r="O478" s="21">
        <f t="shared" si="93"/>
        <v>1</v>
      </c>
      <c r="P478" s="667"/>
      <c r="Q478" s="21">
        <f t="shared" si="94"/>
        <v>1</v>
      </c>
      <c r="R478" s="663">
        <f t="shared" si="95"/>
        <v>0</v>
      </c>
      <c r="S478" s="316">
        <f t="shared" si="86"/>
        <v>0</v>
      </c>
    </row>
    <row r="479" spans="1:19">
      <c r="A479" s="665">
        <f>面积明细表!C458</f>
        <v>0</v>
      </c>
      <c r="B479" s="54"/>
      <c r="C479" s="21">
        <f t="shared" si="87"/>
        <v>1</v>
      </c>
      <c r="D479" s="667"/>
      <c r="E479" s="21">
        <f t="shared" si="88"/>
        <v>1</v>
      </c>
      <c r="F479" s="667"/>
      <c r="G479" s="21">
        <f t="shared" si="89"/>
        <v>1</v>
      </c>
      <c r="H479" s="667"/>
      <c r="I479" s="21">
        <f t="shared" si="90"/>
        <v>1</v>
      </c>
      <c r="J479" s="667"/>
      <c r="K479" s="21">
        <f t="shared" si="91"/>
        <v>1</v>
      </c>
      <c r="L479" s="667"/>
      <c r="M479" s="21">
        <f t="shared" si="92"/>
        <v>1</v>
      </c>
      <c r="N479" s="667"/>
      <c r="O479" s="21">
        <f t="shared" si="93"/>
        <v>1</v>
      </c>
      <c r="P479" s="667"/>
      <c r="Q479" s="21">
        <f t="shared" si="94"/>
        <v>1</v>
      </c>
      <c r="R479" s="663">
        <f t="shared" si="95"/>
        <v>0</v>
      </c>
      <c r="S479" s="316">
        <f t="shared" si="86"/>
        <v>0</v>
      </c>
    </row>
    <row r="480" spans="1:19">
      <c r="A480" s="665">
        <f>面积明细表!C459</f>
        <v>0</v>
      </c>
      <c r="B480" s="54"/>
      <c r="C480" s="21">
        <f t="shared" si="87"/>
        <v>1</v>
      </c>
      <c r="D480" s="667"/>
      <c r="E480" s="21">
        <f t="shared" si="88"/>
        <v>1</v>
      </c>
      <c r="F480" s="667"/>
      <c r="G480" s="21">
        <f t="shared" si="89"/>
        <v>1</v>
      </c>
      <c r="H480" s="667"/>
      <c r="I480" s="21">
        <f t="shared" si="90"/>
        <v>1</v>
      </c>
      <c r="J480" s="667"/>
      <c r="K480" s="21">
        <f t="shared" si="91"/>
        <v>1</v>
      </c>
      <c r="L480" s="667"/>
      <c r="M480" s="21">
        <f t="shared" si="92"/>
        <v>1</v>
      </c>
      <c r="N480" s="667"/>
      <c r="O480" s="21">
        <f t="shared" si="93"/>
        <v>1</v>
      </c>
      <c r="P480" s="667"/>
      <c r="Q480" s="21">
        <f t="shared" si="94"/>
        <v>1</v>
      </c>
      <c r="R480" s="663">
        <f t="shared" si="95"/>
        <v>0</v>
      </c>
      <c r="S480" s="316">
        <f t="shared" si="86"/>
        <v>0</v>
      </c>
    </row>
    <row r="481" spans="1:19">
      <c r="A481" s="665">
        <f>面积明细表!C460</f>
        <v>0</v>
      </c>
      <c r="B481" s="54"/>
      <c r="C481" s="21">
        <f t="shared" si="87"/>
        <v>1</v>
      </c>
      <c r="D481" s="667"/>
      <c r="E481" s="21">
        <f t="shared" si="88"/>
        <v>1</v>
      </c>
      <c r="F481" s="667"/>
      <c r="G481" s="21">
        <f t="shared" si="89"/>
        <v>1</v>
      </c>
      <c r="H481" s="667"/>
      <c r="I481" s="21">
        <f t="shared" si="90"/>
        <v>1</v>
      </c>
      <c r="J481" s="667"/>
      <c r="K481" s="21">
        <f t="shared" si="91"/>
        <v>1</v>
      </c>
      <c r="L481" s="667"/>
      <c r="M481" s="21">
        <f t="shared" si="92"/>
        <v>1</v>
      </c>
      <c r="N481" s="667"/>
      <c r="O481" s="21">
        <f t="shared" si="93"/>
        <v>1</v>
      </c>
      <c r="P481" s="667"/>
      <c r="Q481" s="21">
        <f t="shared" si="94"/>
        <v>1</v>
      </c>
      <c r="R481" s="663">
        <f t="shared" si="95"/>
        <v>0</v>
      </c>
      <c r="S481" s="316">
        <f t="shared" si="86"/>
        <v>0</v>
      </c>
    </row>
    <row r="482" spans="1:19">
      <c r="A482" s="665">
        <f>面积明细表!C461</f>
        <v>0</v>
      </c>
      <c r="B482" s="54"/>
      <c r="C482" s="21">
        <f t="shared" si="87"/>
        <v>1</v>
      </c>
      <c r="D482" s="667"/>
      <c r="E482" s="21">
        <f t="shared" si="88"/>
        <v>1</v>
      </c>
      <c r="F482" s="667"/>
      <c r="G482" s="21">
        <f t="shared" si="89"/>
        <v>1</v>
      </c>
      <c r="H482" s="667"/>
      <c r="I482" s="21">
        <f t="shared" si="90"/>
        <v>1</v>
      </c>
      <c r="J482" s="667"/>
      <c r="K482" s="21">
        <f t="shared" si="91"/>
        <v>1</v>
      </c>
      <c r="L482" s="667"/>
      <c r="M482" s="21">
        <f t="shared" si="92"/>
        <v>1</v>
      </c>
      <c r="N482" s="667"/>
      <c r="O482" s="21">
        <f t="shared" si="93"/>
        <v>1</v>
      </c>
      <c r="P482" s="667"/>
      <c r="Q482" s="21">
        <f t="shared" si="94"/>
        <v>1</v>
      </c>
      <c r="R482" s="663">
        <f t="shared" si="95"/>
        <v>0</v>
      </c>
      <c r="S482" s="316">
        <f t="shared" si="86"/>
        <v>0</v>
      </c>
    </row>
    <row r="483" spans="1:19">
      <c r="A483" s="665">
        <f>面积明细表!C462</f>
        <v>0</v>
      </c>
      <c r="B483" s="54"/>
      <c r="C483" s="21">
        <f t="shared" si="87"/>
        <v>1</v>
      </c>
      <c r="D483" s="667"/>
      <c r="E483" s="21">
        <f t="shared" si="88"/>
        <v>1</v>
      </c>
      <c r="F483" s="667"/>
      <c r="G483" s="21">
        <f t="shared" si="89"/>
        <v>1</v>
      </c>
      <c r="H483" s="667"/>
      <c r="I483" s="21">
        <f t="shared" si="90"/>
        <v>1</v>
      </c>
      <c r="J483" s="667"/>
      <c r="K483" s="21">
        <f t="shared" si="91"/>
        <v>1</v>
      </c>
      <c r="L483" s="667"/>
      <c r="M483" s="21">
        <f t="shared" si="92"/>
        <v>1</v>
      </c>
      <c r="N483" s="667"/>
      <c r="O483" s="21">
        <f t="shared" si="93"/>
        <v>1</v>
      </c>
      <c r="P483" s="667"/>
      <c r="Q483" s="21">
        <f t="shared" si="94"/>
        <v>1</v>
      </c>
      <c r="R483" s="663">
        <f t="shared" si="95"/>
        <v>0</v>
      </c>
      <c r="S483" s="316">
        <f t="shared" si="86"/>
        <v>0</v>
      </c>
    </row>
    <row r="484" spans="1:19">
      <c r="A484" s="665">
        <f>面积明细表!C463</f>
        <v>0</v>
      </c>
      <c r="B484" s="54"/>
      <c r="C484" s="21">
        <f t="shared" si="87"/>
        <v>1</v>
      </c>
      <c r="D484" s="667"/>
      <c r="E484" s="21">
        <f t="shared" si="88"/>
        <v>1</v>
      </c>
      <c r="F484" s="667"/>
      <c r="G484" s="21">
        <f t="shared" si="89"/>
        <v>1</v>
      </c>
      <c r="H484" s="667"/>
      <c r="I484" s="21">
        <f t="shared" si="90"/>
        <v>1</v>
      </c>
      <c r="J484" s="667"/>
      <c r="K484" s="21">
        <f t="shared" si="91"/>
        <v>1</v>
      </c>
      <c r="L484" s="667"/>
      <c r="M484" s="21">
        <f t="shared" si="92"/>
        <v>1</v>
      </c>
      <c r="N484" s="667"/>
      <c r="O484" s="21">
        <f t="shared" si="93"/>
        <v>1</v>
      </c>
      <c r="P484" s="667"/>
      <c r="Q484" s="21">
        <f t="shared" si="94"/>
        <v>1</v>
      </c>
      <c r="R484" s="663">
        <f t="shared" si="95"/>
        <v>0</v>
      </c>
      <c r="S484" s="316">
        <f t="shared" si="86"/>
        <v>0</v>
      </c>
    </row>
    <row r="485" spans="1:19">
      <c r="A485" s="665">
        <f>面积明细表!C464</f>
        <v>0</v>
      </c>
      <c r="B485" s="54"/>
      <c r="C485" s="21">
        <f t="shared" si="87"/>
        <v>1</v>
      </c>
      <c r="D485" s="667"/>
      <c r="E485" s="21">
        <f t="shared" si="88"/>
        <v>1</v>
      </c>
      <c r="F485" s="667"/>
      <c r="G485" s="21">
        <f t="shared" si="89"/>
        <v>1</v>
      </c>
      <c r="H485" s="667"/>
      <c r="I485" s="21">
        <f t="shared" si="90"/>
        <v>1</v>
      </c>
      <c r="J485" s="667"/>
      <c r="K485" s="21">
        <f t="shared" si="91"/>
        <v>1</v>
      </c>
      <c r="L485" s="667"/>
      <c r="M485" s="21">
        <f t="shared" si="92"/>
        <v>1</v>
      </c>
      <c r="N485" s="667"/>
      <c r="O485" s="21">
        <f t="shared" si="93"/>
        <v>1</v>
      </c>
      <c r="P485" s="667"/>
      <c r="Q485" s="21">
        <f t="shared" si="94"/>
        <v>1</v>
      </c>
      <c r="R485" s="663">
        <f t="shared" si="95"/>
        <v>0</v>
      </c>
      <c r="S485" s="316">
        <f t="shared" si="86"/>
        <v>0</v>
      </c>
    </row>
    <row r="486" spans="1:19">
      <c r="A486" s="665">
        <f>面积明细表!C465</f>
        <v>0</v>
      </c>
      <c r="B486" s="54"/>
      <c r="C486" s="21">
        <f t="shared" si="87"/>
        <v>1</v>
      </c>
      <c r="D486" s="667"/>
      <c r="E486" s="21">
        <f t="shared" si="88"/>
        <v>1</v>
      </c>
      <c r="F486" s="667"/>
      <c r="G486" s="21">
        <f t="shared" si="89"/>
        <v>1</v>
      </c>
      <c r="H486" s="667"/>
      <c r="I486" s="21">
        <f t="shared" si="90"/>
        <v>1</v>
      </c>
      <c r="J486" s="667"/>
      <c r="K486" s="21">
        <f t="shared" si="91"/>
        <v>1</v>
      </c>
      <c r="L486" s="667"/>
      <c r="M486" s="21">
        <f t="shared" si="92"/>
        <v>1</v>
      </c>
      <c r="N486" s="667"/>
      <c r="O486" s="21">
        <f t="shared" si="93"/>
        <v>1</v>
      </c>
      <c r="P486" s="667"/>
      <c r="Q486" s="21">
        <f t="shared" si="94"/>
        <v>1</v>
      </c>
      <c r="R486" s="663">
        <f t="shared" si="95"/>
        <v>0</v>
      </c>
      <c r="S486" s="316">
        <f t="shared" si="86"/>
        <v>0</v>
      </c>
    </row>
    <row r="487" spans="1:19">
      <c r="A487" s="665">
        <f>面积明细表!C466</f>
        <v>0</v>
      </c>
      <c r="B487" s="54"/>
      <c r="C487" s="21">
        <f t="shared" si="87"/>
        <v>1</v>
      </c>
      <c r="D487" s="667"/>
      <c r="E487" s="21">
        <f t="shared" si="88"/>
        <v>1</v>
      </c>
      <c r="F487" s="667"/>
      <c r="G487" s="21">
        <f t="shared" si="89"/>
        <v>1</v>
      </c>
      <c r="H487" s="667"/>
      <c r="I487" s="21">
        <f t="shared" si="90"/>
        <v>1</v>
      </c>
      <c r="J487" s="667"/>
      <c r="K487" s="21">
        <f t="shared" si="91"/>
        <v>1</v>
      </c>
      <c r="L487" s="667"/>
      <c r="M487" s="21">
        <f t="shared" si="92"/>
        <v>1</v>
      </c>
      <c r="N487" s="667"/>
      <c r="O487" s="21">
        <f t="shared" si="93"/>
        <v>1</v>
      </c>
      <c r="P487" s="667"/>
      <c r="Q487" s="21">
        <f t="shared" si="94"/>
        <v>1</v>
      </c>
      <c r="R487" s="663">
        <f t="shared" si="95"/>
        <v>0</v>
      </c>
      <c r="S487" s="316">
        <f t="shared" si="86"/>
        <v>0</v>
      </c>
    </row>
    <row r="488" spans="1:19">
      <c r="A488" s="665">
        <f>面积明细表!C467</f>
        <v>0</v>
      </c>
      <c r="B488" s="54"/>
      <c r="C488" s="21">
        <f t="shared" si="87"/>
        <v>1</v>
      </c>
      <c r="D488" s="667"/>
      <c r="E488" s="21">
        <f t="shared" si="88"/>
        <v>1</v>
      </c>
      <c r="F488" s="667"/>
      <c r="G488" s="21">
        <f t="shared" si="89"/>
        <v>1</v>
      </c>
      <c r="H488" s="667"/>
      <c r="I488" s="21">
        <f t="shared" si="90"/>
        <v>1</v>
      </c>
      <c r="J488" s="667"/>
      <c r="K488" s="21">
        <f t="shared" si="91"/>
        <v>1</v>
      </c>
      <c r="L488" s="667"/>
      <c r="M488" s="21">
        <f t="shared" si="92"/>
        <v>1</v>
      </c>
      <c r="N488" s="667"/>
      <c r="O488" s="21">
        <f t="shared" si="93"/>
        <v>1</v>
      </c>
      <c r="P488" s="667"/>
      <c r="Q488" s="21">
        <f t="shared" si="94"/>
        <v>1</v>
      </c>
      <c r="R488" s="663">
        <f t="shared" si="95"/>
        <v>0</v>
      </c>
      <c r="S488" s="316">
        <f t="shared" si="86"/>
        <v>0</v>
      </c>
    </row>
    <row r="489" spans="1:19">
      <c r="A489" s="665">
        <f>面积明细表!C468</f>
        <v>0</v>
      </c>
      <c r="B489" s="54"/>
      <c r="C489" s="21">
        <f t="shared" si="87"/>
        <v>1</v>
      </c>
      <c r="D489" s="667"/>
      <c r="E489" s="21">
        <f t="shared" si="88"/>
        <v>1</v>
      </c>
      <c r="F489" s="667"/>
      <c r="G489" s="21">
        <f t="shared" si="89"/>
        <v>1</v>
      </c>
      <c r="H489" s="667"/>
      <c r="I489" s="21">
        <f t="shared" si="90"/>
        <v>1</v>
      </c>
      <c r="J489" s="667"/>
      <c r="K489" s="21">
        <f t="shared" si="91"/>
        <v>1</v>
      </c>
      <c r="L489" s="667"/>
      <c r="M489" s="21">
        <f t="shared" si="92"/>
        <v>1</v>
      </c>
      <c r="N489" s="667"/>
      <c r="O489" s="21">
        <f t="shared" si="93"/>
        <v>1</v>
      </c>
      <c r="P489" s="667"/>
      <c r="Q489" s="21">
        <f t="shared" si="94"/>
        <v>1</v>
      </c>
      <c r="R489" s="663">
        <f t="shared" si="95"/>
        <v>0</v>
      </c>
      <c r="S489" s="316">
        <f t="shared" si="86"/>
        <v>0</v>
      </c>
    </row>
    <row r="490" spans="1:19">
      <c r="A490" s="665">
        <f>面积明细表!C469</f>
        <v>0</v>
      </c>
      <c r="B490" s="54"/>
      <c r="C490" s="21">
        <f t="shared" si="87"/>
        <v>1</v>
      </c>
      <c r="D490" s="667"/>
      <c r="E490" s="21">
        <f t="shared" si="88"/>
        <v>1</v>
      </c>
      <c r="F490" s="667"/>
      <c r="G490" s="21">
        <f t="shared" si="89"/>
        <v>1</v>
      </c>
      <c r="H490" s="667"/>
      <c r="I490" s="21">
        <f t="shared" si="90"/>
        <v>1</v>
      </c>
      <c r="J490" s="667"/>
      <c r="K490" s="21">
        <f t="shared" si="91"/>
        <v>1</v>
      </c>
      <c r="L490" s="667"/>
      <c r="M490" s="21">
        <f t="shared" si="92"/>
        <v>1</v>
      </c>
      <c r="N490" s="667"/>
      <c r="O490" s="21">
        <f t="shared" si="93"/>
        <v>1</v>
      </c>
      <c r="P490" s="667"/>
      <c r="Q490" s="21">
        <f t="shared" si="94"/>
        <v>1</v>
      </c>
      <c r="R490" s="663">
        <f t="shared" si="95"/>
        <v>0</v>
      </c>
      <c r="S490" s="316">
        <f t="shared" si="86"/>
        <v>0</v>
      </c>
    </row>
    <row r="491" spans="1:19">
      <c r="A491" s="665">
        <f>面积明细表!C470</f>
        <v>0</v>
      </c>
      <c r="B491" s="54"/>
      <c r="C491" s="21">
        <f t="shared" si="87"/>
        <v>1</v>
      </c>
      <c r="D491" s="667"/>
      <c r="E491" s="21">
        <f t="shared" si="88"/>
        <v>1</v>
      </c>
      <c r="F491" s="667"/>
      <c r="G491" s="21">
        <f t="shared" si="89"/>
        <v>1</v>
      </c>
      <c r="H491" s="667"/>
      <c r="I491" s="21">
        <f t="shared" si="90"/>
        <v>1</v>
      </c>
      <c r="J491" s="667"/>
      <c r="K491" s="21">
        <f t="shared" si="91"/>
        <v>1</v>
      </c>
      <c r="L491" s="667"/>
      <c r="M491" s="21">
        <f t="shared" si="92"/>
        <v>1</v>
      </c>
      <c r="N491" s="667"/>
      <c r="O491" s="21">
        <f t="shared" si="93"/>
        <v>1</v>
      </c>
      <c r="P491" s="667"/>
      <c r="Q491" s="21">
        <f t="shared" si="94"/>
        <v>1</v>
      </c>
      <c r="R491" s="663">
        <f t="shared" si="95"/>
        <v>0</v>
      </c>
      <c r="S491" s="316">
        <f t="shared" si="86"/>
        <v>0</v>
      </c>
    </row>
    <row r="492" spans="1:19">
      <c r="A492" s="665">
        <f>面积明细表!C471</f>
        <v>0</v>
      </c>
      <c r="B492" s="54"/>
      <c r="C492" s="21">
        <f t="shared" si="87"/>
        <v>1</v>
      </c>
      <c r="D492" s="667"/>
      <c r="E492" s="21">
        <f t="shared" si="88"/>
        <v>1</v>
      </c>
      <c r="F492" s="667"/>
      <c r="G492" s="21">
        <f t="shared" si="89"/>
        <v>1</v>
      </c>
      <c r="H492" s="667"/>
      <c r="I492" s="21">
        <f t="shared" si="90"/>
        <v>1</v>
      </c>
      <c r="J492" s="667"/>
      <c r="K492" s="21">
        <f t="shared" si="91"/>
        <v>1</v>
      </c>
      <c r="L492" s="667"/>
      <c r="M492" s="21">
        <f t="shared" si="92"/>
        <v>1</v>
      </c>
      <c r="N492" s="667"/>
      <c r="O492" s="21">
        <f t="shared" si="93"/>
        <v>1</v>
      </c>
      <c r="P492" s="667"/>
      <c r="Q492" s="21">
        <f t="shared" si="94"/>
        <v>1</v>
      </c>
      <c r="R492" s="663">
        <f t="shared" si="95"/>
        <v>0</v>
      </c>
      <c r="S492" s="316">
        <f t="shared" si="86"/>
        <v>0</v>
      </c>
    </row>
    <row r="493" spans="1:19">
      <c r="A493" s="665">
        <f>面积明细表!C472</f>
        <v>0</v>
      </c>
      <c r="B493" s="54"/>
      <c r="C493" s="21">
        <f t="shared" si="87"/>
        <v>1</v>
      </c>
      <c r="D493" s="667"/>
      <c r="E493" s="21">
        <f t="shared" si="88"/>
        <v>1</v>
      </c>
      <c r="F493" s="667"/>
      <c r="G493" s="21">
        <f t="shared" si="89"/>
        <v>1</v>
      </c>
      <c r="H493" s="667"/>
      <c r="I493" s="21">
        <f t="shared" si="90"/>
        <v>1</v>
      </c>
      <c r="J493" s="667"/>
      <c r="K493" s="21">
        <f t="shared" si="91"/>
        <v>1</v>
      </c>
      <c r="L493" s="667"/>
      <c r="M493" s="21">
        <f t="shared" si="92"/>
        <v>1</v>
      </c>
      <c r="N493" s="667"/>
      <c r="O493" s="21">
        <f t="shared" si="93"/>
        <v>1</v>
      </c>
      <c r="P493" s="667"/>
      <c r="Q493" s="21">
        <f t="shared" si="94"/>
        <v>1</v>
      </c>
      <c r="R493" s="663">
        <f t="shared" si="95"/>
        <v>0</v>
      </c>
      <c r="S493" s="316">
        <f t="shared" si="86"/>
        <v>0</v>
      </c>
    </row>
    <row r="494" spans="1:19">
      <c r="A494" s="665">
        <f>面积明细表!C473</f>
        <v>0</v>
      </c>
      <c r="B494" s="54"/>
      <c r="C494" s="21">
        <f t="shared" si="87"/>
        <v>1</v>
      </c>
      <c r="D494" s="667"/>
      <c r="E494" s="21">
        <f t="shared" si="88"/>
        <v>1</v>
      </c>
      <c r="F494" s="667"/>
      <c r="G494" s="21">
        <f t="shared" si="89"/>
        <v>1</v>
      </c>
      <c r="H494" s="667"/>
      <c r="I494" s="21">
        <f t="shared" si="90"/>
        <v>1</v>
      </c>
      <c r="J494" s="667"/>
      <c r="K494" s="21">
        <f t="shared" si="91"/>
        <v>1</v>
      </c>
      <c r="L494" s="667"/>
      <c r="M494" s="21">
        <f t="shared" si="92"/>
        <v>1</v>
      </c>
      <c r="N494" s="667"/>
      <c r="O494" s="21">
        <f t="shared" si="93"/>
        <v>1</v>
      </c>
      <c r="P494" s="667"/>
      <c r="Q494" s="21">
        <f t="shared" si="94"/>
        <v>1</v>
      </c>
      <c r="R494" s="663">
        <f t="shared" si="95"/>
        <v>0</v>
      </c>
      <c r="S494" s="316">
        <f t="shared" si="86"/>
        <v>0</v>
      </c>
    </row>
    <row r="495" spans="1:19">
      <c r="A495" s="665">
        <f>面积明细表!C474</f>
        <v>0</v>
      </c>
      <c r="B495" s="54"/>
      <c r="C495" s="21">
        <f t="shared" si="87"/>
        <v>1</v>
      </c>
      <c r="D495" s="667"/>
      <c r="E495" s="21">
        <f t="shared" si="88"/>
        <v>1</v>
      </c>
      <c r="F495" s="667"/>
      <c r="G495" s="21">
        <f t="shared" si="89"/>
        <v>1</v>
      </c>
      <c r="H495" s="667"/>
      <c r="I495" s="21">
        <f t="shared" si="90"/>
        <v>1</v>
      </c>
      <c r="J495" s="667"/>
      <c r="K495" s="21">
        <f t="shared" si="91"/>
        <v>1</v>
      </c>
      <c r="L495" s="667"/>
      <c r="M495" s="21">
        <f t="shared" si="92"/>
        <v>1</v>
      </c>
      <c r="N495" s="667"/>
      <c r="O495" s="21">
        <f t="shared" si="93"/>
        <v>1</v>
      </c>
      <c r="P495" s="667"/>
      <c r="Q495" s="21">
        <f t="shared" si="94"/>
        <v>1</v>
      </c>
      <c r="R495" s="663">
        <f t="shared" si="95"/>
        <v>0</v>
      </c>
      <c r="S495" s="316">
        <f t="shared" si="86"/>
        <v>0</v>
      </c>
    </row>
    <row r="496" spans="1:19">
      <c r="A496" s="665">
        <f>面积明细表!C475</f>
        <v>0</v>
      </c>
      <c r="B496" s="54"/>
      <c r="C496" s="21">
        <f t="shared" si="87"/>
        <v>1</v>
      </c>
      <c r="D496" s="667"/>
      <c r="E496" s="21">
        <f t="shared" si="88"/>
        <v>1</v>
      </c>
      <c r="F496" s="667"/>
      <c r="G496" s="21">
        <f t="shared" si="89"/>
        <v>1</v>
      </c>
      <c r="H496" s="667"/>
      <c r="I496" s="21">
        <f t="shared" si="90"/>
        <v>1</v>
      </c>
      <c r="J496" s="667"/>
      <c r="K496" s="21">
        <f t="shared" si="91"/>
        <v>1</v>
      </c>
      <c r="L496" s="667"/>
      <c r="M496" s="21">
        <f t="shared" si="92"/>
        <v>1</v>
      </c>
      <c r="N496" s="667"/>
      <c r="O496" s="21">
        <f t="shared" si="93"/>
        <v>1</v>
      </c>
      <c r="P496" s="667"/>
      <c r="Q496" s="21">
        <f t="shared" si="94"/>
        <v>1</v>
      </c>
      <c r="R496" s="663">
        <f t="shared" si="95"/>
        <v>0</v>
      </c>
      <c r="S496" s="316">
        <f t="shared" si="86"/>
        <v>0</v>
      </c>
    </row>
    <row r="497" spans="1:19">
      <c r="A497" s="665">
        <f>面积明细表!C476</f>
        <v>0</v>
      </c>
      <c r="B497" s="54"/>
      <c r="C497" s="21">
        <f t="shared" si="87"/>
        <v>1</v>
      </c>
      <c r="D497" s="667"/>
      <c r="E497" s="21">
        <f t="shared" si="88"/>
        <v>1</v>
      </c>
      <c r="F497" s="667"/>
      <c r="G497" s="21">
        <f t="shared" si="89"/>
        <v>1</v>
      </c>
      <c r="H497" s="667"/>
      <c r="I497" s="21">
        <f t="shared" si="90"/>
        <v>1</v>
      </c>
      <c r="J497" s="667"/>
      <c r="K497" s="21">
        <f t="shared" si="91"/>
        <v>1</v>
      </c>
      <c r="L497" s="667"/>
      <c r="M497" s="21">
        <f t="shared" si="92"/>
        <v>1</v>
      </c>
      <c r="N497" s="667"/>
      <c r="O497" s="21">
        <f t="shared" si="93"/>
        <v>1</v>
      </c>
      <c r="P497" s="667"/>
      <c r="Q497" s="21">
        <f t="shared" si="94"/>
        <v>1</v>
      </c>
      <c r="R497" s="663">
        <f t="shared" si="95"/>
        <v>0</v>
      </c>
      <c r="S497" s="316">
        <f t="shared" si="86"/>
        <v>0</v>
      </c>
    </row>
    <row r="498" spans="1:19">
      <c r="A498" s="665">
        <f>面积明细表!C477</f>
        <v>0</v>
      </c>
      <c r="B498" s="54"/>
      <c r="C498" s="21">
        <f t="shared" si="87"/>
        <v>1</v>
      </c>
      <c r="D498" s="667"/>
      <c r="E498" s="21">
        <f t="shared" si="88"/>
        <v>1</v>
      </c>
      <c r="F498" s="667"/>
      <c r="G498" s="21">
        <f t="shared" si="89"/>
        <v>1</v>
      </c>
      <c r="H498" s="667"/>
      <c r="I498" s="21">
        <f t="shared" si="90"/>
        <v>1</v>
      </c>
      <c r="J498" s="667"/>
      <c r="K498" s="21">
        <f t="shared" si="91"/>
        <v>1</v>
      </c>
      <c r="L498" s="667"/>
      <c r="M498" s="21">
        <f t="shared" si="92"/>
        <v>1</v>
      </c>
      <c r="N498" s="667"/>
      <c r="O498" s="21">
        <f t="shared" si="93"/>
        <v>1</v>
      </c>
      <c r="P498" s="667"/>
      <c r="Q498" s="21">
        <f t="shared" si="94"/>
        <v>1</v>
      </c>
      <c r="R498" s="663">
        <f t="shared" si="95"/>
        <v>0</v>
      </c>
      <c r="S498" s="316">
        <f t="shared" ref="S498:S524" si="96">ROUND(R498*B498/10000,0)</f>
        <v>0</v>
      </c>
    </row>
    <row r="499" spans="1:19">
      <c r="A499" s="665">
        <f>面积明细表!C478</f>
        <v>0</v>
      </c>
      <c r="B499" s="54"/>
      <c r="C499" s="21">
        <f t="shared" si="87"/>
        <v>1</v>
      </c>
      <c r="D499" s="667"/>
      <c r="E499" s="21">
        <f t="shared" si="88"/>
        <v>1</v>
      </c>
      <c r="F499" s="667"/>
      <c r="G499" s="21">
        <f t="shared" si="89"/>
        <v>1</v>
      </c>
      <c r="H499" s="667"/>
      <c r="I499" s="21">
        <f t="shared" si="90"/>
        <v>1</v>
      </c>
      <c r="J499" s="667"/>
      <c r="K499" s="21">
        <f t="shared" si="91"/>
        <v>1</v>
      </c>
      <c r="L499" s="667"/>
      <c r="M499" s="21">
        <f t="shared" si="92"/>
        <v>1</v>
      </c>
      <c r="N499" s="667"/>
      <c r="O499" s="21">
        <f t="shared" si="93"/>
        <v>1</v>
      </c>
      <c r="P499" s="667"/>
      <c r="Q499" s="21">
        <f t="shared" si="94"/>
        <v>1</v>
      </c>
      <c r="R499" s="663">
        <f t="shared" si="95"/>
        <v>0</v>
      </c>
      <c r="S499" s="316">
        <f t="shared" si="96"/>
        <v>0</v>
      </c>
    </row>
    <row r="500" spans="1:19">
      <c r="A500" s="665">
        <f>面积明细表!C479</f>
        <v>0</v>
      </c>
      <c r="B500" s="54"/>
      <c r="C500" s="21">
        <f t="shared" si="87"/>
        <v>1</v>
      </c>
      <c r="D500" s="667"/>
      <c r="E500" s="21">
        <f t="shared" si="88"/>
        <v>1</v>
      </c>
      <c r="F500" s="667"/>
      <c r="G500" s="21">
        <f t="shared" si="89"/>
        <v>1</v>
      </c>
      <c r="H500" s="667"/>
      <c r="I500" s="21">
        <f t="shared" si="90"/>
        <v>1</v>
      </c>
      <c r="J500" s="667"/>
      <c r="K500" s="21">
        <f t="shared" si="91"/>
        <v>1</v>
      </c>
      <c r="L500" s="667"/>
      <c r="M500" s="21">
        <f t="shared" si="92"/>
        <v>1</v>
      </c>
      <c r="N500" s="667"/>
      <c r="O500" s="21">
        <f t="shared" si="93"/>
        <v>1</v>
      </c>
      <c r="P500" s="667"/>
      <c r="Q500" s="21">
        <f t="shared" si="94"/>
        <v>1</v>
      </c>
      <c r="R500" s="663">
        <f t="shared" si="95"/>
        <v>0</v>
      </c>
      <c r="S500" s="316">
        <f t="shared" si="96"/>
        <v>0</v>
      </c>
    </row>
    <row r="501" spans="1:19">
      <c r="A501" s="665">
        <f>面积明细表!C480</f>
        <v>0</v>
      </c>
      <c r="B501" s="54"/>
      <c r="C501" s="21">
        <f t="shared" si="87"/>
        <v>1</v>
      </c>
      <c r="D501" s="667"/>
      <c r="E501" s="21">
        <f t="shared" si="88"/>
        <v>1</v>
      </c>
      <c r="F501" s="667"/>
      <c r="G501" s="21">
        <f t="shared" si="89"/>
        <v>1</v>
      </c>
      <c r="H501" s="667"/>
      <c r="I501" s="21">
        <f t="shared" si="90"/>
        <v>1</v>
      </c>
      <c r="J501" s="667"/>
      <c r="K501" s="21">
        <f t="shared" si="91"/>
        <v>1</v>
      </c>
      <c r="L501" s="667"/>
      <c r="M501" s="21">
        <f t="shared" si="92"/>
        <v>1</v>
      </c>
      <c r="N501" s="667"/>
      <c r="O501" s="21">
        <f t="shared" si="93"/>
        <v>1</v>
      </c>
      <c r="P501" s="667"/>
      <c r="Q501" s="21">
        <f t="shared" si="94"/>
        <v>1</v>
      </c>
      <c r="R501" s="663">
        <f t="shared" si="95"/>
        <v>0</v>
      </c>
      <c r="S501" s="316">
        <f t="shared" si="96"/>
        <v>0</v>
      </c>
    </row>
    <row r="502" spans="1:19">
      <c r="A502" s="665">
        <f>面积明细表!C481</f>
        <v>0</v>
      </c>
      <c r="B502" s="54"/>
      <c r="C502" s="21">
        <f t="shared" si="87"/>
        <v>1</v>
      </c>
      <c r="D502" s="667"/>
      <c r="E502" s="21">
        <f t="shared" si="88"/>
        <v>1</v>
      </c>
      <c r="F502" s="667"/>
      <c r="G502" s="21">
        <f t="shared" si="89"/>
        <v>1</v>
      </c>
      <c r="H502" s="667"/>
      <c r="I502" s="21">
        <f t="shared" si="90"/>
        <v>1</v>
      </c>
      <c r="J502" s="667"/>
      <c r="K502" s="21">
        <f t="shared" si="91"/>
        <v>1</v>
      </c>
      <c r="L502" s="667"/>
      <c r="M502" s="21">
        <f t="shared" si="92"/>
        <v>1</v>
      </c>
      <c r="N502" s="667"/>
      <c r="O502" s="21">
        <f t="shared" si="93"/>
        <v>1</v>
      </c>
      <c r="P502" s="667"/>
      <c r="Q502" s="21">
        <f t="shared" si="94"/>
        <v>1</v>
      </c>
      <c r="R502" s="663">
        <f t="shared" si="95"/>
        <v>0</v>
      </c>
      <c r="S502" s="316">
        <f t="shared" si="96"/>
        <v>0</v>
      </c>
    </row>
    <row r="503" spans="1:19">
      <c r="A503" s="665">
        <f>面积明细表!C482</f>
        <v>0</v>
      </c>
      <c r="B503" s="54"/>
      <c r="C503" s="21">
        <f t="shared" si="87"/>
        <v>1</v>
      </c>
      <c r="D503" s="667"/>
      <c r="E503" s="21">
        <f t="shared" si="88"/>
        <v>1</v>
      </c>
      <c r="F503" s="667"/>
      <c r="G503" s="21">
        <f t="shared" si="89"/>
        <v>1</v>
      </c>
      <c r="H503" s="667"/>
      <c r="I503" s="21">
        <f t="shared" si="90"/>
        <v>1</v>
      </c>
      <c r="J503" s="667"/>
      <c r="K503" s="21">
        <f t="shared" si="91"/>
        <v>1</v>
      </c>
      <c r="L503" s="667"/>
      <c r="M503" s="21">
        <f t="shared" si="92"/>
        <v>1</v>
      </c>
      <c r="N503" s="667"/>
      <c r="O503" s="21">
        <f t="shared" si="93"/>
        <v>1</v>
      </c>
      <c r="P503" s="667"/>
      <c r="Q503" s="21">
        <f t="shared" si="94"/>
        <v>1</v>
      </c>
      <c r="R503" s="663">
        <f t="shared" si="95"/>
        <v>0</v>
      </c>
      <c r="S503" s="316">
        <f t="shared" si="96"/>
        <v>0</v>
      </c>
    </row>
    <row r="504" spans="1:19">
      <c r="A504" s="665">
        <f>面积明细表!C483</f>
        <v>0</v>
      </c>
      <c r="B504" s="54"/>
      <c r="C504" s="21">
        <f t="shared" si="87"/>
        <v>1</v>
      </c>
      <c r="D504" s="667"/>
      <c r="E504" s="21">
        <f t="shared" si="88"/>
        <v>1</v>
      </c>
      <c r="F504" s="667"/>
      <c r="G504" s="21">
        <f t="shared" si="89"/>
        <v>1</v>
      </c>
      <c r="H504" s="667"/>
      <c r="I504" s="21">
        <f t="shared" si="90"/>
        <v>1</v>
      </c>
      <c r="J504" s="667"/>
      <c r="K504" s="21">
        <f t="shared" si="91"/>
        <v>1</v>
      </c>
      <c r="L504" s="667"/>
      <c r="M504" s="21">
        <f t="shared" si="92"/>
        <v>1</v>
      </c>
      <c r="N504" s="667"/>
      <c r="O504" s="21">
        <f t="shared" si="93"/>
        <v>1</v>
      </c>
      <c r="P504" s="667"/>
      <c r="Q504" s="21">
        <f t="shared" si="94"/>
        <v>1</v>
      </c>
      <c r="R504" s="663">
        <f t="shared" si="95"/>
        <v>0</v>
      </c>
      <c r="S504" s="316">
        <f t="shared" si="96"/>
        <v>0</v>
      </c>
    </row>
    <row r="505" spans="1:19">
      <c r="A505" s="665">
        <f>面积明细表!C484</f>
        <v>0</v>
      </c>
      <c r="B505" s="54"/>
      <c r="C505" s="21">
        <f t="shared" si="87"/>
        <v>1</v>
      </c>
      <c r="D505" s="667"/>
      <c r="E505" s="21">
        <f t="shared" si="88"/>
        <v>1</v>
      </c>
      <c r="F505" s="667"/>
      <c r="G505" s="21">
        <f t="shared" si="89"/>
        <v>1</v>
      </c>
      <c r="H505" s="667"/>
      <c r="I505" s="21">
        <f t="shared" si="90"/>
        <v>1</v>
      </c>
      <c r="J505" s="667"/>
      <c r="K505" s="21">
        <f t="shared" si="91"/>
        <v>1</v>
      </c>
      <c r="L505" s="667"/>
      <c r="M505" s="21">
        <f t="shared" si="92"/>
        <v>1</v>
      </c>
      <c r="N505" s="667"/>
      <c r="O505" s="21">
        <f t="shared" si="93"/>
        <v>1</v>
      </c>
      <c r="P505" s="667"/>
      <c r="Q505" s="21">
        <f t="shared" si="94"/>
        <v>1</v>
      </c>
      <c r="R505" s="663">
        <f t="shared" si="95"/>
        <v>0</v>
      </c>
      <c r="S505" s="316">
        <f t="shared" si="96"/>
        <v>0</v>
      </c>
    </row>
    <row r="506" spans="1:19">
      <c r="A506" s="665">
        <f>面积明细表!C485</f>
        <v>0</v>
      </c>
      <c r="B506" s="54"/>
      <c r="C506" s="21">
        <f t="shared" si="87"/>
        <v>1</v>
      </c>
      <c r="D506" s="667"/>
      <c r="E506" s="21">
        <f t="shared" si="88"/>
        <v>1</v>
      </c>
      <c r="F506" s="667"/>
      <c r="G506" s="21">
        <f t="shared" si="89"/>
        <v>1</v>
      </c>
      <c r="H506" s="667"/>
      <c r="I506" s="21">
        <f t="shared" si="90"/>
        <v>1</v>
      </c>
      <c r="J506" s="667"/>
      <c r="K506" s="21">
        <f t="shared" si="91"/>
        <v>1</v>
      </c>
      <c r="L506" s="667"/>
      <c r="M506" s="21">
        <f t="shared" si="92"/>
        <v>1</v>
      </c>
      <c r="N506" s="667"/>
      <c r="O506" s="21">
        <f t="shared" si="93"/>
        <v>1</v>
      </c>
      <c r="P506" s="667"/>
      <c r="Q506" s="21">
        <f t="shared" si="94"/>
        <v>1</v>
      </c>
      <c r="R506" s="663">
        <f t="shared" si="95"/>
        <v>0</v>
      </c>
      <c r="S506" s="316">
        <f t="shared" si="96"/>
        <v>0</v>
      </c>
    </row>
    <row r="507" spans="1:19">
      <c r="A507" s="665">
        <f>面积明细表!C486</f>
        <v>0</v>
      </c>
      <c r="B507" s="54"/>
      <c r="C507" s="21">
        <f t="shared" si="87"/>
        <v>1</v>
      </c>
      <c r="D507" s="667"/>
      <c r="E507" s="21">
        <f t="shared" si="88"/>
        <v>1</v>
      </c>
      <c r="F507" s="667"/>
      <c r="G507" s="21">
        <f t="shared" si="89"/>
        <v>1</v>
      </c>
      <c r="H507" s="667"/>
      <c r="I507" s="21">
        <f t="shared" si="90"/>
        <v>1</v>
      </c>
      <c r="J507" s="667"/>
      <c r="K507" s="21">
        <f t="shared" si="91"/>
        <v>1</v>
      </c>
      <c r="L507" s="667"/>
      <c r="M507" s="21">
        <f t="shared" si="92"/>
        <v>1</v>
      </c>
      <c r="N507" s="667"/>
      <c r="O507" s="21">
        <f t="shared" si="93"/>
        <v>1</v>
      </c>
      <c r="P507" s="667"/>
      <c r="Q507" s="21">
        <f t="shared" si="94"/>
        <v>1</v>
      </c>
      <c r="R507" s="663">
        <f t="shared" si="95"/>
        <v>0</v>
      </c>
      <c r="S507" s="316">
        <f t="shared" si="96"/>
        <v>0</v>
      </c>
    </row>
    <row r="508" spans="1:19">
      <c r="A508" s="665">
        <f>面积明细表!C487</f>
        <v>0</v>
      </c>
      <c r="B508" s="54"/>
      <c r="C508" s="21">
        <f t="shared" si="87"/>
        <v>1</v>
      </c>
      <c r="D508" s="667"/>
      <c r="E508" s="21">
        <f t="shared" si="88"/>
        <v>1</v>
      </c>
      <c r="F508" s="667"/>
      <c r="G508" s="21">
        <f t="shared" si="89"/>
        <v>1</v>
      </c>
      <c r="H508" s="667"/>
      <c r="I508" s="21">
        <f t="shared" si="90"/>
        <v>1</v>
      </c>
      <c r="J508" s="667"/>
      <c r="K508" s="21">
        <f t="shared" si="91"/>
        <v>1</v>
      </c>
      <c r="L508" s="667"/>
      <c r="M508" s="21">
        <f t="shared" si="92"/>
        <v>1</v>
      </c>
      <c r="N508" s="667"/>
      <c r="O508" s="21">
        <f t="shared" si="93"/>
        <v>1</v>
      </c>
      <c r="P508" s="667"/>
      <c r="Q508" s="21">
        <f t="shared" si="94"/>
        <v>1</v>
      </c>
      <c r="R508" s="663">
        <f t="shared" si="95"/>
        <v>0</v>
      </c>
      <c r="S508" s="316">
        <f t="shared" si="96"/>
        <v>0</v>
      </c>
    </row>
    <row r="509" spans="1:19">
      <c r="A509" s="665">
        <f>面积明细表!C488</f>
        <v>0</v>
      </c>
      <c r="B509" s="54"/>
      <c r="C509" s="21">
        <f t="shared" si="87"/>
        <v>1</v>
      </c>
      <c r="D509" s="667"/>
      <c r="E509" s="21">
        <f t="shared" si="88"/>
        <v>1</v>
      </c>
      <c r="F509" s="667"/>
      <c r="G509" s="21">
        <f t="shared" si="89"/>
        <v>1</v>
      </c>
      <c r="H509" s="667"/>
      <c r="I509" s="21">
        <f t="shared" si="90"/>
        <v>1</v>
      </c>
      <c r="J509" s="667"/>
      <c r="K509" s="21">
        <f t="shared" si="91"/>
        <v>1</v>
      </c>
      <c r="L509" s="667"/>
      <c r="M509" s="21">
        <f t="shared" si="92"/>
        <v>1</v>
      </c>
      <c r="N509" s="667"/>
      <c r="O509" s="21">
        <f t="shared" si="93"/>
        <v>1</v>
      </c>
      <c r="P509" s="667"/>
      <c r="Q509" s="21">
        <f t="shared" si="94"/>
        <v>1</v>
      </c>
      <c r="R509" s="663">
        <f t="shared" si="95"/>
        <v>0</v>
      </c>
      <c r="S509" s="316">
        <f t="shared" si="96"/>
        <v>0</v>
      </c>
    </row>
    <row r="510" spans="1:19">
      <c r="A510" s="665">
        <f>面积明细表!C489</f>
        <v>0</v>
      </c>
      <c r="B510" s="54"/>
      <c r="C510" s="21">
        <f t="shared" si="87"/>
        <v>1</v>
      </c>
      <c r="D510" s="667"/>
      <c r="E510" s="21">
        <f t="shared" si="88"/>
        <v>1</v>
      </c>
      <c r="F510" s="667"/>
      <c r="G510" s="21">
        <f t="shared" si="89"/>
        <v>1</v>
      </c>
      <c r="H510" s="667"/>
      <c r="I510" s="21">
        <f t="shared" si="90"/>
        <v>1</v>
      </c>
      <c r="J510" s="667"/>
      <c r="K510" s="21">
        <f t="shared" si="91"/>
        <v>1</v>
      </c>
      <c r="L510" s="667"/>
      <c r="M510" s="21">
        <f t="shared" si="92"/>
        <v>1</v>
      </c>
      <c r="N510" s="667"/>
      <c r="O510" s="21">
        <f t="shared" si="93"/>
        <v>1</v>
      </c>
      <c r="P510" s="667"/>
      <c r="Q510" s="21">
        <f t="shared" si="94"/>
        <v>1</v>
      </c>
      <c r="R510" s="663">
        <f t="shared" si="95"/>
        <v>0</v>
      </c>
      <c r="S510" s="316">
        <f t="shared" si="96"/>
        <v>0</v>
      </c>
    </row>
    <row r="511" spans="1:19">
      <c r="A511" s="665">
        <f>面积明细表!C490</f>
        <v>0</v>
      </c>
      <c r="B511" s="54"/>
      <c r="C511" s="21">
        <f t="shared" si="87"/>
        <v>1</v>
      </c>
      <c r="D511" s="667"/>
      <c r="E511" s="21">
        <f t="shared" si="88"/>
        <v>1</v>
      </c>
      <c r="F511" s="667"/>
      <c r="G511" s="21">
        <f t="shared" si="89"/>
        <v>1</v>
      </c>
      <c r="H511" s="667"/>
      <c r="I511" s="21">
        <f t="shared" si="90"/>
        <v>1</v>
      </c>
      <c r="J511" s="667"/>
      <c r="K511" s="21">
        <f t="shared" si="91"/>
        <v>1</v>
      </c>
      <c r="L511" s="667"/>
      <c r="M511" s="21">
        <f t="shared" si="92"/>
        <v>1</v>
      </c>
      <c r="N511" s="667"/>
      <c r="O511" s="21">
        <f t="shared" si="93"/>
        <v>1</v>
      </c>
      <c r="P511" s="667"/>
      <c r="Q511" s="21">
        <f t="shared" si="94"/>
        <v>1</v>
      </c>
      <c r="R511" s="663">
        <f t="shared" si="95"/>
        <v>0</v>
      </c>
      <c r="S511" s="316">
        <f t="shared" si="96"/>
        <v>0</v>
      </c>
    </row>
    <row r="512" spans="1:19">
      <c r="A512" s="665">
        <f>面积明细表!C491</f>
        <v>0</v>
      </c>
      <c r="B512" s="54"/>
      <c r="C512" s="21">
        <f t="shared" si="87"/>
        <v>1</v>
      </c>
      <c r="D512" s="667"/>
      <c r="E512" s="21">
        <f t="shared" si="88"/>
        <v>1</v>
      </c>
      <c r="F512" s="667"/>
      <c r="G512" s="21">
        <f t="shared" si="89"/>
        <v>1</v>
      </c>
      <c r="H512" s="667"/>
      <c r="I512" s="21">
        <f t="shared" si="90"/>
        <v>1</v>
      </c>
      <c r="J512" s="667"/>
      <c r="K512" s="21">
        <f t="shared" si="91"/>
        <v>1</v>
      </c>
      <c r="L512" s="667"/>
      <c r="M512" s="21">
        <f t="shared" si="92"/>
        <v>1</v>
      </c>
      <c r="N512" s="667"/>
      <c r="O512" s="21">
        <f t="shared" si="93"/>
        <v>1</v>
      </c>
      <c r="P512" s="667"/>
      <c r="Q512" s="21">
        <f t="shared" si="94"/>
        <v>1</v>
      </c>
      <c r="R512" s="663">
        <f t="shared" si="95"/>
        <v>0</v>
      </c>
      <c r="S512" s="316">
        <f t="shared" si="96"/>
        <v>0</v>
      </c>
    </row>
    <row r="513" spans="1:19">
      <c r="A513" s="665">
        <f>面积明细表!C492</f>
        <v>0</v>
      </c>
      <c r="B513" s="54"/>
      <c r="C513" s="21">
        <f t="shared" si="87"/>
        <v>1</v>
      </c>
      <c r="D513" s="667"/>
      <c r="E513" s="21">
        <f t="shared" si="88"/>
        <v>1</v>
      </c>
      <c r="F513" s="667"/>
      <c r="G513" s="21">
        <f t="shared" si="89"/>
        <v>1</v>
      </c>
      <c r="H513" s="667"/>
      <c r="I513" s="21">
        <f t="shared" si="90"/>
        <v>1</v>
      </c>
      <c r="J513" s="667"/>
      <c r="K513" s="21">
        <f t="shared" si="91"/>
        <v>1</v>
      </c>
      <c r="L513" s="667"/>
      <c r="M513" s="21">
        <f t="shared" si="92"/>
        <v>1</v>
      </c>
      <c r="N513" s="667"/>
      <c r="O513" s="21">
        <f t="shared" si="93"/>
        <v>1</v>
      </c>
      <c r="P513" s="667"/>
      <c r="Q513" s="21">
        <f t="shared" si="94"/>
        <v>1</v>
      </c>
      <c r="R513" s="663">
        <f t="shared" si="95"/>
        <v>0</v>
      </c>
      <c r="S513" s="316">
        <f t="shared" si="96"/>
        <v>0</v>
      </c>
    </row>
    <row r="514" spans="1:19">
      <c r="A514" s="665">
        <f>面积明细表!C493</f>
        <v>0</v>
      </c>
      <c r="B514" s="54"/>
      <c r="C514" s="21">
        <f t="shared" si="87"/>
        <v>1</v>
      </c>
      <c r="D514" s="667"/>
      <c r="E514" s="21">
        <f t="shared" si="88"/>
        <v>1</v>
      </c>
      <c r="F514" s="667"/>
      <c r="G514" s="21">
        <f t="shared" si="89"/>
        <v>1</v>
      </c>
      <c r="H514" s="667"/>
      <c r="I514" s="21">
        <f t="shared" si="90"/>
        <v>1</v>
      </c>
      <c r="J514" s="667"/>
      <c r="K514" s="21">
        <f t="shared" si="91"/>
        <v>1</v>
      </c>
      <c r="L514" s="667"/>
      <c r="M514" s="21">
        <f t="shared" si="92"/>
        <v>1</v>
      </c>
      <c r="N514" s="667"/>
      <c r="O514" s="21">
        <f t="shared" si="93"/>
        <v>1</v>
      </c>
      <c r="P514" s="667"/>
      <c r="Q514" s="21">
        <f t="shared" si="94"/>
        <v>1</v>
      </c>
      <c r="R514" s="663">
        <f t="shared" si="95"/>
        <v>0</v>
      </c>
      <c r="S514" s="316">
        <f t="shared" si="96"/>
        <v>0</v>
      </c>
    </row>
    <row r="515" spans="1:19">
      <c r="A515" s="665">
        <f>面积明细表!C494</f>
        <v>0</v>
      </c>
      <c r="B515" s="54"/>
      <c r="C515" s="21">
        <f t="shared" si="87"/>
        <v>1</v>
      </c>
      <c r="D515" s="667"/>
      <c r="E515" s="21">
        <f t="shared" si="88"/>
        <v>1</v>
      </c>
      <c r="F515" s="667"/>
      <c r="G515" s="21">
        <f t="shared" si="89"/>
        <v>1</v>
      </c>
      <c r="H515" s="667"/>
      <c r="I515" s="21">
        <f t="shared" si="90"/>
        <v>1</v>
      </c>
      <c r="J515" s="667"/>
      <c r="K515" s="21">
        <f t="shared" si="91"/>
        <v>1</v>
      </c>
      <c r="L515" s="667"/>
      <c r="M515" s="21">
        <f t="shared" si="92"/>
        <v>1</v>
      </c>
      <c r="N515" s="667"/>
      <c r="O515" s="21">
        <f t="shared" si="93"/>
        <v>1</v>
      </c>
      <c r="P515" s="667"/>
      <c r="Q515" s="21">
        <f t="shared" si="94"/>
        <v>1</v>
      </c>
      <c r="R515" s="663">
        <f t="shared" si="95"/>
        <v>0</v>
      </c>
      <c r="S515" s="316">
        <f t="shared" si="96"/>
        <v>0</v>
      </c>
    </row>
    <row r="516" spans="1:19">
      <c r="A516" s="665">
        <f>面积明细表!C495</f>
        <v>0</v>
      </c>
      <c r="B516" s="54"/>
      <c r="C516" s="21">
        <f t="shared" si="87"/>
        <v>1</v>
      </c>
      <c r="D516" s="667"/>
      <c r="E516" s="21">
        <f t="shared" si="88"/>
        <v>1</v>
      </c>
      <c r="F516" s="667"/>
      <c r="G516" s="21">
        <f t="shared" si="89"/>
        <v>1</v>
      </c>
      <c r="H516" s="667"/>
      <c r="I516" s="21">
        <f t="shared" si="90"/>
        <v>1</v>
      </c>
      <c r="J516" s="667"/>
      <c r="K516" s="21">
        <f t="shared" si="91"/>
        <v>1</v>
      </c>
      <c r="L516" s="667"/>
      <c r="M516" s="21">
        <f t="shared" si="92"/>
        <v>1</v>
      </c>
      <c r="N516" s="667"/>
      <c r="O516" s="21">
        <f t="shared" si="93"/>
        <v>1</v>
      </c>
      <c r="P516" s="667"/>
      <c r="Q516" s="21">
        <f t="shared" si="94"/>
        <v>1</v>
      </c>
      <c r="R516" s="663">
        <f t="shared" si="95"/>
        <v>0</v>
      </c>
      <c r="S516" s="316">
        <f t="shared" si="96"/>
        <v>0</v>
      </c>
    </row>
    <row r="517" spans="1:19">
      <c r="A517" s="665">
        <f>面积明细表!C496</f>
        <v>0</v>
      </c>
      <c r="B517" s="54"/>
      <c r="C517" s="21">
        <f t="shared" si="87"/>
        <v>1</v>
      </c>
      <c r="D517" s="667"/>
      <c r="E517" s="21">
        <f t="shared" si="88"/>
        <v>1</v>
      </c>
      <c r="F517" s="667"/>
      <c r="G517" s="21">
        <f t="shared" si="89"/>
        <v>1</v>
      </c>
      <c r="H517" s="667"/>
      <c r="I517" s="21">
        <f t="shared" si="90"/>
        <v>1</v>
      </c>
      <c r="J517" s="667"/>
      <c r="K517" s="21">
        <f t="shared" si="91"/>
        <v>1</v>
      </c>
      <c r="L517" s="667"/>
      <c r="M517" s="21">
        <f t="shared" si="92"/>
        <v>1</v>
      </c>
      <c r="N517" s="667"/>
      <c r="O517" s="21">
        <f t="shared" si="93"/>
        <v>1</v>
      </c>
      <c r="P517" s="667"/>
      <c r="Q517" s="21">
        <f t="shared" si="94"/>
        <v>1</v>
      </c>
      <c r="R517" s="663">
        <f t="shared" si="95"/>
        <v>0</v>
      </c>
      <c r="S517" s="316">
        <f t="shared" si="96"/>
        <v>0</v>
      </c>
    </row>
    <row r="518" spans="1:19">
      <c r="A518" s="665">
        <f>面积明细表!C497</f>
        <v>0</v>
      </c>
      <c r="B518" s="54"/>
      <c r="C518" s="21">
        <f t="shared" si="87"/>
        <v>1</v>
      </c>
      <c r="D518" s="667"/>
      <c r="E518" s="21">
        <f t="shared" si="88"/>
        <v>1</v>
      </c>
      <c r="F518" s="667"/>
      <c r="G518" s="21">
        <f t="shared" si="89"/>
        <v>1</v>
      </c>
      <c r="H518" s="667"/>
      <c r="I518" s="21">
        <f t="shared" si="90"/>
        <v>1</v>
      </c>
      <c r="J518" s="667"/>
      <c r="K518" s="21">
        <f t="shared" si="91"/>
        <v>1</v>
      </c>
      <c r="L518" s="667"/>
      <c r="M518" s="21">
        <f t="shared" si="92"/>
        <v>1</v>
      </c>
      <c r="N518" s="667"/>
      <c r="O518" s="21">
        <f t="shared" si="93"/>
        <v>1</v>
      </c>
      <c r="P518" s="667"/>
      <c r="Q518" s="21">
        <f t="shared" si="94"/>
        <v>1</v>
      </c>
      <c r="R518" s="663">
        <f t="shared" si="95"/>
        <v>0</v>
      </c>
      <c r="S518" s="316">
        <f t="shared" si="96"/>
        <v>0</v>
      </c>
    </row>
    <row r="519" spans="1:19">
      <c r="A519" s="665">
        <f>面积明细表!C498</f>
        <v>0</v>
      </c>
      <c r="B519" s="54"/>
      <c r="C519" s="21">
        <f t="shared" si="87"/>
        <v>1</v>
      </c>
      <c r="D519" s="667"/>
      <c r="E519" s="21">
        <f t="shared" si="88"/>
        <v>1</v>
      </c>
      <c r="F519" s="667"/>
      <c r="G519" s="21">
        <f t="shared" si="89"/>
        <v>1</v>
      </c>
      <c r="H519" s="667"/>
      <c r="I519" s="21">
        <f t="shared" si="90"/>
        <v>1</v>
      </c>
      <c r="J519" s="667"/>
      <c r="K519" s="21">
        <f t="shared" si="91"/>
        <v>1</v>
      </c>
      <c r="L519" s="667"/>
      <c r="M519" s="21">
        <f t="shared" si="92"/>
        <v>1</v>
      </c>
      <c r="N519" s="667"/>
      <c r="O519" s="21">
        <f t="shared" si="93"/>
        <v>1</v>
      </c>
      <c r="P519" s="667"/>
      <c r="Q519" s="21">
        <f t="shared" si="94"/>
        <v>1</v>
      </c>
      <c r="R519" s="663">
        <f t="shared" si="95"/>
        <v>0</v>
      </c>
      <c r="S519" s="316">
        <f t="shared" si="96"/>
        <v>0</v>
      </c>
    </row>
    <row r="520" spans="1:19">
      <c r="A520" s="665">
        <f>面积明细表!C499</f>
        <v>0</v>
      </c>
      <c r="B520" s="54"/>
      <c r="C520" s="21">
        <f t="shared" si="87"/>
        <v>1</v>
      </c>
      <c r="D520" s="667"/>
      <c r="E520" s="21">
        <f t="shared" si="88"/>
        <v>1</v>
      </c>
      <c r="F520" s="667"/>
      <c r="G520" s="21">
        <f t="shared" si="89"/>
        <v>1</v>
      </c>
      <c r="H520" s="667"/>
      <c r="I520" s="21">
        <f t="shared" si="90"/>
        <v>1</v>
      </c>
      <c r="J520" s="667"/>
      <c r="K520" s="21">
        <f t="shared" si="91"/>
        <v>1</v>
      </c>
      <c r="L520" s="667"/>
      <c r="M520" s="21">
        <f t="shared" si="92"/>
        <v>1</v>
      </c>
      <c r="N520" s="667"/>
      <c r="O520" s="21">
        <f t="shared" si="93"/>
        <v>1</v>
      </c>
      <c r="P520" s="667"/>
      <c r="Q520" s="21">
        <f t="shared" si="94"/>
        <v>1</v>
      </c>
      <c r="R520" s="663">
        <f t="shared" si="95"/>
        <v>0</v>
      </c>
      <c r="S520" s="316">
        <f t="shared" si="96"/>
        <v>0</v>
      </c>
    </row>
    <row r="521" spans="1:19">
      <c r="A521" s="665">
        <f>面积明细表!C500</f>
        <v>0</v>
      </c>
      <c r="B521" s="54"/>
      <c r="C521" s="21">
        <f t="shared" si="87"/>
        <v>1</v>
      </c>
      <c r="D521" s="667"/>
      <c r="E521" s="21">
        <f t="shared" si="88"/>
        <v>1</v>
      </c>
      <c r="F521" s="667"/>
      <c r="G521" s="21">
        <f t="shared" si="89"/>
        <v>1</v>
      </c>
      <c r="H521" s="667"/>
      <c r="I521" s="21">
        <f t="shared" si="90"/>
        <v>1</v>
      </c>
      <c r="J521" s="667"/>
      <c r="K521" s="21">
        <f t="shared" si="91"/>
        <v>1</v>
      </c>
      <c r="L521" s="667"/>
      <c r="M521" s="21">
        <f t="shared" si="92"/>
        <v>1</v>
      </c>
      <c r="N521" s="667"/>
      <c r="O521" s="21">
        <f t="shared" si="93"/>
        <v>1</v>
      </c>
      <c r="P521" s="667"/>
      <c r="Q521" s="21">
        <f t="shared" si="94"/>
        <v>1</v>
      </c>
      <c r="R521" s="663">
        <f t="shared" si="95"/>
        <v>0</v>
      </c>
      <c r="S521" s="316">
        <f t="shared" si="96"/>
        <v>0</v>
      </c>
    </row>
    <row r="522" spans="1:19">
      <c r="A522" s="665">
        <f>面积明细表!C501</f>
        <v>0</v>
      </c>
      <c r="B522" s="54"/>
      <c r="C522" s="21">
        <f t="shared" si="87"/>
        <v>1</v>
      </c>
      <c r="D522" s="667"/>
      <c r="E522" s="21">
        <f t="shared" si="88"/>
        <v>1</v>
      </c>
      <c r="F522" s="667"/>
      <c r="G522" s="21">
        <f t="shared" si="89"/>
        <v>1</v>
      </c>
      <c r="H522" s="667"/>
      <c r="I522" s="21">
        <f t="shared" si="90"/>
        <v>1</v>
      </c>
      <c r="J522" s="667"/>
      <c r="K522" s="21">
        <f t="shared" si="91"/>
        <v>1</v>
      </c>
      <c r="L522" s="667"/>
      <c r="M522" s="21">
        <f t="shared" si="92"/>
        <v>1</v>
      </c>
      <c r="N522" s="667"/>
      <c r="O522" s="21">
        <f t="shared" si="93"/>
        <v>1</v>
      </c>
      <c r="P522" s="667"/>
      <c r="Q522" s="21">
        <f t="shared" si="94"/>
        <v>1</v>
      </c>
      <c r="R522" s="663">
        <f t="shared" si="95"/>
        <v>0</v>
      </c>
      <c r="S522" s="316">
        <f t="shared" si="96"/>
        <v>0</v>
      </c>
    </row>
    <row r="523" spans="1:19">
      <c r="A523" s="665">
        <f>面积明细表!C502</f>
        <v>0</v>
      </c>
      <c r="B523" s="54"/>
      <c r="C523" s="21">
        <f t="shared" si="87"/>
        <v>1</v>
      </c>
      <c r="D523" s="667"/>
      <c r="E523" s="21">
        <f t="shared" si="88"/>
        <v>1</v>
      </c>
      <c r="F523" s="667"/>
      <c r="G523" s="21">
        <f t="shared" si="89"/>
        <v>1</v>
      </c>
      <c r="H523" s="667"/>
      <c r="I523" s="21">
        <f t="shared" si="90"/>
        <v>1</v>
      </c>
      <c r="J523" s="667"/>
      <c r="K523" s="21">
        <f t="shared" si="91"/>
        <v>1</v>
      </c>
      <c r="L523" s="667"/>
      <c r="M523" s="21">
        <f t="shared" si="92"/>
        <v>1</v>
      </c>
      <c r="N523" s="667"/>
      <c r="O523" s="21">
        <f t="shared" si="93"/>
        <v>1</v>
      </c>
      <c r="P523" s="667"/>
      <c r="Q523" s="21">
        <f t="shared" si="94"/>
        <v>1</v>
      </c>
      <c r="R523" s="663">
        <f t="shared" si="95"/>
        <v>0</v>
      </c>
      <c r="S523" s="316">
        <f t="shared" si="96"/>
        <v>0</v>
      </c>
    </row>
    <row r="524" spans="1:19">
      <c r="A524" s="665">
        <f>面积明细表!C503</f>
        <v>0</v>
      </c>
      <c r="B524" s="54"/>
      <c r="C524" s="21">
        <f t="shared" si="87"/>
        <v>1</v>
      </c>
      <c r="D524" s="667"/>
      <c r="E524" s="21">
        <f t="shared" si="88"/>
        <v>1</v>
      </c>
      <c r="F524" s="667"/>
      <c r="G524" s="21">
        <f t="shared" si="89"/>
        <v>1</v>
      </c>
      <c r="H524" s="667"/>
      <c r="I524" s="21">
        <f t="shared" si="90"/>
        <v>1</v>
      </c>
      <c r="J524" s="667"/>
      <c r="K524" s="21">
        <f t="shared" si="91"/>
        <v>1</v>
      </c>
      <c r="L524" s="667"/>
      <c r="M524" s="21">
        <f t="shared" si="92"/>
        <v>1</v>
      </c>
      <c r="N524" s="667"/>
      <c r="O524" s="21">
        <f t="shared" si="93"/>
        <v>1</v>
      </c>
      <c r="P524" s="667"/>
      <c r="Q524" s="21">
        <f t="shared" si="94"/>
        <v>1</v>
      </c>
      <c r="R524" s="663">
        <f t="shared" si="95"/>
        <v>0</v>
      </c>
      <c r="S524" s="316">
        <f t="shared" si="96"/>
        <v>0</v>
      </c>
    </row>
  </sheetData>
  <sheetProtection formatCells="0" formatColumns="0" formatRows="0"/>
  <mergeCells count="2">
    <mergeCell ref="C22:Q22"/>
    <mergeCell ref="C1:S1"/>
  </mergeCells>
  <phoneticPr fontId="24" type="noConversion"/>
  <conditionalFormatting sqref="C24:C524 E24:E524 G24:G524 I24:I524 K24:K524 M24:M524 O24:O524 Q24:Q524">
    <cfRule type="cellIs" dxfId="19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topLeftCell="A16" zoomScale="80" zoomScaleNormal="70" zoomScaleSheetLayoutView="80" workbookViewId="0">
      <selection activeCell="L32" sqref="L3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9265.11</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62" t="s">
        <v>1770</v>
      </c>
      <c r="D4" s="3663"/>
      <c r="E4" s="3664" t="s">
        <v>1771</v>
      </c>
      <c r="F4" s="3665"/>
      <c r="G4" s="3662" t="s">
        <v>1772</v>
      </c>
      <c r="H4" s="3663"/>
      <c r="I4" s="3662" t="s">
        <v>1773</v>
      </c>
      <c r="J4" s="3663"/>
      <c r="K4" s="559" t="s">
        <v>1774</v>
      </c>
      <c r="L4" s="2715"/>
      <c r="M4" s="2716"/>
      <c r="N4" s="2716"/>
      <c r="O4" s="2716"/>
      <c r="P4" s="3666" t="s">
        <v>1775</v>
      </c>
      <c r="Q4" s="3667"/>
      <c r="R4" s="3644" t="s">
        <v>1771</v>
      </c>
      <c r="S4" s="3645"/>
      <c r="T4" s="3644" t="s">
        <v>1772</v>
      </c>
      <c r="U4" s="3645"/>
      <c r="V4" s="3674" t="s">
        <v>1773</v>
      </c>
      <c r="W4" s="3674"/>
      <c r="X4" s="1958"/>
      <c r="Y4" s="3644" t="s">
        <v>1775</v>
      </c>
      <c r="Z4" s="3645"/>
      <c r="AA4" s="3639" t="s">
        <v>1771</v>
      </c>
      <c r="AB4" s="3639" t="s">
        <v>1772</v>
      </c>
      <c r="AC4" s="3659" t="s">
        <v>1773</v>
      </c>
    </row>
    <row r="5" spans="1:29" ht="15">
      <c r="A5" s="358"/>
      <c r="B5" s="359"/>
      <c r="C5" s="3650" t="s">
        <v>1673</v>
      </c>
      <c r="D5" s="3651"/>
      <c r="E5" s="3648" t="s">
        <v>3541</v>
      </c>
      <c r="F5" s="3649"/>
      <c r="G5" s="3654" t="s">
        <v>3542</v>
      </c>
      <c r="H5" s="3651"/>
      <c r="I5" s="3654" t="s">
        <v>3543</v>
      </c>
      <c r="J5" s="3651"/>
      <c r="K5" s="559"/>
      <c r="L5" s="2715"/>
      <c r="M5" s="2716"/>
      <c r="N5" s="2716"/>
      <c r="O5" s="2716"/>
      <c r="P5" s="3668"/>
      <c r="Q5" s="3669"/>
      <c r="R5" s="3646"/>
      <c r="S5" s="3647"/>
      <c r="T5" s="3646"/>
      <c r="U5" s="3647"/>
      <c r="V5" s="3675"/>
      <c r="W5" s="3675"/>
      <c r="X5" s="1355"/>
      <c r="Y5" s="3646"/>
      <c r="Z5" s="3647"/>
      <c r="AA5" s="3640"/>
      <c r="AB5" s="3640"/>
      <c r="AC5" s="3660"/>
    </row>
    <row r="6" spans="1:29" ht="15.75" thickBot="1">
      <c r="A6" s="360"/>
      <c r="B6" s="361"/>
      <c r="C6" s="3652" t="s">
        <v>1677</v>
      </c>
      <c r="D6" s="3653"/>
      <c r="E6" s="3655" t="s">
        <v>1677</v>
      </c>
      <c r="F6" s="3656"/>
      <c r="G6" s="3652" t="s">
        <v>1677</v>
      </c>
      <c r="H6" s="3653"/>
      <c r="I6" s="3652" t="s">
        <v>1677</v>
      </c>
      <c r="J6" s="3653"/>
      <c r="K6" s="559" t="s">
        <v>1678</v>
      </c>
      <c r="L6" s="2715"/>
      <c r="M6" s="2716"/>
      <c r="N6" s="2716"/>
      <c r="O6" s="2716"/>
      <c r="P6" s="3670"/>
      <c r="Q6" s="3671"/>
      <c r="R6" s="3646"/>
      <c r="S6" s="3647"/>
      <c r="T6" s="3672"/>
      <c r="U6" s="3673"/>
      <c r="V6" s="3675"/>
      <c r="W6" s="3675"/>
      <c r="X6" s="1355"/>
      <c r="Y6" s="3672"/>
      <c r="Z6" s="3673"/>
      <c r="AA6" s="3641"/>
      <c r="AB6" s="3641"/>
      <c r="AC6" s="3661"/>
    </row>
    <row r="7" spans="1:29" s="108" customFormat="1" ht="15.75" thickBot="1">
      <c r="A7" s="362" t="s">
        <v>1679</v>
      </c>
      <c r="B7" s="363"/>
      <c r="C7" s="364">
        <f>'数据-取费表'!B2</f>
        <v>45033</v>
      </c>
      <c r="D7" s="365">
        <v>100</v>
      </c>
      <c r="E7" s="366">
        <v>44986</v>
      </c>
      <c r="F7" s="367">
        <f>SUMIF(59:59,YEAR(E7)&amp;"-"&amp;MONTH(E7),60:60)</f>
        <v>100</v>
      </c>
      <c r="G7" s="366">
        <v>44958</v>
      </c>
      <c r="H7" s="365">
        <f>SUMIF(59:59,YEAR(G7)&amp;"-"&amp;MONTH(G7),60:60)</f>
        <v>100</v>
      </c>
      <c r="I7" s="366">
        <v>44986</v>
      </c>
      <c r="J7" s="365">
        <f>SUMIF(59:59,YEAR(I7)&amp;"-"&amp;MONTH(I7),60:60)</f>
        <v>100</v>
      </c>
      <c r="K7" s="560"/>
      <c r="L7" s="2717"/>
      <c r="M7" s="2718"/>
      <c r="N7" s="2718"/>
      <c r="O7" s="2718"/>
      <c r="P7" s="3676" t="s">
        <v>1680</v>
      </c>
      <c r="Q7" s="3677"/>
      <c r="R7" s="701" t="s">
        <v>14</v>
      </c>
      <c r="S7" s="702">
        <f t="shared" ref="S7:S15" si="0">F7</f>
        <v>100</v>
      </c>
      <c r="T7" s="701" t="s">
        <v>14</v>
      </c>
      <c r="U7" s="702">
        <f t="shared" ref="U7:U15" si="1">H7</f>
        <v>100</v>
      </c>
      <c r="V7" s="701" t="s">
        <v>14</v>
      </c>
      <c r="W7" s="702">
        <f t="shared" ref="W7:W15" si="2">J7</f>
        <v>100</v>
      </c>
      <c r="X7" s="703"/>
      <c r="Y7" s="3642" t="s">
        <v>1680</v>
      </c>
      <c r="Z7" s="3643"/>
      <c r="AA7" s="704">
        <f>D7/F7</f>
        <v>1</v>
      </c>
      <c r="AB7" s="704">
        <f>D7/H7</f>
        <v>1</v>
      </c>
      <c r="AC7" s="1959">
        <f>D7/J7</f>
        <v>1</v>
      </c>
    </row>
    <row r="8" spans="1:29" s="108" customFormat="1" ht="15.75" thickBot="1">
      <c r="A8" s="362" t="s">
        <v>1681</v>
      </c>
      <c r="B8" s="363"/>
      <c r="C8" s="368" t="s">
        <v>3544</v>
      </c>
      <c r="D8" s="365">
        <v>100</v>
      </c>
      <c r="E8" s="368" t="s">
        <v>3544</v>
      </c>
      <c r="F8" s="367">
        <f>SUMIF(62:62,E8,63:63)-SUMIF(62:62,C8,63:63)+100</f>
        <v>100</v>
      </c>
      <c r="G8" s="368" t="s">
        <v>3544</v>
      </c>
      <c r="H8" s="365">
        <f>SUMIF(62:62,G8,63:63)-SUMIF(62:62,C8,63:63)+100</f>
        <v>100</v>
      </c>
      <c r="I8" s="368" t="s">
        <v>3544</v>
      </c>
      <c r="J8" s="365">
        <f>SUMIF(62:62,I8,63:63)-SUMIF(62:62,C8,63:63)+100</f>
        <v>100</v>
      </c>
      <c r="K8" s="560"/>
      <c r="L8" s="2717"/>
      <c r="M8" s="2718"/>
      <c r="N8" s="2718"/>
      <c r="O8" s="2718"/>
      <c r="P8" s="3676" t="s">
        <v>1683</v>
      </c>
      <c r="Q8" s="3643"/>
      <c r="R8" s="701" t="s">
        <v>14</v>
      </c>
      <c r="S8" s="702">
        <f t="shared" si="0"/>
        <v>100</v>
      </c>
      <c r="T8" s="701" t="s">
        <v>14</v>
      </c>
      <c r="U8" s="702">
        <f t="shared" si="1"/>
        <v>100</v>
      </c>
      <c r="V8" s="701" t="s">
        <v>14</v>
      </c>
      <c r="W8" s="702">
        <f t="shared" si="2"/>
        <v>100</v>
      </c>
      <c r="X8" s="703"/>
      <c r="Y8" s="3642" t="s">
        <v>1683</v>
      </c>
      <c r="Z8" s="3643"/>
      <c r="AA8" s="704">
        <f t="shared" ref="AA8:AA47" si="3">D8/F8</f>
        <v>1</v>
      </c>
      <c r="AB8" s="704">
        <f t="shared" ref="AB8:AB47" si="4">D8/H8</f>
        <v>1</v>
      </c>
      <c r="AC8" s="1959">
        <f t="shared" ref="AC8:AC47" si="5">D8/J8</f>
        <v>1</v>
      </c>
    </row>
    <row r="9" spans="1:29" s="108" customFormat="1">
      <c r="A9" s="369" t="s">
        <v>1684</v>
      </c>
      <c r="B9" s="63" t="s">
        <v>1685</v>
      </c>
      <c r="C9" s="3527" t="s">
        <v>3585</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57" t="s">
        <v>1686</v>
      </c>
      <c r="Q9" s="1343" t="str">
        <f t="shared" ref="Q9:Q15" si="6">B9</f>
        <v>用途</v>
      </c>
      <c r="R9" s="701" t="s">
        <v>14</v>
      </c>
      <c r="S9" s="702">
        <f t="shared" si="0"/>
        <v>100</v>
      </c>
      <c r="T9" s="701" t="s">
        <v>14</v>
      </c>
      <c r="U9" s="702">
        <f t="shared" si="1"/>
        <v>100</v>
      </c>
      <c r="V9" s="701" t="s">
        <v>14</v>
      </c>
      <c r="W9" s="702">
        <f t="shared" si="2"/>
        <v>100</v>
      </c>
      <c r="X9" s="703"/>
      <c r="Y9" s="3658"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57"/>
      <c r="Q10" s="1343" t="str">
        <f t="shared" si="6"/>
        <v>土地使用年限（年）</v>
      </c>
      <c r="R10" s="701" t="s">
        <v>14</v>
      </c>
      <c r="S10" s="702">
        <f t="shared" si="0"/>
        <v>100</v>
      </c>
      <c r="T10" s="701" t="s">
        <v>14</v>
      </c>
      <c r="U10" s="702">
        <f t="shared" si="1"/>
        <v>100</v>
      </c>
      <c r="V10" s="701" t="s">
        <v>14</v>
      </c>
      <c r="W10" s="702">
        <f t="shared" si="2"/>
        <v>100</v>
      </c>
      <c r="X10" s="703"/>
      <c r="Y10" s="3658"/>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57"/>
      <c r="Q11" s="1343" t="str">
        <f t="shared" si="6"/>
        <v>容积率</v>
      </c>
      <c r="R11" s="701" t="s">
        <v>14</v>
      </c>
      <c r="S11" s="702">
        <f t="shared" si="0"/>
        <v>100</v>
      </c>
      <c r="T11" s="701" t="s">
        <v>14</v>
      </c>
      <c r="U11" s="702">
        <f t="shared" si="1"/>
        <v>100</v>
      </c>
      <c r="V11" s="701" t="s">
        <v>14</v>
      </c>
      <c r="W11" s="702">
        <f t="shared" si="2"/>
        <v>100</v>
      </c>
      <c r="X11" s="703"/>
      <c r="Y11" s="365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57"/>
      <c r="Q12" s="1343">
        <f t="shared" si="6"/>
        <v>111</v>
      </c>
      <c r="R12" s="701" t="s">
        <v>14</v>
      </c>
      <c r="S12" s="702">
        <f t="shared" si="0"/>
        <v>100</v>
      </c>
      <c r="T12" s="701" t="s">
        <v>14</v>
      </c>
      <c r="U12" s="702">
        <f t="shared" si="1"/>
        <v>100</v>
      </c>
      <c r="V12" s="701" t="s">
        <v>14</v>
      </c>
      <c r="W12" s="702">
        <f t="shared" si="2"/>
        <v>100</v>
      </c>
      <c r="X12" s="703"/>
      <c r="Y12" s="365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57"/>
      <c r="Q13" s="1343">
        <f t="shared" si="6"/>
        <v>111</v>
      </c>
      <c r="R13" s="701" t="s">
        <v>14</v>
      </c>
      <c r="S13" s="702">
        <f t="shared" si="0"/>
        <v>100</v>
      </c>
      <c r="T13" s="701" t="s">
        <v>14</v>
      </c>
      <c r="U13" s="702">
        <f t="shared" si="1"/>
        <v>100</v>
      </c>
      <c r="V13" s="701" t="s">
        <v>14</v>
      </c>
      <c r="W13" s="702">
        <f t="shared" si="2"/>
        <v>100</v>
      </c>
      <c r="X13" s="703"/>
      <c r="Y13" s="3658"/>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57"/>
      <c r="Q14" s="1343">
        <f t="shared" si="6"/>
        <v>111</v>
      </c>
      <c r="R14" s="701" t="s">
        <v>14</v>
      </c>
      <c r="S14" s="702">
        <f t="shared" si="0"/>
        <v>100</v>
      </c>
      <c r="T14" s="701" t="s">
        <v>14</v>
      </c>
      <c r="U14" s="702">
        <f t="shared" si="1"/>
        <v>100</v>
      </c>
      <c r="V14" s="701" t="s">
        <v>14</v>
      </c>
      <c r="W14" s="702">
        <f t="shared" si="2"/>
        <v>100</v>
      </c>
      <c r="X14" s="703"/>
      <c r="Y14" s="3658"/>
      <c r="Z14" s="52">
        <f t="shared" si="7"/>
        <v>111</v>
      </c>
      <c r="AA14" s="704">
        <f t="shared" si="3"/>
        <v>1</v>
      </c>
      <c r="AB14" s="704">
        <f t="shared" si="4"/>
        <v>1</v>
      </c>
      <c r="AC14" s="1959">
        <f t="shared" si="5"/>
        <v>1</v>
      </c>
    </row>
    <row r="15" spans="1:29" ht="71.25">
      <c r="A15" s="391" t="s">
        <v>1690</v>
      </c>
      <c r="B15" s="577" t="s">
        <v>1811</v>
      </c>
      <c r="C15" s="1961" t="str">
        <f>估价对象房地状况!C5</f>
        <v>估价对象位于望京商圈，周边有利星行、悠乐汇等办公项目，入驻率高，办公集聚程度较好</v>
      </c>
      <c r="D15" s="392">
        <v>100</v>
      </c>
      <c r="E15" s="395"/>
      <c r="F15" s="392">
        <f>SUMIF(77:77,E16,78:78)-SUMIF(77:77,C16,78:78)+100</f>
        <v>103</v>
      </c>
      <c r="G15" s="393"/>
      <c r="H15" s="392">
        <f>SUMIF(77:77,G16,78:78)-SUMIF(77:77,C16,78:78)+100</f>
        <v>103</v>
      </c>
      <c r="I15" s="393"/>
      <c r="J15" s="392">
        <f>SUMIF(77:77,I16,78:78)-SUMIF(77:77,C16,78:78)+100</f>
        <v>100</v>
      </c>
      <c r="K15" s="563">
        <v>3</v>
      </c>
      <c r="L15" s="2722"/>
      <c r="M15" s="2716"/>
      <c r="N15" s="2716"/>
      <c r="O15" s="2716"/>
      <c r="P15" s="3678" t="s">
        <v>1691</v>
      </c>
      <c r="Q15" s="1352" t="str">
        <f t="shared" si="6"/>
        <v>办公集聚程度</v>
      </c>
      <c r="R15" s="705" t="s">
        <v>14</v>
      </c>
      <c r="S15" s="706">
        <f t="shared" si="0"/>
        <v>103</v>
      </c>
      <c r="T15" s="705" t="s">
        <v>14</v>
      </c>
      <c r="U15" s="706">
        <f t="shared" si="1"/>
        <v>103</v>
      </c>
      <c r="V15" s="705" t="s">
        <v>14</v>
      </c>
      <c r="W15" s="706">
        <f t="shared" si="2"/>
        <v>100</v>
      </c>
      <c r="X15" s="1355"/>
      <c r="Y15" s="3680" t="s">
        <v>1691</v>
      </c>
      <c r="Z15" s="1356" t="str">
        <f t="shared" si="7"/>
        <v>办公集聚程度</v>
      </c>
      <c r="AA15" s="1353">
        <f t="shared" si="3"/>
        <v>0.970873786407767</v>
      </c>
      <c r="AB15" s="1353">
        <f t="shared" si="4"/>
        <v>0.970873786407767</v>
      </c>
      <c r="AC15" s="1962">
        <f t="shared" si="5"/>
        <v>1</v>
      </c>
    </row>
    <row r="16" spans="1:29" ht="15">
      <c r="A16" s="379"/>
      <c r="B16" s="578"/>
      <c r="C16" s="1904" t="s">
        <v>3529</v>
      </c>
      <c r="D16" s="399"/>
      <c r="E16" s="1904" t="s">
        <v>3527</v>
      </c>
      <c r="F16" s="399"/>
      <c r="G16" s="1904" t="s">
        <v>3527</v>
      </c>
      <c r="H16" s="401"/>
      <c r="I16" s="1904" t="s">
        <v>3529</v>
      </c>
      <c r="J16" s="399"/>
      <c r="K16" s="564"/>
      <c r="L16" s="2722"/>
      <c r="M16" s="2716"/>
      <c r="N16" s="2716"/>
      <c r="O16" s="2716"/>
      <c r="P16" s="3679"/>
      <c r="Q16" s="1352"/>
      <c r="R16" s="705"/>
      <c r="S16" s="706"/>
      <c r="T16" s="705"/>
      <c r="U16" s="706"/>
      <c r="V16" s="705"/>
      <c r="W16" s="706"/>
      <c r="X16" s="1355"/>
      <c r="Y16" s="3681"/>
      <c r="Z16" s="1356"/>
      <c r="AA16" s="1353">
        <v>1</v>
      </c>
      <c r="AB16" s="1353">
        <v>1</v>
      </c>
      <c r="AC16" s="1962">
        <v>1</v>
      </c>
    </row>
    <row r="17" spans="1:29" ht="142.5">
      <c r="A17" s="379"/>
      <c r="B17" s="579" t="s">
        <v>1259</v>
      </c>
      <c r="C17" s="1963" t="str">
        <f>估价对象房地状况!C6</f>
        <v>估价对象周边有132路、404路、421路、451路、593路等多条公交线路，距离地铁14号线阜通站约200米，周边道路网线较密集，通达度较好。综合评价交通便捷度较好。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679"/>
      <c r="Q17" s="1352" t="str">
        <f>B17</f>
        <v>交通便捷度</v>
      </c>
      <c r="R17" s="705" t="s">
        <v>14</v>
      </c>
      <c r="S17" s="706">
        <f>F17</f>
        <v>100</v>
      </c>
      <c r="T17" s="705" t="s">
        <v>14</v>
      </c>
      <c r="U17" s="706">
        <f>H17</f>
        <v>100</v>
      </c>
      <c r="V17" s="705" t="s">
        <v>14</v>
      </c>
      <c r="W17" s="706">
        <f>J17</f>
        <v>100</v>
      </c>
      <c r="X17" s="1355"/>
      <c r="Y17" s="3681"/>
      <c r="Z17" s="1356" t="str">
        <f>Q17</f>
        <v>交通便捷度</v>
      </c>
      <c r="AA17" s="1353">
        <f t="shared" si="3"/>
        <v>1</v>
      </c>
      <c r="AB17" s="1353">
        <f t="shared" si="4"/>
        <v>1</v>
      </c>
      <c r="AC17" s="1962">
        <f t="shared" si="5"/>
        <v>1</v>
      </c>
    </row>
    <row r="18" spans="1:29" ht="15">
      <c r="A18" s="379"/>
      <c r="B18" s="580"/>
      <c r="C18" s="1964" t="s">
        <v>3527</v>
      </c>
      <c r="D18" s="401"/>
      <c r="E18" s="1902" t="s">
        <v>3527</v>
      </c>
      <c r="F18" s="401"/>
      <c r="G18" s="1902" t="s">
        <v>3527</v>
      </c>
      <c r="H18" s="399"/>
      <c r="I18" s="1902" t="s">
        <v>3527</v>
      </c>
      <c r="J18" s="399"/>
      <c r="K18" s="564"/>
      <c r="L18" s="2722"/>
      <c r="M18" s="2716"/>
      <c r="N18" s="2716"/>
      <c r="O18" s="2716"/>
      <c r="P18" s="3679"/>
      <c r="Q18" s="1352"/>
      <c r="R18" s="705"/>
      <c r="S18" s="706"/>
      <c r="T18" s="705"/>
      <c r="U18" s="706"/>
      <c r="V18" s="705"/>
      <c r="W18" s="706"/>
      <c r="X18" s="1355"/>
      <c r="Y18" s="3681"/>
      <c r="Z18" s="1356"/>
      <c r="AA18" s="1353">
        <v>1</v>
      </c>
      <c r="AB18" s="1353">
        <v>1</v>
      </c>
      <c r="AC18" s="1962">
        <v>1</v>
      </c>
    </row>
    <row r="19" spans="1:29" ht="313.5">
      <c r="A19" s="379"/>
      <c r="B19" s="579" t="s">
        <v>1812</v>
      </c>
      <c r="C19" s="1963" t="str">
        <f>估价对象房地状况!C7</f>
        <v>周边1公里内的公共服务配套设施较齐备，有购物场所（凯德MALL、新世界百货、物美大卖场、京客隆等）、医院（中国中医科学院望京医院、北京明德医院、南湖东园社区卫生服务站等）、银行（中国光大银行、广发银行、友利银行等）、学校（中央美术学院、首师大附属实验学校（南校区）、陈经伦中学分校（南湖东园校区）、南湖中园小学、望京新城幼儿园等）等公共服务配套设施。</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79"/>
      <c r="Q19" s="1352" t="str">
        <f>B19</f>
        <v>公共配套设施</v>
      </c>
      <c r="R19" s="705" t="s">
        <v>14</v>
      </c>
      <c r="S19" s="706">
        <f>F19</f>
        <v>100</v>
      </c>
      <c r="T19" s="705" t="s">
        <v>14</v>
      </c>
      <c r="U19" s="706">
        <f>H19</f>
        <v>100</v>
      </c>
      <c r="V19" s="705" t="s">
        <v>14</v>
      </c>
      <c r="W19" s="706">
        <f>J19</f>
        <v>100</v>
      </c>
      <c r="X19" s="1355"/>
      <c r="Y19" s="3681"/>
      <c r="Z19" s="1356" t="str">
        <f>Q19</f>
        <v>公共配套设施</v>
      </c>
      <c r="AA19" s="1353">
        <f t="shared" si="3"/>
        <v>1</v>
      </c>
      <c r="AB19" s="1353">
        <f t="shared" si="4"/>
        <v>1</v>
      </c>
      <c r="AC19" s="1962">
        <f t="shared" si="5"/>
        <v>1</v>
      </c>
    </row>
    <row r="20" spans="1:29" ht="15">
      <c r="A20" s="379"/>
      <c r="B20" s="580"/>
      <c r="C20" s="1904" t="s">
        <v>3527</v>
      </c>
      <c r="D20" s="399"/>
      <c r="E20" s="1904" t="s">
        <v>3527</v>
      </c>
      <c r="F20" s="399"/>
      <c r="G20" s="1904" t="s">
        <v>3527</v>
      </c>
      <c r="H20" s="399"/>
      <c r="I20" s="1904" t="s">
        <v>3527</v>
      </c>
      <c r="J20" s="399"/>
      <c r="K20" s="564"/>
      <c r="L20" s="2722"/>
      <c r="M20" s="2716"/>
      <c r="N20" s="2716"/>
      <c r="O20" s="2716"/>
      <c r="P20" s="3679"/>
      <c r="Q20" s="1352"/>
      <c r="R20" s="705"/>
      <c r="S20" s="706"/>
      <c r="T20" s="705"/>
      <c r="U20" s="706"/>
      <c r="V20" s="705"/>
      <c r="W20" s="706"/>
      <c r="X20" s="1355"/>
      <c r="Y20" s="3681"/>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79"/>
      <c r="Q21" s="1352" t="str">
        <f>B21</f>
        <v>基础设施水平</v>
      </c>
      <c r="R21" s="705" t="s">
        <v>14</v>
      </c>
      <c r="S21" s="706">
        <f>F21</f>
        <v>100</v>
      </c>
      <c r="T21" s="705" t="s">
        <v>14</v>
      </c>
      <c r="U21" s="706">
        <f>H21</f>
        <v>100</v>
      </c>
      <c r="V21" s="705" t="s">
        <v>14</v>
      </c>
      <c r="W21" s="706">
        <f>J21</f>
        <v>100</v>
      </c>
      <c r="X21" s="1355"/>
      <c r="Y21" s="3681"/>
      <c r="Z21" s="1356" t="str">
        <f>Q21</f>
        <v>基础设施水平</v>
      </c>
      <c r="AA21" s="1353">
        <f t="shared" ref="AA21" si="8">D21/F21</f>
        <v>1</v>
      </c>
      <c r="AB21" s="1353">
        <f t="shared" ref="AB21" si="9">D21/H21</f>
        <v>1</v>
      </c>
      <c r="AC21" s="1962">
        <f t="shared" ref="AC21" si="10">D21/J21</f>
        <v>1</v>
      </c>
    </row>
    <row r="22" spans="1:29" ht="15">
      <c r="A22" s="379"/>
      <c r="B22" s="581"/>
      <c r="C22" s="1904" t="s">
        <v>3527</v>
      </c>
      <c r="D22" s="399"/>
      <c r="E22" s="1904" t="s">
        <v>3527</v>
      </c>
      <c r="F22" s="399"/>
      <c r="G22" s="1904" t="s">
        <v>3527</v>
      </c>
      <c r="H22" s="399"/>
      <c r="I22" s="1904" t="s">
        <v>3527</v>
      </c>
      <c r="J22" s="399"/>
      <c r="K22" s="1130"/>
      <c r="L22" s="2722"/>
      <c r="M22" s="2716"/>
      <c r="N22" s="2716"/>
      <c r="O22" s="2716"/>
      <c r="P22" s="3679"/>
      <c r="Q22" s="1352"/>
      <c r="R22" s="705"/>
      <c r="S22" s="706"/>
      <c r="T22" s="705"/>
      <c r="U22" s="706"/>
      <c r="V22" s="705"/>
      <c r="W22" s="706"/>
      <c r="X22" s="1355"/>
      <c r="Y22" s="3681"/>
      <c r="Z22" s="1356"/>
      <c r="AA22" s="1353">
        <v>1</v>
      </c>
      <c r="AB22" s="1353">
        <v>1</v>
      </c>
      <c r="AC22" s="1962">
        <v>1</v>
      </c>
    </row>
    <row r="23" spans="1:29" ht="85.5">
      <c r="A23" s="379"/>
      <c r="B23" s="579" t="s">
        <v>1814</v>
      </c>
      <c r="C23" s="1963" t="str">
        <f>估价对象房地状况!C9</f>
        <v>估价对象周边有望京文化体育公园、望京文化广场等自然人文场所，综合评价环境状况一般。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79"/>
      <c r="Q23" s="1352" t="str">
        <f>B23</f>
        <v>环境质量</v>
      </c>
      <c r="R23" s="705" t="s">
        <v>14</v>
      </c>
      <c r="S23" s="706">
        <f>F23</f>
        <v>100</v>
      </c>
      <c r="T23" s="705" t="s">
        <v>14</v>
      </c>
      <c r="U23" s="706">
        <f>H23</f>
        <v>100</v>
      </c>
      <c r="V23" s="705" t="s">
        <v>14</v>
      </c>
      <c r="W23" s="706">
        <f>J23</f>
        <v>100</v>
      </c>
      <c r="X23" s="1355"/>
      <c r="Y23" s="3681"/>
      <c r="Z23" s="1356" t="str">
        <f>Q23</f>
        <v>环境质量</v>
      </c>
      <c r="AA23" s="1353">
        <f t="shared" si="3"/>
        <v>1</v>
      </c>
      <c r="AB23" s="1353">
        <f t="shared" si="4"/>
        <v>1</v>
      </c>
      <c r="AC23" s="1962">
        <f t="shared" si="5"/>
        <v>1</v>
      </c>
    </row>
    <row r="24" spans="1:29" ht="15">
      <c r="A24" s="379"/>
      <c r="B24" s="581"/>
      <c r="C24" s="1904" t="s">
        <v>3529</v>
      </c>
      <c r="D24" s="399"/>
      <c r="E24" s="1904" t="s">
        <v>3529</v>
      </c>
      <c r="F24" s="399"/>
      <c r="G24" s="1904" t="s">
        <v>3529</v>
      </c>
      <c r="H24" s="399"/>
      <c r="I24" s="1904" t="s">
        <v>3529</v>
      </c>
      <c r="J24" s="399"/>
      <c r="K24" s="564"/>
      <c r="L24" s="2722"/>
      <c r="M24" s="2716"/>
      <c r="N24" s="2716"/>
      <c r="O24" s="2716"/>
      <c r="P24" s="3679"/>
      <c r="Q24" s="1352"/>
      <c r="R24" s="705"/>
      <c r="S24" s="706"/>
      <c r="T24" s="705"/>
      <c r="U24" s="706"/>
      <c r="V24" s="705"/>
      <c r="W24" s="706"/>
      <c r="X24" s="1355"/>
      <c r="Y24" s="3681"/>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79"/>
      <c r="Q25" s="1352" t="str">
        <f>B25</f>
        <v>毗邻道路的类型与等级</v>
      </c>
      <c r="R25" s="705" t="s">
        <v>14</v>
      </c>
      <c r="S25" s="706">
        <f>F25</f>
        <v>100</v>
      </c>
      <c r="T25" s="705" t="s">
        <v>14</v>
      </c>
      <c r="U25" s="706">
        <f>H25</f>
        <v>100</v>
      </c>
      <c r="V25" s="705" t="s">
        <v>14</v>
      </c>
      <c r="W25" s="706">
        <f>J25</f>
        <v>100</v>
      </c>
      <c r="X25" s="1355"/>
      <c r="Y25" s="3681"/>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79"/>
      <c r="Q26" s="1352"/>
      <c r="R26" s="705"/>
      <c r="S26" s="706"/>
      <c r="T26" s="705"/>
      <c r="U26" s="706"/>
      <c r="V26" s="705"/>
      <c r="W26" s="706"/>
      <c r="X26" s="1355"/>
      <c r="Y26" s="3681"/>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79"/>
      <c r="Q27" s="1352" t="str">
        <f t="shared" ref="Q27:Q47" si="11">B27</f>
        <v>楼层</v>
      </c>
      <c r="R27" s="705" t="s">
        <v>14</v>
      </c>
      <c r="S27" s="706">
        <f>F27</f>
        <v>100</v>
      </c>
      <c r="T27" s="705" t="s">
        <v>14</v>
      </c>
      <c r="U27" s="706">
        <f>H27</f>
        <v>100</v>
      </c>
      <c r="V27" s="705" t="s">
        <v>14</v>
      </c>
      <c r="W27" s="706">
        <f>J27</f>
        <v>100</v>
      </c>
      <c r="X27" s="1355"/>
      <c r="Y27" s="3681"/>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9"/>
      <c r="Q28" s="1343" t="str">
        <f t="shared" si="11"/>
        <v>朝向</v>
      </c>
      <c r="R28" s="701" t="s">
        <v>14</v>
      </c>
      <c r="S28" s="702">
        <f>F28</f>
        <v>100</v>
      </c>
      <c r="T28" s="701" t="s">
        <v>14</v>
      </c>
      <c r="U28" s="702">
        <f>H28</f>
        <v>100</v>
      </c>
      <c r="V28" s="701" t="s">
        <v>14</v>
      </c>
      <c r="W28" s="702">
        <f>J28</f>
        <v>100</v>
      </c>
      <c r="X28" s="703"/>
      <c r="Y28" s="3681"/>
      <c r="Z28" s="52" t="str">
        <f>Q28</f>
        <v>朝向</v>
      </c>
      <c r="AA28" s="1353">
        <f>D28/F28</f>
        <v>1</v>
      </c>
      <c r="AB28" s="1353">
        <f>D28/H28</f>
        <v>1</v>
      </c>
      <c r="AC28" s="1962">
        <f>D28/J28</f>
        <v>1</v>
      </c>
    </row>
    <row r="29" spans="1:29" ht="15">
      <c r="A29" s="379"/>
      <c r="B29" s="3530" t="s">
        <v>3551</v>
      </c>
      <c r="C29" s="3531" t="s">
        <v>3553</v>
      </c>
      <c r="D29" s="386">
        <v>100</v>
      </c>
      <c r="E29" s="3532" t="s">
        <v>3552</v>
      </c>
      <c r="F29" s="386">
        <f>SUMIF(93:93,E29,94:94)-SUMIF(93:93,C29,94:94)+100</f>
        <v>105</v>
      </c>
      <c r="G29" s="3532" t="s">
        <v>3552</v>
      </c>
      <c r="H29" s="386">
        <f>SUMIF(93:93,G29,94:94)-SUMIF(93:93,C29,94:94)+100</f>
        <v>105</v>
      </c>
      <c r="I29" s="3532" t="s">
        <v>3552</v>
      </c>
      <c r="J29" s="386">
        <f>SUMIF(93:93,I29,94:94)-SUMIF(93:93,C29,94:94)+100</f>
        <v>105</v>
      </c>
      <c r="K29" s="562"/>
      <c r="L29" s="2722"/>
      <c r="M29" s="2716"/>
      <c r="N29" s="2716"/>
      <c r="O29" s="2716"/>
      <c r="P29" s="3679"/>
      <c r="Q29" s="1352" t="str">
        <f t="shared" si="11"/>
        <v>采光</v>
      </c>
      <c r="R29" s="705" t="s">
        <v>14</v>
      </c>
      <c r="S29" s="706">
        <f t="shared" ref="S29:S47" si="12">F29</f>
        <v>105</v>
      </c>
      <c r="T29" s="705" t="s">
        <v>14</v>
      </c>
      <c r="U29" s="706">
        <f t="shared" ref="U29:U47" si="13">H29</f>
        <v>105</v>
      </c>
      <c r="V29" s="705" t="s">
        <v>14</v>
      </c>
      <c r="W29" s="706">
        <f t="shared" ref="W29:W47" si="14">J29</f>
        <v>105</v>
      </c>
      <c r="X29" s="1355"/>
      <c r="Y29" s="3681"/>
      <c r="Z29" s="1356" t="str">
        <f t="shared" ref="Z29:Z47" si="15">Q29</f>
        <v>采光</v>
      </c>
      <c r="AA29" s="1353">
        <f t="shared" si="3"/>
        <v>0.95238095238095233</v>
      </c>
      <c r="AB29" s="1353">
        <f t="shared" si="4"/>
        <v>0.95238095238095233</v>
      </c>
      <c r="AC29" s="1962">
        <f t="shared" si="5"/>
        <v>0.95238095238095233</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9"/>
      <c r="Q30" s="1352">
        <f t="shared" si="11"/>
        <v>111</v>
      </c>
      <c r="R30" s="705" t="s">
        <v>14</v>
      </c>
      <c r="S30" s="706">
        <f t="shared" si="12"/>
        <v>100</v>
      </c>
      <c r="T30" s="705" t="s">
        <v>14</v>
      </c>
      <c r="U30" s="706">
        <f t="shared" si="13"/>
        <v>100</v>
      </c>
      <c r="V30" s="705" t="s">
        <v>14</v>
      </c>
      <c r="W30" s="706">
        <f t="shared" si="14"/>
        <v>100</v>
      </c>
      <c r="X30" s="1355"/>
      <c r="Y30" s="3681"/>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9"/>
      <c r="Q31" s="1352">
        <f t="shared" si="11"/>
        <v>111</v>
      </c>
      <c r="R31" s="705" t="s">
        <v>14</v>
      </c>
      <c r="S31" s="706">
        <f t="shared" si="12"/>
        <v>100</v>
      </c>
      <c r="T31" s="705" t="s">
        <v>14</v>
      </c>
      <c r="U31" s="706">
        <f t="shared" si="13"/>
        <v>100</v>
      </c>
      <c r="V31" s="705" t="s">
        <v>14</v>
      </c>
      <c r="W31" s="706">
        <f t="shared" si="14"/>
        <v>100</v>
      </c>
      <c r="X31" s="1355"/>
      <c r="Y31" s="3681"/>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9"/>
      <c r="Q32" s="1352">
        <f t="shared" si="11"/>
        <v>111</v>
      </c>
      <c r="R32" s="705" t="s">
        <v>14</v>
      </c>
      <c r="S32" s="706">
        <f t="shared" si="12"/>
        <v>100</v>
      </c>
      <c r="T32" s="705" t="s">
        <v>14</v>
      </c>
      <c r="U32" s="706">
        <f t="shared" si="13"/>
        <v>100</v>
      </c>
      <c r="V32" s="705" t="s">
        <v>14</v>
      </c>
      <c r="W32" s="706">
        <f t="shared" si="14"/>
        <v>100</v>
      </c>
      <c r="X32" s="1355"/>
      <c r="Y32" s="3681"/>
      <c r="Z32" s="1356">
        <f t="shared" si="15"/>
        <v>111</v>
      </c>
      <c r="AA32" s="1353">
        <f t="shared" si="3"/>
        <v>1</v>
      </c>
      <c r="AB32" s="1353">
        <f t="shared" si="4"/>
        <v>1</v>
      </c>
      <c r="AC32" s="1962">
        <f t="shared" si="5"/>
        <v>1</v>
      </c>
    </row>
    <row r="33" spans="1:29" ht="15">
      <c r="A33" s="391" t="s">
        <v>1694</v>
      </c>
      <c r="B33" s="63" t="s">
        <v>1817</v>
      </c>
      <c r="C33" s="1967" t="s">
        <v>3549</v>
      </c>
      <c r="D33" s="418">
        <v>100</v>
      </c>
      <c r="E33" s="1967" t="s">
        <v>3547</v>
      </c>
      <c r="F33" s="412">
        <f>SUMIF(101:101,E33,102:102)-SUMIF(101:101,C33,102:102)+100</f>
        <v>103</v>
      </c>
      <c r="G33" s="1967" t="s">
        <v>3547</v>
      </c>
      <c r="H33" s="386">
        <f>SUMIF(101:101,G33,102:102)-SUMIF(101:101,C33,102:102)+100</f>
        <v>103</v>
      </c>
      <c r="I33" s="1967" t="s">
        <v>3547</v>
      </c>
      <c r="J33" s="418">
        <f>SUMIF(101:101,I33,102:102)-SUMIF(101:101,C33,102:102)+100</f>
        <v>103</v>
      </c>
      <c r="K33" s="561">
        <v>3</v>
      </c>
      <c r="L33" s="2722"/>
      <c r="M33" s="2716"/>
      <c r="N33" s="2716"/>
      <c r="O33" s="2716"/>
      <c r="P33" s="3682" t="s">
        <v>1696</v>
      </c>
      <c r="Q33" s="1352" t="str">
        <f t="shared" si="11"/>
        <v>建筑类型</v>
      </c>
      <c r="R33" s="705" t="s">
        <v>14</v>
      </c>
      <c r="S33" s="706">
        <f t="shared" si="12"/>
        <v>103</v>
      </c>
      <c r="T33" s="705" t="s">
        <v>14</v>
      </c>
      <c r="U33" s="706">
        <f t="shared" si="13"/>
        <v>103</v>
      </c>
      <c r="V33" s="705" t="s">
        <v>14</v>
      </c>
      <c r="W33" s="706">
        <f t="shared" si="14"/>
        <v>103</v>
      </c>
      <c r="X33" s="1355"/>
      <c r="Y33" s="3685" t="s">
        <v>1696</v>
      </c>
      <c r="Z33" s="1356" t="str">
        <f t="shared" si="15"/>
        <v>建筑类型</v>
      </c>
      <c r="AA33" s="1353">
        <f t="shared" si="3"/>
        <v>0.970873786407767</v>
      </c>
      <c r="AB33" s="1353">
        <f t="shared" si="4"/>
        <v>0.970873786407767</v>
      </c>
      <c r="AC33" s="1962">
        <f t="shared" si="5"/>
        <v>0.970873786407767</v>
      </c>
    </row>
    <row r="34" spans="1:29" s="422" customFormat="1" ht="15">
      <c r="A34" s="419"/>
      <c r="B34" s="375" t="s">
        <v>1697</v>
      </c>
      <c r="C34" s="420">
        <f>面积明细表!H3</f>
        <v>9265.11</v>
      </c>
      <c r="D34" s="127">
        <v>100</v>
      </c>
      <c r="E34" s="381">
        <v>98</v>
      </c>
      <c r="F34" s="376">
        <f>LOOKUP(E34,104:104,105:105)-LOOKUP(C34,104:104,105:105)+100</f>
        <v>106</v>
      </c>
      <c r="G34" s="380">
        <v>424</v>
      </c>
      <c r="H34" s="127">
        <f>LOOKUP(G34,104:104,105:105)-LOOKUP(C34,104:104,105:105)+100</f>
        <v>106</v>
      </c>
      <c r="I34" s="380">
        <v>460</v>
      </c>
      <c r="J34" s="127">
        <f>LOOKUP(I34,104:104,105:105)-LOOKUP(C34,104:104,105:105)+100</f>
        <v>106</v>
      </c>
      <c r="K34" s="562"/>
      <c r="L34" s="2721"/>
      <c r="M34" s="2723"/>
      <c r="N34" s="2723"/>
      <c r="O34" s="2723"/>
      <c r="P34" s="3683"/>
      <c r="Q34" s="707" t="str">
        <f t="shared" si="11"/>
        <v>项目建筑规模</v>
      </c>
      <c r="R34" s="708" t="s">
        <v>14</v>
      </c>
      <c r="S34" s="709">
        <f t="shared" si="12"/>
        <v>106</v>
      </c>
      <c r="T34" s="708" t="s">
        <v>14</v>
      </c>
      <c r="U34" s="709">
        <f t="shared" si="13"/>
        <v>106</v>
      </c>
      <c r="V34" s="708" t="s">
        <v>14</v>
      </c>
      <c r="W34" s="709">
        <f t="shared" si="14"/>
        <v>106</v>
      </c>
      <c r="X34" s="710"/>
      <c r="Y34" s="3685"/>
      <c r="Z34" s="711" t="str">
        <f t="shared" si="15"/>
        <v>项目建筑规模</v>
      </c>
      <c r="AA34" s="1353">
        <f t="shared" si="3"/>
        <v>0.94339622641509435</v>
      </c>
      <c r="AB34" s="1353">
        <f t="shared" si="4"/>
        <v>0.94339622641509435</v>
      </c>
      <c r="AC34" s="1962">
        <f t="shared" si="5"/>
        <v>0.94339622641509435</v>
      </c>
    </row>
    <row r="35" spans="1:29" ht="15">
      <c r="A35" s="423"/>
      <c r="B35" s="375" t="s">
        <v>1698</v>
      </c>
      <c r="C35" s="411" t="s">
        <v>3581</v>
      </c>
      <c r="D35" s="386">
        <v>100</v>
      </c>
      <c r="E35" s="411" t="s">
        <v>3581</v>
      </c>
      <c r="F35" s="412">
        <f>SUMIF(106:106,E35,107:107)-SUMIF(106:106,C35,107:107)+100</f>
        <v>100</v>
      </c>
      <c r="G35" s="411" t="s">
        <v>3581</v>
      </c>
      <c r="H35" s="386">
        <f>SUMIF(106:106,G35,107:107)-SUMIF(106:106,C35,107:107)+100</f>
        <v>100</v>
      </c>
      <c r="I35" s="411" t="s">
        <v>3581</v>
      </c>
      <c r="J35" s="386">
        <f>SUMIF(106:106,I35,107:107)-SUMIF(106:106,C35,107:107)+100</f>
        <v>100</v>
      </c>
      <c r="K35" s="561"/>
      <c r="L35" s="2722"/>
      <c r="M35" s="2716"/>
      <c r="N35" s="2716"/>
      <c r="O35" s="2716"/>
      <c r="P35" s="3683"/>
      <c r="Q35" s="1352" t="str">
        <f t="shared" si="11"/>
        <v>建筑结构</v>
      </c>
      <c r="R35" s="705" t="s">
        <v>14</v>
      </c>
      <c r="S35" s="706">
        <f t="shared" si="12"/>
        <v>100</v>
      </c>
      <c r="T35" s="705" t="s">
        <v>14</v>
      </c>
      <c r="U35" s="706">
        <f t="shared" si="13"/>
        <v>100</v>
      </c>
      <c r="V35" s="705" t="s">
        <v>14</v>
      </c>
      <c r="W35" s="706">
        <f t="shared" si="14"/>
        <v>100</v>
      </c>
      <c r="X35" s="1355"/>
      <c r="Y35" s="3685"/>
      <c r="Z35" s="1356" t="str">
        <f t="shared" si="15"/>
        <v>建筑结构</v>
      </c>
      <c r="AA35" s="1353">
        <f t="shared" si="3"/>
        <v>1</v>
      </c>
      <c r="AB35" s="1353">
        <f t="shared" si="4"/>
        <v>1</v>
      </c>
      <c r="AC35" s="1962">
        <f t="shared" si="5"/>
        <v>1</v>
      </c>
    </row>
    <row r="36" spans="1:29" ht="15">
      <c r="A36" s="423"/>
      <c r="B36" s="375" t="s">
        <v>1785</v>
      </c>
      <c r="C36" s="411" t="s">
        <v>3555</v>
      </c>
      <c r="D36" s="386">
        <v>100</v>
      </c>
      <c r="E36" s="411" t="s">
        <v>3555</v>
      </c>
      <c r="F36" s="412">
        <f>SUMIF(108:108,E36,109:109)-SUMIF(108:108,C36,109:109)+100</f>
        <v>100</v>
      </c>
      <c r="G36" s="411" t="s">
        <v>3555</v>
      </c>
      <c r="H36" s="386">
        <f>SUMIF(108:108,G36,109:109)-SUMIF(108:108,C36,109:109)+100</f>
        <v>100</v>
      </c>
      <c r="I36" s="411" t="s">
        <v>3555</v>
      </c>
      <c r="J36" s="386">
        <f>SUMIF(108:108,I36,109:109)-SUMIF(108:108,C36,109:109)+100</f>
        <v>100</v>
      </c>
      <c r="K36" s="561"/>
      <c r="L36" s="2722"/>
      <c r="M36" s="2716"/>
      <c r="N36" s="2716"/>
      <c r="O36" s="2716"/>
      <c r="P36" s="3683"/>
      <c r="Q36" s="1352" t="str">
        <f t="shared" si="11"/>
        <v>公共部分装修</v>
      </c>
      <c r="R36" s="705" t="s">
        <v>14</v>
      </c>
      <c r="S36" s="706">
        <f t="shared" si="12"/>
        <v>100</v>
      </c>
      <c r="T36" s="705" t="s">
        <v>14</v>
      </c>
      <c r="U36" s="706">
        <f t="shared" si="13"/>
        <v>100</v>
      </c>
      <c r="V36" s="705" t="s">
        <v>14</v>
      </c>
      <c r="W36" s="706">
        <f t="shared" si="14"/>
        <v>100</v>
      </c>
      <c r="X36" s="1355"/>
      <c r="Y36" s="3685"/>
      <c r="Z36" s="1356" t="str">
        <f t="shared" si="15"/>
        <v>公共部分装修</v>
      </c>
      <c r="AA36" s="1353">
        <f t="shared" si="3"/>
        <v>1</v>
      </c>
      <c r="AB36" s="1353">
        <f t="shared" si="4"/>
        <v>1</v>
      </c>
      <c r="AC36" s="1962">
        <f t="shared" si="5"/>
        <v>1</v>
      </c>
    </row>
    <row r="37" spans="1:29" ht="15">
      <c r="A37" s="423"/>
      <c r="B37" s="375" t="s">
        <v>1786</v>
      </c>
      <c r="C37" s="425">
        <v>0.82</v>
      </c>
      <c r="D37" s="386">
        <v>100</v>
      </c>
      <c r="E37" s="425">
        <v>0.82</v>
      </c>
      <c r="F37" s="412">
        <f>LOOKUP(E37,111:111,112:112)-LOOKUP(C37,111:111,112:112)+100</f>
        <v>100</v>
      </c>
      <c r="G37" s="425">
        <v>0.85</v>
      </c>
      <c r="H37" s="412">
        <f>LOOKUP(G37,111:111,112:112)-LOOKUP(C37,111:111,112:112)+100</f>
        <v>100</v>
      </c>
      <c r="I37" s="425">
        <v>0.85</v>
      </c>
      <c r="J37" s="386">
        <f>LOOKUP(I37,111:111,112:112)-LOOKUP(C37,111:111,112:112)+100</f>
        <v>100</v>
      </c>
      <c r="K37" s="561"/>
      <c r="L37" s="2722"/>
      <c r="M37" s="2716"/>
      <c r="N37" s="2716"/>
      <c r="O37" s="2716"/>
      <c r="P37" s="3683"/>
      <c r="Q37" s="1352" t="str">
        <f t="shared" si="11"/>
        <v>成新度</v>
      </c>
      <c r="R37" s="705" t="s">
        <v>14</v>
      </c>
      <c r="S37" s="706">
        <f t="shared" si="12"/>
        <v>100</v>
      </c>
      <c r="T37" s="705" t="s">
        <v>14</v>
      </c>
      <c r="U37" s="706">
        <f t="shared" si="13"/>
        <v>100</v>
      </c>
      <c r="V37" s="705" t="s">
        <v>14</v>
      </c>
      <c r="W37" s="706">
        <f t="shared" si="14"/>
        <v>100</v>
      </c>
      <c r="X37" s="1355"/>
      <c r="Y37" s="3685"/>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83"/>
      <c r="Q38" s="1343" t="str">
        <f t="shared" si="11"/>
        <v>写字楼等级</v>
      </c>
      <c r="R38" s="701" t="s">
        <v>14</v>
      </c>
      <c r="S38" s="702">
        <f t="shared" si="12"/>
        <v>100</v>
      </c>
      <c r="T38" s="701" t="s">
        <v>14</v>
      </c>
      <c r="U38" s="702">
        <f t="shared" si="13"/>
        <v>100</v>
      </c>
      <c r="V38" s="701" t="s">
        <v>14</v>
      </c>
      <c r="W38" s="702">
        <f t="shared" si="14"/>
        <v>100</v>
      </c>
      <c r="X38" s="703"/>
      <c r="Y38" s="3685"/>
      <c r="Z38" s="52" t="str">
        <f t="shared" si="15"/>
        <v>写字楼等级</v>
      </c>
      <c r="AA38" s="704">
        <f t="shared" si="3"/>
        <v>1</v>
      </c>
      <c r="AB38" s="704">
        <f t="shared" si="4"/>
        <v>1</v>
      </c>
      <c r="AC38" s="1959">
        <f t="shared" si="5"/>
        <v>1</v>
      </c>
    </row>
    <row r="39" spans="1:29" ht="15">
      <c r="A39" s="423"/>
      <c r="B39" s="375" t="s">
        <v>1819</v>
      </c>
      <c r="C39" s="411" t="s">
        <v>3558</v>
      </c>
      <c r="D39" s="386">
        <v>100</v>
      </c>
      <c r="E39" s="411" t="s">
        <v>3558</v>
      </c>
      <c r="F39" s="412">
        <f>SUMIF(115:115,E39,116:116)-SUMIF(115:115,C39,116:116)+100</f>
        <v>100</v>
      </c>
      <c r="G39" s="411" t="s">
        <v>3558</v>
      </c>
      <c r="H39" s="386">
        <f>SUMIF(115:115,G39,116:116)-SUMIF(115:115,C39,116:116)+100</f>
        <v>100</v>
      </c>
      <c r="I39" s="411" t="s">
        <v>3558</v>
      </c>
      <c r="J39" s="386">
        <f>SUMIF(115:115,I39,116:116)-SUMIF(115:115,C39,116:116)+100</f>
        <v>100</v>
      </c>
      <c r="K39" s="561"/>
      <c r="L39" s="2722"/>
      <c r="M39" s="2716"/>
      <c r="N39" s="2716"/>
      <c r="O39" s="2716"/>
      <c r="P39" s="3683" t="s">
        <v>1696</v>
      </c>
      <c r="Q39" s="1352" t="str">
        <f t="shared" si="11"/>
        <v>物业管理</v>
      </c>
      <c r="R39" s="705" t="s">
        <v>14</v>
      </c>
      <c r="S39" s="706">
        <f t="shared" si="12"/>
        <v>100</v>
      </c>
      <c r="T39" s="705" t="s">
        <v>14</v>
      </c>
      <c r="U39" s="706">
        <f t="shared" si="13"/>
        <v>100</v>
      </c>
      <c r="V39" s="705" t="s">
        <v>14</v>
      </c>
      <c r="W39" s="706">
        <f t="shared" si="14"/>
        <v>100</v>
      </c>
      <c r="X39" s="1355"/>
      <c r="Y39" s="3685"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83"/>
      <c r="Q40" s="1352" t="str">
        <f t="shared" si="11"/>
        <v>市政基础设施</v>
      </c>
      <c r="R40" s="705" t="s">
        <v>14</v>
      </c>
      <c r="S40" s="706">
        <f t="shared" si="12"/>
        <v>100</v>
      </c>
      <c r="T40" s="705" t="s">
        <v>14</v>
      </c>
      <c r="U40" s="706">
        <f t="shared" si="13"/>
        <v>100</v>
      </c>
      <c r="V40" s="705" t="s">
        <v>14</v>
      </c>
      <c r="W40" s="706">
        <f t="shared" si="14"/>
        <v>100</v>
      </c>
      <c r="X40" s="1355"/>
      <c r="Y40" s="3685"/>
      <c r="Z40" s="1356" t="str">
        <f t="shared" si="15"/>
        <v>市政基础设施</v>
      </c>
      <c r="AA40" s="1353">
        <f t="shared" si="3"/>
        <v>1</v>
      </c>
      <c r="AB40" s="1353">
        <f t="shared" si="4"/>
        <v>1</v>
      </c>
      <c r="AC40" s="1962">
        <f t="shared" si="5"/>
        <v>1</v>
      </c>
    </row>
    <row r="41" spans="1:29" ht="15">
      <c r="A41" s="423"/>
      <c r="B41" s="375" t="s">
        <v>1789</v>
      </c>
      <c r="C41" s="565" t="s">
        <v>3579</v>
      </c>
      <c r="D41" s="386">
        <v>100</v>
      </c>
      <c r="E41" s="565" t="s">
        <v>3579</v>
      </c>
      <c r="F41" s="412">
        <f>SUMIF(119:119,E41,120:120)-SUMIF(119:119,C41,120:120)+100</f>
        <v>100</v>
      </c>
      <c r="G41" s="565" t="s">
        <v>3579</v>
      </c>
      <c r="H41" s="386">
        <f>SUMIF(119:119,G41,120:120)-SUMIF(119:119,C41,120:120)+100</f>
        <v>100</v>
      </c>
      <c r="I41" s="565" t="s">
        <v>3579</v>
      </c>
      <c r="J41" s="386">
        <f>SUMIF(119:119,I41,120:120)-SUMIF(119:119,C41,120:120)+100</f>
        <v>100</v>
      </c>
      <c r="K41" s="561"/>
      <c r="L41" s="2722"/>
      <c r="M41" s="2716"/>
      <c r="N41" s="2716"/>
      <c r="O41" s="2716"/>
      <c r="P41" s="3683"/>
      <c r="Q41" s="1352" t="str">
        <f t="shared" si="11"/>
        <v>层高</v>
      </c>
      <c r="R41" s="705" t="s">
        <v>14</v>
      </c>
      <c r="S41" s="706">
        <f t="shared" si="12"/>
        <v>100</v>
      </c>
      <c r="T41" s="705" t="s">
        <v>14</v>
      </c>
      <c r="U41" s="706">
        <f t="shared" si="13"/>
        <v>100</v>
      </c>
      <c r="V41" s="705" t="s">
        <v>14</v>
      </c>
      <c r="W41" s="706">
        <f t="shared" si="14"/>
        <v>100</v>
      </c>
      <c r="X41" s="1355"/>
      <c r="Y41" s="3685"/>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f>1-(2023-2013)/60</f>
        <v>0.83333333333333337</v>
      </c>
      <c r="N42" s="2723"/>
      <c r="O42" s="2723"/>
      <c r="P42" s="3683"/>
      <c r="Q42" s="707" t="str">
        <f t="shared" si="11"/>
        <v>单套建筑面积</v>
      </c>
      <c r="R42" s="708" t="s">
        <v>14</v>
      </c>
      <c r="S42" s="709">
        <f t="shared" si="12"/>
        <v>100</v>
      </c>
      <c r="T42" s="708" t="s">
        <v>14</v>
      </c>
      <c r="U42" s="709">
        <f t="shared" si="13"/>
        <v>100</v>
      </c>
      <c r="V42" s="708" t="s">
        <v>14</v>
      </c>
      <c r="W42" s="709">
        <f t="shared" si="14"/>
        <v>100</v>
      </c>
      <c r="X42" s="710"/>
      <c r="Y42" s="3685"/>
      <c r="Z42" s="711" t="str">
        <f t="shared" si="15"/>
        <v>单套建筑面积</v>
      </c>
      <c r="AA42" s="1353">
        <f t="shared" si="3"/>
        <v>1</v>
      </c>
      <c r="AB42" s="1353">
        <f t="shared" si="4"/>
        <v>1</v>
      </c>
      <c r="AC42" s="1962">
        <f t="shared" si="5"/>
        <v>1</v>
      </c>
    </row>
    <row r="43" spans="1:29" ht="15">
      <c r="A43" s="423"/>
      <c r="B43" s="375" t="s">
        <v>1792</v>
      </c>
      <c r="C43" s="411" t="s">
        <v>3582</v>
      </c>
      <c r="D43" s="386">
        <v>100</v>
      </c>
      <c r="E43" s="411" t="s">
        <v>3555</v>
      </c>
      <c r="F43" s="412">
        <f>SUMIF(123:123,E43,124:124)-SUMIF(123:123,C43,124:124)+100</f>
        <v>103</v>
      </c>
      <c r="G43" s="411" t="s">
        <v>3555</v>
      </c>
      <c r="H43" s="386">
        <f>SUMIF(123:123,G43,124:124)-SUMIF(123:123,C43,124:124)+100</f>
        <v>103</v>
      </c>
      <c r="I43" s="411" t="s">
        <v>3582</v>
      </c>
      <c r="J43" s="386">
        <f>SUMIF(123:123,I43,124:124)-SUMIF(123:123,C43,124:124)+100</f>
        <v>100</v>
      </c>
      <c r="K43" s="561">
        <v>3</v>
      </c>
      <c r="L43" s="2722"/>
      <c r="M43" s="2716"/>
      <c r="N43" s="2716"/>
      <c r="O43" s="2716"/>
      <c r="P43" s="3683"/>
      <c r="Q43" s="1352" t="str">
        <f t="shared" si="11"/>
        <v>内部装修</v>
      </c>
      <c r="R43" s="705" t="s">
        <v>14</v>
      </c>
      <c r="S43" s="706">
        <f t="shared" si="12"/>
        <v>103</v>
      </c>
      <c r="T43" s="705" t="s">
        <v>14</v>
      </c>
      <c r="U43" s="706">
        <f t="shared" si="13"/>
        <v>103</v>
      </c>
      <c r="V43" s="705" t="s">
        <v>14</v>
      </c>
      <c r="W43" s="706">
        <f t="shared" si="14"/>
        <v>100</v>
      </c>
      <c r="X43" s="1355"/>
      <c r="Y43" s="3685"/>
      <c r="Z43" s="1356" t="str">
        <f t="shared" si="15"/>
        <v>内部装修</v>
      </c>
      <c r="AA43" s="1353">
        <f t="shared" si="3"/>
        <v>0.970873786407767</v>
      </c>
      <c r="AB43" s="1353">
        <f t="shared" si="4"/>
        <v>0.970873786407767</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83"/>
      <c r="Q44" s="1352" t="str">
        <f t="shared" si="11"/>
        <v>内部装修维护情况</v>
      </c>
      <c r="R44" s="705" t="s">
        <v>14</v>
      </c>
      <c r="S44" s="706">
        <f t="shared" si="12"/>
        <v>100</v>
      </c>
      <c r="T44" s="705" t="s">
        <v>14</v>
      </c>
      <c r="U44" s="706">
        <f t="shared" si="13"/>
        <v>100</v>
      </c>
      <c r="V44" s="705" t="s">
        <v>14</v>
      </c>
      <c r="W44" s="706">
        <f t="shared" si="14"/>
        <v>100</v>
      </c>
      <c r="X44" s="1355"/>
      <c r="Y44" s="3685"/>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83"/>
      <c r="Q45" s="1343">
        <f t="shared" si="11"/>
        <v>111</v>
      </c>
      <c r="R45" s="701" t="s">
        <v>14</v>
      </c>
      <c r="S45" s="702">
        <f t="shared" si="12"/>
        <v>100</v>
      </c>
      <c r="T45" s="701" t="s">
        <v>14</v>
      </c>
      <c r="U45" s="702">
        <f t="shared" si="13"/>
        <v>100</v>
      </c>
      <c r="V45" s="701" t="s">
        <v>14</v>
      </c>
      <c r="W45" s="702">
        <f t="shared" si="14"/>
        <v>100</v>
      </c>
      <c r="X45" s="703"/>
      <c r="Y45" s="3685"/>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83"/>
      <c r="Q46" s="1352">
        <f t="shared" si="11"/>
        <v>111</v>
      </c>
      <c r="R46" s="705" t="s">
        <v>14</v>
      </c>
      <c r="S46" s="706">
        <f t="shared" si="12"/>
        <v>100</v>
      </c>
      <c r="T46" s="705" t="s">
        <v>14</v>
      </c>
      <c r="U46" s="706">
        <f t="shared" si="13"/>
        <v>100</v>
      </c>
      <c r="V46" s="705" t="s">
        <v>14</v>
      </c>
      <c r="W46" s="706">
        <f t="shared" si="14"/>
        <v>100</v>
      </c>
      <c r="X46" s="1355"/>
      <c r="Y46" s="3685"/>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84"/>
      <c r="Q47" s="1352">
        <f t="shared" si="11"/>
        <v>111</v>
      </c>
      <c r="R47" s="705" t="s">
        <v>14</v>
      </c>
      <c r="S47" s="706">
        <f t="shared" si="12"/>
        <v>100</v>
      </c>
      <c r="T47" s="705" t="s">
        <v>14</v>
      </c>
      <c r="U47" s="706">
        <f t="shared" si="13"/>
        <v>100</v>
      </c>
      <c r="V47" s="705" t="s">
        <v>14</v>
      </c>
      <c r="W47" s="706">
        <f t="shared" si="14"/>
        <v>100</v>
      </c>
      <c r="X47" s="1355"/>
      <c r="Y47" s="3686"/>
      <c r="Z47" s="1356">
        <f t="shared" si="15"/>
        <v>111</v>
      </c>
      <c r="AA47" s="1353">
        <f t="shared" si="3"/>
        <v>1</v>
      </c>
      <c r="AB47" s="1353">
        <f t="shared" si="4"/>
        <v>1</v>
      </c>
      <c r="AC47" s="1962">
        <f t="shared" si="5"/>
        <v>1</v>
      </c>
    </row>
    <row r="48" spans="1:29" ht="15">
      <c r="A48" s="430" t="s">
        <v>1708</v>
      </c>
      <c r="B48" s="431"/>
      <c r="C48" s="1154" t="s">
        <v>0</v>
      </c>
      <c r="D48" s="1155"/>
      <c r="E48" s="1156">
        <v>6.5</v>
      </c>
      <c r="F48" s="1157"/>
      <c r="G48" s="1158">
        <v>6</v>
      </c>
      <c r="H48" s="1159"/>
      <c r="I48" s="1156">
        <v>5.2</v>
      </c>
      <c r="J48" s="436"/>
      <c r="K48" s="714"/>
      <c r="L48" s="2724"/>
      <c r="M48" s="2716"/>
      <c r="N48" s="2716"/>
      <c r="O48" s="2716"/>
      <c r="P48" s="3657" t="str">
        <f>A48</f>
        <v>成交单价（元/平方米）</v>
      </c>
      <c r="Q48" s="3687"/>
      <c r="R48" s="3688">
        <f>E48</f>
        <v>6.5</v>
      </c>
      <c r="S48" s="3688"/>
      <c r="T48" s="3688">
        <f>G48</f>
        <v>6</v>
      </c>
      <c r="U48" s="3688"/>
      <c r="V48" s="3688">
        <f>I48</f>
        <v>5.2</v>
      </c>
      <c r="W48" s="3688"/>
      <c r="X48" s="397"/>
      <c r="Y48" s="712"/>
      <c r="Z48" s="397"/>
      <c r="AA48" s="397"/>
      <c r="AB48" s="397"/>
      <c r="AC48" s="578"/>
    </row>
    <row r="49" spans="1:29" ht="15.75" thickBot="1">
      <c r="A49" s="437" t="s">
        <v>1793</v>
      </c>
      <c r="B49" s="438"/>
      <c r="C49" s="1160">
        <f>R50</f>
        <v>4.9000000000000004</v>
      </c>
      <c r="D49" s="2317" t="s">
        <v>2136</v>
      </c>
      <c r="E49" s="1161">
        <f>R49</f>
        <v>5.3</v>
      </c>
      <c r="F49" s="2318"/>
      <c r="G49" s="1160">
        <f>T49</f>
        <v>4.9000000000000004</v>
      </c>
      <c r="H49" s="2318"/>
      <c r="I49" s="1161">
        <f>V49</f>
        <v>4.5</v>
      </c>
      <c r="J49" s="2318"/>
      <c r="K49" s="2320">
        <f>F49+H49+J49</f>
        <v>0</v>
      </c>
      <c r="L49" s="2724"/>
      <c r="M49" s="2716"/>
      <c r="N49" s="2716"/>
      <c r="O49" s="2716"/>
      <c r="P49" s="3657" t="str">
        <f>A49</f>
        <v>比较价值（元/平方米）</v>
      </c>
      <c r="Q49" s="3687"/>
      <c r="R49" s="3688">
        <f>IF(F1="售价",ROUND(PRODUCT(R48,AA7:AA47),0),ROUND(PRODUCT(R48,AA7:AA47),1))</f>
        <v>5.3</v>
      </c>
      <c r="S49" s="3688"/>
      <c r="T49" s="3688">
        <f>IF(F1="售价",ROUND(PRODUCT(T48,AB7:AB47),0),ROUND(PRODUCT(T48,AB7:AB47),1))</f>
        <v>4.9000000000000004</v>
      </c>
      <c r="U49" s="3688"/>
      <c r="V49" s="3688">
        <f>IF(F1="售价",ROUND(PRODUCT(V48,AC7:AC47),0),ROUND(PRODUCT(V48,AC7:AC47),1))</f>
        <v>4.5</v>
      </c>
      <c r="W49" s="3688"/>
      <c r="X49" s="397"/>
      <c r="Y49" s="397"/>
      <c r="Z49" s="397"/>
      <c r="AA49" s="397"/>
      <c r="AB49" s="397"/>
      <c r="AC49" s="578"/>
    </row>
    <row r="50" spans="1:29" ht="15.75" thickBot="1">
      <c r="A50" s="441" t="s">
        <v>1794</v>
      </c>
      <c r="B50" s="442"/>
      <c r="C50" s="1163">
        <f>R50</f>
        <v>4.9000000000000004</v>
      </c>
      <c r="D50" s="1163"/>
      <c r="E50" s="1163"/>
      <c r="F50" s="1163"/>
      <c r="G50" s="1163"/>
      <c r="H50" s="1163"/>
      <c r="I50" s="1163"/>
      <c r="J50" s="443"/>
      <c r="K50" s="715"/>
      <c r="L50" s="2724"/>
      <c r="M50" s="2716"/>
      <c r="N50" s="2716"/>
      <c r="O50" s="2716"/>
      <c r="P50" s="3689" t="str">
        <f>A50</f>
        <v>估价对象XX用房的比较价值（楼面单价，元/平方米）</v>
      </c>
      <c r="Q50" s="3690"/>
      <c r="R50" s="3691">
        <f>IF(F1="售价",ROUND(IF(D49="简单平均",AVERAGE(R49:V49),R49*F49+T49*H49+V49*J49),0),ROUND(IF(D49="简单平均",AVERAGE(R49:V49),R49*F49+T49*H49+V49*J49),1))</f>
        <v>4.9000000000000004</v>
      </c>
      <c r="S50" s="3691"/>
      <c r="T50" s="3691"/>
      <c r="U50" s="3691"/>
      <c r="V50" s="3691"/>
      <c r="W50" s="3691"/>
      <c r="X50" s="1946"/>
      <c r="Y50" s="1946"/>
      <c r="Z50" s="1946"/>
      <c r="AA50" s="1946"/>
      <c r="AB50" s="1946"/>
      <c r="AC50" s="1947"/>
    </row>
    <row r="51" spans="1:29">
      <c r="A51" s="2725"/>
      <c r="B51" s="2725"/>
      <c r="C51" s="2725"/>
      <c r="D51" s="2725"/>
      <c r="E51" s="2725">
        <v>2008</v>
      </c>
      <c r="F51" s="2725"/>
      <c r="G51" s="2729">
        <v>20.13</v>
      </c>
      <c r="H51" s="2725"/>
      <c r="I51" s="2725">
        <v>2011</v>
      </c>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0.22641509433962259</v>
      </c>
      <c r="F53" s="449" t="str">
        <f>IF(OR(E53&gt;=0.3,E53&lt;=-0.3),"超过30%","")</f>
        <v/>
      </c>
      <c r="G53" s="448">
        <f>IF(G48&lt;G49,G49/G48-1,G48/G49-1)</f>
        <v>0.22448979591836715</v>
      </c>
      <c r="H53" s="449" t="str">
        <f>IF(OR(G53&gt;=0.3,G53&lt;=-0.3),"超过30%","")</f>
        <v/>
      </c>
      <c r="I53" s="448">
        <f>IF(I48&lt;I49,I49/I48-1,I48/I49-1)</f>
        <v>0.15555555555555567</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8.1632653061224358E-2</v>
      </c>
      <c r="F54" s="449" t="str">
        <f>IF(OR(E54&gt;=0.2,E54&lt;=-0.2),"超过20%","")</f>
        <v/>
      </c>
      <c r="G54" s="448">
        <f>IF(G49&lt;I49,I49/G49-1,G49/I49-1)</f>
        <v>8.8888888888889017E-2</v>
      </c>
      <c r="H54" s="449" t="str">
        <f>IF(OR(G54&gt;=0.2,G54&lt;=-0.2),"超过20%","")</f>
        <v/>
      </c>
      <c r="I54" s="448">
        <f>IF(I49&lt;E49,E49/I49-1,I49/E49-1)</f>
        <v>0.17777777777777781</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8.3333333333333259E-2</v>
      </c>
      <c r="F55" s="449" t="str">
        <f>IF(OR(E55&gt;=0.3,E55&lt;=-0.3),"超过30%","")</f>
        <v/>
      </c>
      <c r="G55" s="448">
        <f>IF(G48&lt;I48,I48/G48-1,G48/I48-1)</f>
        <v>0.15384615384615374</v>
      </c>
      <c r="H55" s="449" t="str">
        <f>IF(OR(G55&gt;=0.3,G55&lt;=-0.3),"超过30%","")</f>
        <v/>
      </c>
      <c r="I55" s="448">
        <f>IF(I48&lt;E48,E48/I48-1,I48/E48-1)</f>
        <v>0.25</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2023-4</v>
      </c>
      <c r="D59" s="1185">
        <f>EDATE(C59,-1)</f>
        <v>44986</v>
      </c>
      <c r="E59" s="1185">
        <f>EDATE(D59,-1)</f>
        <v>44958</v>
      </c>
      <c r="F59" s="1185">
        <f t="shared" ref="F59:O59" si="16">EDATE(E59,-1)</f>
        <v>44927</v>
      </c>
      <c r="G59" s="1185">
        <f t="shared" si="16"/>
        <v>44896</v>
      </c>
      <c r="H59" s="1185">
        <f t="shared" si="16"/>
        <v>44866</v>
      </c>
      <c r="I59" s="1185">
        <f t="shared" si="16"/>
        <v>44835</v>
      </c>
      <c r="J59" s="1185">
        <f t="shared" si="16"/>
        <v>44805</v>
      </c>
      <c r="K59" s="1185">
        <f t="shared" si="16"/>
        <v>44774</v>
      </c>
      <c r="L59" s="1185">
        <f t="shared" si="16"/>
        <v>44743</v>
      </c>
      <c r="M59" s="1185">
        <f t="shared" si="16"/>
        <v>44713</v>
      </c>
      <c r="N59" s="1185">
        <f t="shared" si="16"/>
        <v>44682</v>
      </c>
      <c r="O59" s="1185">
        <f t="shared" si="16"/>
        <v>44652</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v>100</v>
      </c>
      <c r="E60" s="461">
        <v>100</v>
      </c>
      <c r="F60" s="461">
        <v>100</v>
      </c>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现状办公</v>
      </c>
      <c r="D64" s="3528" t="s">
        <v>3554</v>
      </c>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v>100</v>
      </c>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0（含）-1</v>
      </c>
      <c r="D68" s="496" t="str">
        <f t="shared" ref="D68:L68" si="17">D69&amp;"（含）"&amp;"-"&amp;E69</f>
        <v>1（含）-2</v>
      </c>
      <c r="E68" s="496" t="str">
        <f t="shared" si="17"/>
        <v>2（含）-3</v>
      </c>
      <c r="F68" s="496" t="str">
        <f t="shared" si="17"/>
        <v>3（含）-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1</v>
      </c>
      <c r="E69" s="498">
        <v>2</v>
      </c>
      <c r="F69" s="498">
        <v>3</v>
      </c>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97</v>
      </c>
      <c r="E78" s="493">
        <f>D78-$K15</f>
        <v>94</v>
      </c>
      <c r="F78" s="493">
        <f>E78-$K15</f>
        <v>91</v>
      </c>
      <c r="G78" s="493">
        <f>F78-$K15</f>
        <v>88</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3529" t="s">
        <v>3560</v>
      </c>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t="str">
        <f>B29</f>
        <v>采光</v>
      </c>
      <c r="C93" s="3529" t="s">
        <v>3552</v>
      </c>
      <c r="D93" s="3529" t="s">
        <v>3553</v>
      </c>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v>105</v>
      </c>
      <c r="D94" s="485">
        <v>100</v>
      </c>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528" t="s">
        <v>3548</v>
      </c>
      <c r="D101" s="3528" t="s">
        <v>3550</v>
      </c>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97</v>
      </c>
      <c r="E102" s="493">
        <f t="shared" si="22"/>
        <v>94</v>
      </c>
      <c r="F102" s="493">
        <f t="shared" si="22"/>
        <v>91</v>
      </c>
      <c r="G102" s="493">
        <f t="shared" si="22"/>
        <v>88</v>
      </c>
      <c r="H102" s="493">
        <f t="shared" si="22"/>
        <v>85</v>
      </c>
      <c r="I102" s="493">
        <f t="shared" si="22"/>
        <v>82</v>
      </c>
      <c r="J102" s="493">
        <f t="shared" si="22"/>
        <v>79</v>
      </c>
      <c r="K102" s="493">
        <f t="shared" si="22"/>
        <v>76</v>
      </c>
      <c r="L102" s="493">
        <f t="shared" si="22"/>
        <v>73</v>
      </c>
      <c r="M102" s="494">
        <f t="shared" si="22"/>
        <v>70</v>
      </c>
      <c r="N102" s="2754"/>
      <c r="O102" s="2754"/>
      <c r="P102" s="2762"/>
      <c r="Q102" s="2739"/>
      <c r="R102" s="2725"/>
      <c r="S102" s="2725"/>
      <c r="T102" s="2725"/>
      <c r="U102" s="2725"/>
      <c r="V102" s="2725"/>
      <c r="W102" s="2725"/>
      <c r="X102" s="2725"/>
      <c r="Y102" s="2725"/>
      <c r="Z102" s="2725"/>
      <c r="AA102" s="2725"/>
      <c r="AB102" s="2725"/>
      <c r="AC102" s="2725"/>
    </row>
    <row r="103" spans="1:29" ht="29.25" thickTop="1">
      <c r="A103" s="483"/>
      <c r="B103" s="487" t="s">
        <v>1737</v>
      </c>
      <c r="C103" s="527" t="str">
        <f>C104&amp;"(含)"&amp;"-"&amp;D104</f>
        <v>0(含)-1000</v>
      </c>
      <c r="D103" s="527" t="str">
        <f t="shared" ref="D103:L103" si="23">D104&amp;"(含)"&amp;"-"&amp;E104</f>
        <v>1000(含)-3000</v>
      </c>
      <c r="E103" s="527" t="str">
        <f t="shared" si="23"/>
        <v>3000(含)-5000</v>
      </c>
      <c r="F103" s="527" t="str">
        <f t="shared" si="23"/>
        <v>5000(含)-10000</v>
      </c>
      <c r="G103" s="527" t="str">
        <f t="shared" si="23"/>
        <v>10000(含)-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657">
        <v>0</v>
      </c>
      <c r="D104" s="658">
        <v>1000</v>
      </c>
      <c r="E104" s="658">
        <v>3000</v>
      </c>
      <c r="F104" s="1305">
        <v>5000</v>
      </c>
      <c r="G104" s="1305">
        <v>10000</v>
      </c>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989">
        <v>100</v>
      </c>
      <c r="D105" s="990">
        <f>C105-2</f>
        <v>98</v>
      </c>
      <c r="E105" s="990">
        <f t="shared" ref="E105:G105" si="24">D105-2</f>
        <v>96</v>
      </c>
      <c r="F105" s="990">
        <f t="shared" si="24"/>
        <v>94</v>
      </c>
      <c r="G105" s="990">
        <f t="shared" si="24"/>
        <v>92</v>
      </c>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529" t="s">
        <v>3546</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5">C107-$K35</f>
        <v>100</v>
      </c>
      <c r="E107" s="493">
        <f t="shared" si="25"/>
        <v>100</v>
      </c>
      <c r="F107" s="493">
        <f t="shared" si="25"/>
        <v>100</v>
      </c>
      <c r="G107" s="493">
        <f t="shared" si="25"/>
        <v>100</v>
      </c>
      <c r="H107" s="493">
        <f t="shared" si="25"/>
        <v>100</v>
      </c>
      <c r="I107" s="493">
        <f t="shared" si="25"/>
        <v>100</v>
      </c>
      <c r="J107" s="493">
        <f t="shared" si="25"/>
        <v>100</v>
      </c>
      <c r="K107" s="493">
        <f t="shared" si="25"/>
        <v>100</v>
      </c>
      <c r="L107" s="493">
        <f t="shared" si="25"/>
        <v>100</v>
      </c>
      <c r="M107" s="494">
        <f t="shared" si="25"/>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529" t="s">
        <v>3556</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6">C109-$K36</f>
        <v>100</v>
      </c>
      <c r="E109" s="493">
        <f t="shared" si="26"/>
        <v>100</v>
      </c>
      <c r="F109" s="493">
        <f t="shared" si="26"/>
        <v>100</v>
      </c>
      <c r="G109" s="493">
        <f t="shared" si="26"/>
        <v>100</v>
      </c>
      <c r="H109" s="493">
        <f t="shared" si="26"/>
        <v>100</v>
      </c>
      <c r="I109" s="493">
        <f t="shared" si="26"/>
        <v>100</v>
      </c>
      <c r="J109" s="493">
        <f t="shared" si="26"/>
        <v>100</v>
      </c>
      <c r="K109" s="493">
        <f t="shared" si="26"/>
        <v>100</v>
      </c>
      <c r="L109" s="493">
        <f t="shared" si="26"/>
        <v>100</v>
      </c>
      <c r="M109" s="494">
        <f t="shared" si="26"/>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7">D112+$K37</f>
        <v>100</v>
      </c>
      <c r="F112" s="493">
        <f t="shared" si="27"/>
        <v>100</v>
      </c>
      <c r="G112" s="493">
        <f t="shared" si="27"/>
        <v>100</v>
      </c>
      <c r="H112" s="493">
        <f t="shared" si="27"/>
        <v>100</v>
      </c>
      <c r="I112" s="493">
        <f t="shared" si="27"/>
        <v>100</v>
      </c>
      <c r="J112" s="493">
        <f t="shared" si="27"/>
        <v>100</v>
      </c>
      <c r="K112" s="493">
        <f t="shared" si="27"/>
        <v>100</v>
      </c>
      <c r="L112" s="493">
        <f t="shared" si="27"/>
        <v>100</v>
      </c>
      <c r="M112" s="493">
        <f t="shared" si="27"/>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3529" t="s">
        <v>3559</v>
      </c>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9">C116-$K39</f>
        <v>100</v>
      </c>
      <c r="E116" s="493">
        <f t="shared" si="29"/>
        <v>100</v>
      </c>
      <c r="F116" s="493">
        <f t="shared" si="29"/>
        <v>100</v>
      </c>
      <c r="G116" s="493">
        <f t="shared" si="29"/>
        <v>100</v>
      </c>
      <c r="H116" s="493">
        <f t="shared" si="29"/>
        <v>100</v>
      </c>
      <c r="I116" s="493">
        <f t="shared" si="29"/>
        <v>100</v>
      </c>
      <c r="J116" s="493">
        <f t="shared" si="29"/>
        <v>100</v>
      </c>
      <c r="K116" s="493">
        <f t="shared" si="29"/>
        <v>100</v>
      </c>
      <c r="L116" s="493">
        <f t="shared" si="29"/>
        <v>100</v>
      </c>
      <c r="M116" s="494">
        <f t="shared" si="29"/>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3542" t="s">
        <v>3580</v>
      </c>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529" t="s">
        <v>3556</v>
      </c>
      <c r="D123" s="3529" t="s">
        <v>3583</v>
      </c>
      <c r="E123" s="3529" t="s">
        <v>3557</v>
      </c>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1">C124-$K43</f>
        <v>97</v>
      </c>
      <c r="E124" s="493">
        <f t="shared" si="31"/>
        <v>94</v>
      </c>
      <c r="F124" s="493">
        <f t="shared" si="31"/>
        <v>91</v>
      </c>
      <c r="G124" s="493">
        <f t="shared" si="31"/>
        <v>88</v>
      </c>
      <c r="H124" s="493">
        <f t="shared" si="31"/>
        <v>85</v>
      </c>
      <c r="I124" s="493">
        <f t="shared" si="31"/>
        <v>82</v>
      </c>
      <c r="J124" s="493">
        <f t="shared" si="31"/>
        <v>79</v>
      </c>
      <c r="K124" s="493">
        <f t="shared" si="31"/>
        <v>76</v>
      </c>
      <c r="L124" s="493">
        <f t="shared" si="31"/>
        <v>73</v>
      </c>
      <c r="M124" s="494">
        <f t="shared" si="31"/>
        <v>70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95" priority="20" stopIfTrue="1" operator="containsText" text="超过">
      <formula>NOT(ISERROR(SEARCH("超过",F53)))</formula>
    </cfRule>
  </conditionalFormatting>
  <conditionalFormatting sqref="H55">
    <cfRule type="containsText" dxfId="194" priority="19" stopIfTrue="1" operator="containsText" text="超过">
      <formula>NOT(ISERROR(SEARCH("超过",H55)))</formula>
    </cfRule>
  </conditionalFormatting>
  <conditionalFormatting sqref="F55">
    <cfRule type="containsText" dxfId="193" priority="18" stopIfTrue="1" operator="containsText" text="超过">
      <formula>NOT(ISERROR(SEARCH("超过",F55)))</formula>
    </cfRule>
  </conditionalFormatting>
  <conditionalFormatting sqref="F54 H54">
    <cfRule type="containsText" dxfId="192" priority="17" stopIfTrue="1" operator="containsText" text="超过">
      <formula>NOT(ISERROR(SEARCH("超过",F54)))</formula>
    </cfRule>
  </conditionalFormatting>
  <conditionalFormatting sqref="E53">
    <cfRule type="expression" dxfId="191" priority="16" stopIfTrue="1">
      <formula>$F$53="超过30%"</formula>
    </cfRule>
  </conditionalFormatting>
  <conditionalFormatting sqref="E54">
    <cfRule type="expression" dxfId="190" priority="15" stopIfTrue="1">
      <formula>$F$54="超过20%"</formula>
    </cfRule>
  </conditionalFormatting>
  <conditionalFormatting sqref="E55">
    <cfRule type="expression" dxfId="189" priority="14" stopIfTrue="1">
      <formula>$F$55="超过30%"</formula>
    </cfRule>
  </conditionalFormatting>
  <conditionalFormatting sqref="G55">
    <cfRule type="expression" dxfId="188" priority="13" stopIfTrue="1">
      <formula>$H$55="超过30%"</formula>
    </cfRule>
  </conditionalFormatting>
  <conditionalFormatting sqref="G53">
    <cfRule type="expression" dxfId="187" priority="12" stopIfTrue="1">
      <formula>$H$53="超过30%"</formula>
    </cfRule>
  </conditionalFormatting>
  <conditionalFormatting sqref="G54">
    <cfRule type="expression" dxfId="186" priority="11" stopIfTrue="1">
      <formula>$H$54="超过20%"</formula>
    </cfRule>
  </conditionalFormatting>
  <conditionalFormatting sqref="J53">
    <cfRule type="containsText" dxfId="185" priority="10" stopIfTrue="1" operator="containsText" text="超过">
      <formula>NOT(ISERROR(SEARCH("超过",J53)))</formula>
    </cfRule>
  </conditionalFormatting>
  <conditionalFormatting sqref="J55">
    <cfRule type="containsText" dxfId="184" priority="9" stopIfTrue="1" operator="containsText" text="超过">
      <formula>NOT(ISERROR(SEARCH("超过",J55)))</formula>
    </cfRule>
  </conditionalFormatting>
  <conditionalFormatting sqref="J54">
    <cfRule type="containsText" dxfId="183" priority="8" stopIfTrue="1" operator="containsText" text="超过">
      <formula>NOT(ISERROR(SEARCH("超过",J54)))</formula>
    </cfRule>
  </conditionalFormatting>
  <conditionalFormatting sqref="I53">
    <cfRule type="expression" dxfId="182" priority="7" stopIfTrue="1">
      <formula>$J$53="超过30%"</formula>
    </cfRule>
  </conditionalFormatting>
  <conditionalFormatting sqref="I54">
    <cfRule type="expression" dxfId="181" priority="6" stopIfTrue="1">
      <formula>$J$53+$J$54="超过20%"</formula>
    </cfRule>
  </conditionalFormatting>
  <conditionalFormatting sqref="I55">
    <cfRule type="expression" dxfId="180" priority="5" stopIfTrue="1">
      <formula>$J$55="超过30%"</formula>
    </cfRule>
  </conditionalFormatting>
  <conditionalFormatting sqref="F49">
    <cfRule type="expression" dxfId="179" priority="4">
      <formula>$D$49="简单平均"</formula>
    </cfRule>
  </conditionalFormatting>
  <conditionalFormatting sqref="H49">
    <cfRule type="expression" dxfId="178" priority="3">
      <formula>$D$49="简单平均"</formula>
    </cfRule>
  </conditionalFormatting>
  <conditionalFormatting sqref="J49">
    <cfRule type="expression" dxfId="177" priority="2">
      <formula>$D$49="简单平均"</formula>
    </cfRule>
  </conditionalFormatting>
  <conditionalFormatting sqref="F7:F47 H7:H47 J7:J47">
    <cfRule type="cellIs" dxfId="176"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9A16D-5FCC-410B-9B0D-DF638B1C2450}">
  <dimension ref="A1:P45"/>
  <sheetViews>
    <sheetView workbookViewId="0">
      <selection activeCell="C24" sqref="C24"/>
    </sheetView>
  </sheetViews>
  <sheetFormatPr defaultRowHeight="13.5"/>
  <cols>
    <col min="1" max="1" width="6.375" style="3466" customWidth="1"/>
    <col min="2" max="2" width="19.375" style="3511" customWidth="1"/>
    <col min="3" max="3" width="7" style="3466" customWidth="1"/>
    <col min="4" max="4" width="3.25" style="3466" customWidth="1"/>
    <col min="5" max="5" width="7.375" style="3466" customWidth="1"/>
    <col min="6" max="6" width="3.5" style="3466" customWidth="1"/>
    <col min="7" max="7" width="19.375" style="3512" customWidth="1"/>
    <col min="8" max="8" width="19.5" style="3466" customWidth="1"/>
    <col min="9" max="9" width="8.625" style="3466" customWidth="1"/>
    <col min="10" max="10" width="10.5" style="3458" customWidth="1"/>
    <col min="11" max="11" width="4.875" style="3458" customWidth="1"/>
    <col min="12" max="12" width="16.375" style="3458" customWidth="1"/>
    <col min="13" max="14" width="8.125" style="3466" customWidth="1"/>
    <col min="15" max="15" width="12.5" style="3466" customWidth="1"/>
    <col min="16" max="16" width="8.125" style="3466" customWidth="1"/>
    <col min="17" max="256" width="9" style="3466"/>
    <col min="257" max="257" width="6.375" style="3466" customWidth="1"/>
    <col min="258" max="258" width="19.375" style="3466" customWidth="1"/>
    <col min="259" max="259" width="7" style="3466" customWidth="1"/>
    <col min="260" max="260" width="3.25" style="3466" customWidth="1"/>
    <col min="261" max="261" width="7.375" style="3466" customWidth="1"/>
    <col min="262" max="262" width="3.5" style="3466" customWidth="1"/>
    <col min="263" max="263" width="19.375" style="3466" customWidth="1"/>
    <col min="264" max="264" width="19.5" style="3466" customWidth="1"/>
    <col min="265" max="265" width="8.625" style="3466" customWidth="1"/>
    <col min="266" max="266" width="10.5" style="3466" customWidth="1"/>
    <col min="267" max="267" width="4.875" style="3466" customWidth="1"/>
    <col min="268" max="268" width="16.375" style="3466" customWidth="1"/>
    <col min="269" max="272" width="8.125" style="3466" customWidth="1"/>
    <col min="273" max="512" width="9" style="3466"/>
    <col min="513" max="513" width="6.375" style="3466" customWidth="1"/>
    <col min="514" max="514" width="19.375" style="3466" customWidth="1"/>
    <col min="515" max="515" width="7" style="3466" customWidth="1"/>
    <col min="516" max="516" width="3.25" style="3466" customWidth="1"/>
    <col min="517" max="517" width="7.375" style="3466" customWidth="1"/>
    <col min="518" max="518" width="3.5" style="3466" customWidth="1"/>
    <col min="519" max="519" width="19.375" style="3466" customWidth="1"/>
    <col min="520" max="520" width="19.5" style="3466" customWidth="1"/>
    <col min="521" max="521" width="8.625" style="3466" customWidth="1"/>
    <col min="522" max="522" width="10.5" style="3466" customWidth="1"/>
    <col min="523" max="523" width="4.875" style="3466" customWidth="1"/>
    <col min="524" max="524" width="16.375" style="3466" customWidth="1"/>
    <col min="525" max="528" width="8.125" style="3466" customWidth="1"/>
    <col min="529" max="768" width="9" style="3466"/>
    <col min="769" max="769" width="6.375" style="3466" customWidth="1"/>
    <col min="770" max="770" width="19.375" style="3466" customWidth="1"/>
    <col min="771" max="771" width="7" style="3466" customWidth="1"/>
    <col min="772" max="772" width="3.25" style="3466" customWidth="1"/>
    <col min="773" max="773" width="7.375" style="3466" customWidth="1"/>
    <col min="774" max="774" width="3.5" style="3466" customWidth="1"/>
    <col min="775" max="775" width="19.375" style="3466" customWidth="1"/>
    <col min="776" max="776" width="19.5" style="3466" customWidth="1"/>
    <col min="777" max="777" width="8.625" style="3466" customWidth="1"/>
    <col min="778" max="778" width="10.5" style="3466" customWidth="1"/>
    <col min="779" max="779" width="4.875" style="3466" customWidth="1"/>
    <col min="780" max="780" width="16.375" style="3466" customWidth="1"/>
    <col min="781" max="784" width="8.125" style="3466" customWidth="1"/>
    <col min="785" max="1024" width="9" style="3466"/>
    <col min="1025" max="1025" width="6.375" style="3466" customWidth="1"/>
    <col min="1026" max="1026" width="19.375" style="3466" customWidth="1"/>
    <col min="1027" max="1027" width="7" style="3466" customWidth="1"/>
    <col min="1028" max="1028" width="3.25" style="3466" customWidth="1"/>
    <col min="1029" max="1029" width="7.375" style="3466" customWidth="1"/>
    <col min="1030" max="1030" width="3.5" style="3466" customWidth="1"/>
    <col min="1031" max="1031" width="19.375" style="3466" customWidth="1"/>
    <col min="1032" max="1032" width="19.5" style="3466" customWidth="1"/>
    <col min="1033" max="1033" width="8.625" style="3466" customWidth="1"/>
    <col min="1034" max="1034" width="10.5" style="3466" customWidth="1"/>
    <col min="1035" max="1035" width="4.875" style="3466" customWidth="1"/>
    <col min="1036" max="1036" width="16.375" style="3466" customWidth="1"/>
    <col min="1037" max="1040" width="8.125" style="3466" customWidth="1"/>
    <col min="1041" max="1280" width="9" style="3466"/>
    <col min="1281" max="1281" width="6.375" style="3466" customWidth="1"/>
    <col min="1282" max="1282" width="19.375" style="3466" customWidth="1"/>
    <col min="1283" max="1283" width="7" style="3466" customWidth="1"/>
    <col min="1284" max="1284" width="3.25" style="3466" customWidth="1"/>
    <col min="1285" max="1285" width="7.375" style="3466" customWidth="1"/>
    <col min="1286" max="1286" width="3.5" style="3466" customWidth="1"/>
    <col min="1287" max="1287" width="19.375" style="3466" customWidth="1"/>
    <col min="1288" max="1288" width="19.5" style="3466" customWidth="1"/>
    <col min="1289" max="1289" width="8.625" style="3466" customWidth="1"/>
    <col min="1290" max="1290" width="10.5" style="3466" customWidth="1"/>
    <col min="1291" max="1291" width="4.875" style="3466" customWidth="1"/>
    <col min="1292" max="1292" width="16.375" style="3466" customWidth="1"/>
    <col min="1293" max="1296" width="8.125" style="3466" customWidth="1"/>
    <col min="1297" max="1536" width="9" style="3466"/>
    <col min="1537" max="1537" width="6.375" style="3466" customWidth="1"/>
    <col min="1538" max="1538" width="19.375" style="3466" customWidth="1"/>
    <col min="1539" max="1539" width="7" style="3466" customWidth="1"/>
    <col min="1540" max="1540" width="3.25" style="3466" customWidth="1"/>
    <col min="1541" max="1541" width="7.375" style="3466" customWidth="1"/>
    <col min="1542" max="1542" width="3.5" style="3466" customWidth="1"/>
    <col min="1543" max="1543" width="19.375" style="3466" customWidth="1"/>
    <col min="1544" max="1544" width="19.5" style="3466" customWidth="1"/>
    <col min="1545" max="1545" width="8.625" style="3466" customWidth="1"/>
    <col min="1546" max="1546" width="10.5" style="3466" customWidth="1"/>
    <col min="1547" max="1547" width="4.875" style="3466" customWidth="1"/>
    <col min="1548" max="1548" width="16.375" style="3466" customWidth="1"/>
    <col min="1549" max="1552" width="8.125" style="3466" customWidth="1"/>
    <col min="1553" max="1792" width="9" style="3466"/>
    <col min="1793" max="1793" width="6.375" style="3466" customWidth="1"/>
    <col min="1794" max="1794" width="19.375" style="3466" customWidth="1"/>
    <col min="1795" max="1795" width="7" style="3466" customWidth="1"/>
    <col min="1796" max="1796" width="3.25" style="3466" customWidth="1"/>
    <col min="1797" max="1797" width="7.375" style="3466" customWidth="1"/>
    <col min="1798" max="1798" width="3.5" style="3466" customWidth="1"/>
    <col min="1799" max="1799" width="19.375" style="3466" customWidth="1"/>
    <col min="1800" max="1800" width="19.5" style="3466" customWidth="1"/>
    <col min="1801" max="1801" width="8.625" style="3466" customWidth="1"/>
    <col min="1802" max="1802" width="10.5" style="3466" customWidth="1"/>
    <col min="1803" max="1803" width="4.875" style="3466" customWidth="1"/>
    <col min="1804" max="1804" width="16.375" style="3466" customWidth="1"/>
    <col min="1805" max="1808" width="8.125" style="3466" customWidth="1"/>
    <col min="1809" max="2048" width="9" style="3466"/>
    <col min="2049" max="2049" width="6.375" style="3466" customWidth="1"/>
    <col min="2050" max="2050" width="19.375" style="3466" customWidth="1"/>
    <col min="2051" max="2051" width="7" style="3466" customWidth="1"/>
    <col min="2052" max="2052" width="3.25" style="3466" customWidth="1"/>
    <col min="2053" max="2053" width="7.375" style="3466" customWidth="1"/>
    <col min="2054" max="2054" width="3.5" style="3466" customWidth="1"/>
    <col min="2055" max="2055" width="19.375" style="3466" customWidth="1"/>
    <col min="2056" max="2056" width="19.5" style="3466" customWidth="1"/>
    <col min="2057" max="2057" width="8.625" style="3466" customWidth="1"/>
    <col min="2058" max="2058" width="10.5" style="3466" customWidth="1"/>
    <col min="2059" max="2059" width="4.875" style="3466" customWidth="1"/>
    <col min="2060" max="2060" width="16.375" style="3466" customWidth="1"/>
    <col min="2061" max="2064" width="8.125" style="3466" customWidth="1"/>
    <col min="2065" max="2304" width="9" style="3466"/>
    <col min="2305" max="2305" width="6.375" style="3466" customWidth="1"/>
    <col min="2306" max="2306" width="19.375" style="3466" customWidth="1"/>
    <col min="2307" max="2307" width="7" style="3466" customWidth="1"/>
    <col min="2308" max="2308" width="3.25" style="3466" customWidth="1"/>
    <col min="2309" max="2309" width="7.375" style="3466" customWidth="1"/>
    <col min="2310" max="2310" width="3.5" style="3466" customWidth="1"/>
    <col min="2311" max="2311" width="19.375" style="3466" customWidth="1"/>
    <col min="2312" max="2312" width="19.5" style="3466" customWidth="1"/>
    <col min="2313" max="2313" width="8.625" style="3466" customWidth="1"/>
    <col min="2314" max="2314" width="10.5" style="3466" customWidth="1"/>
    <col min="2315" max="2315" width="4.875" style="3466" customWidth="1"/>
    <col min="2316" max="2316" width="16.375" style="3466" customWidth="1"/>
    <col min="2317" max="2320" width="8.125" style="3466" customWidth="1"/>
    <col min="2321" max="2560" width="9" style="3466"/>
    <col min="2561" max="2561" width="6.375" style="3466" customWidth="1"/>
    <col min="2562" max="2562" width="19.375" style="3466" customWidth="1"/>
    <col min="2563" max="2563" width="7" style="3466" customWidth="1"/>
    <col min="2564" max="2564" width="3.25" style="3466" customWidth="1"/>
    <col min="2565" max="2565" width="7.375" style="3466" customWidth="1"/>
    <col min="2566" max="2566" width="3.5" style="3466" customWidth="1"/>
    <col min="2567" max="2567" width="19.375" style="3466" customWidth="1"/>
    <col min="2568" max="2568" width="19.5" style="3466" customWidth="1"/>
    <col min="2569" max="2569" width="8.625" style="3466" customWidth="1"/>
    <col min="2570" max="2570" width="10.5" style="3466" customWidth="1"/>
    <col min="2571" max="2571" width="4.875" style="3466" customWidth="1"/>
    <col min="2572" max="2572" width="16.375" style="3466" customWidth="1"/>
    <col min="2573" max="2576" width="8.125" style="3466" customWidth="1"/>
    <col min="2577" max="2816" width="9" style="3466"/>
    <col min="2817" max="2817" width="6.375" style="3466" customWidth="1"/>
    <col min="2818" max="2818" width="19.375" style="3466" customWidth="1"/>
    <col min="2819" max="2819" width="7" style="3466" customWidth="1"/>
    <col min="2820" max="2820" width="3.25" style="3466" customWidth="1"/>
    <col min="2821" max="2821" width="7.375" style="3466" customWidth="1"/>
    <col min="2822" max="2822" width="3.5" style="3466" customWidth="1"/>
    <col min="2823" max="2823" width="19.375" style="3466" customWidth="1"/>
    <col min="2824" max="2824" width="19.5" style="3466" customWidth="1"/>
    <col min="2825" max="2825" width="8.625" style="3466" customWidth="1"/>
    <col min="2826" max="2826" width="10.5" style="3466" customWidth="1"/>
    <col min="2827" max="2827" width="4.875" style="3466" customWidth="1"/>
    <col min="2828" max="2828" width="16.375" style="3466" customWidth="1"/>
    <col min="2829" max="2832" width="8.125" style="3466" customWidth="1"/>
    <col min="2833" max="3072" width="9" style="3466"/>
    <col min="3073" max="3073" width="6.375" style="3466" customWidth="1"/>
    <col min="3074" max="3074" width="19.375" style="3466" customWidth="1"/>
    <col min="3075" max="3075" width="7" style="3466" customWidth="1"/>
    <col min="3076" max="3076" width="3.25" style="3466" customWidth="1"/>
    <col min="3077" max="3077" width="7.375" style="3466" customWidth="1"/>
    <col min="3078" max="3078" width="3.5" style="3466" customWidth="1"/>
    <col min="3079" max="3079" width="19.375" style="3466" customWidth="1"/>
    <col min="3080" max="3080" width="19.5" style="3466" customWidth="1"/>
    <col min="3081" max="3081" width="8.625" style="3466" customWidth="1"/>
    <col min="3082" max="3082" width="10.5" style="3466" customWidth="1"/>
    <col min="3083" max="3083" width="4.875" style="3466" customWidth="1"/>
    <col min="3084" max="3084" width="16.375" style="3466" customWidth="1"/>
    <col min="3085" max="3088" width="8.125" style="3466" customWidth="1"/>
    <col min="3089" max="3328" width="9" style="3466"/>
    <col min="3329" max="3329" width="6.375" style="3466" customWidth="1"/>
    <col min="3330" max="3330" width="19.375" style="3466" customWidth="1"/>
    <col min="3331" max="3331" width="7" style="3466" customWidth="1"/>
    <col min="3332" max="3332" width="3.25" style="3466" customWidth="1"/>
    <col min="3333" max="3333" width="7.375" style="3466" customWidth="1"/>
    <col min="3334" max="3334" width="3.5" style="3466" customWidth="1"/>
    <col min="3335" max="3335" width="19.375" style="3466" customWidth="1"/>
    <col min="3336" max="3336" width="19.5" style="3466" customWidth="1"/>
    <col min="3337" max="3337" width="8.625" style="3466" customWidth="1"/>
    <col min="3338" max="3338" width="10.5" style="3466" customWidth="1"/>
    <col min="3339" max="3339" width="4.875" style="3466" customWidth="1"/>
    <col min="3340" max="3340" width="16.375" style="3466" customWidth="1"/>
    <col min="3341" max="3344" width="8.125" style="3466" customWidth="1"/>
    <col min="3345" max="3584" width="9" style="3466"/>
    <col min="3585" max="3585" width="6.375" style="3466" customWidth="1"/>
    <col min="3586" max="3586" width="19.375" style="3466" customWidth="1"/>
    <col min="3587" max="3587" width="7" style="3466" customWidth="1"/>
    <col min="3588" max="3588" width="3.25" style="3466" customWidth="1"/>
    <col min="3589" max="3589" width="7.375" style="3466" customWidth="1"/>
    <col min="3590" max="3590" width="3.5" style="3466" customWidth="1"/>
    <col min="3591" max="3591" width="19.375" style="3466" customWidth="1"/>
    <col min="3592" max="3592" width="19.5" style="3466" customWidth="1"/>
    <col min="3593" max="3593" width="8.625" style="3466" customWidth="1"/>
    <col min="3594" max="3594" width="10.5" style="3466" customWidth="1"/>
    <col min="3595" max="3595" width="4.875" style="3466" customWidth="1"/>
    <col min="3596" max="3596" width="16.375" style="3466" customWidth="1"/>
    <col min="3597" max="3600" width="8.125" style="3466" customWidth="1"/>
    <col min="3601" max="3840" width="9" style="3466"/>
    <col min="3841" max="3841" width="6.375" style="3466" customWidth="1"/>
    <col min="3842" max="3842" width="19.375" style="3466" customWidth="1"/>
    <col min="3843" max="3843" width="7" style="3466" customWidth="1"/>
    <col min="3844" max="3844" width="3.25" style="3466" customWidth="1"/>
    <col min="3845" max="3845" width="7.375" style="3466" customWidth="1"/>
    <col min="3846" max="3846" width="3.5" style="3466" customWidth="1"/>
    <col min="3847" max="3847" width="19.375" style="3466" customWidth="1"/>
    <col min="3848" max="3848" width="19.5" style="3466" customWidth="1"/>
    <col min="3849" max="3849" width="8.625" style="3466" customWidth="1"/>
    <col min="3850" max="3850" width="10.5" style="3466" customWidth="1"/>
    <col min="3851" max="3851" width="4.875" style="3466" customWidth="1"/>
    <col min="3852" max="3852" width="16.375" style="3466" customWidth="1"/>
    <col min="3853" max="3856" width="8.125" style="3466" customWidth="1"/>
    <col min="3857" max="4096" width="9" style="3466"/>
    <col min="4097" max="4097" width="6.375" style="3466" customWidth="1"/>
    <col min="4098" max="4098" width="19.375" style="3466" customWidth="1"/>
    <col min="4099" max="4099" width="7" style="3466" customWidth="1"/>
    <col min="4100" max="4100" width="3.25" style="3466" customWidth="1"/>
    <col min="4101" max="4101" width="7.375" style="3466" customWidth="1"/>
    <col min="4102" max="4102" width="3.5" style="3466" customWidth="1"/>
    <col min="4103" max="4103" width="19.375" style="3466" customWidth="1"/>
    <col min="4104" max="4104" width="19.5" style="3466" customWidth="1"/>
    <col min="4105" max="4105" width="8.625" style="3466" customWidth="1"/>
    <col min="4106" max="4106" width="10.5" style="3466" customWidth="1"/>
    <col min="4107" max="4107" width="4.875" style="3466" customWidth="1"/>
    <col min="4108" max="4108" width="16.375" style="3466" customWidth="1"/>
    <col min="4109" max="4112" width="8.125" style="3466" customWidth="1"/>
    <col min="4113" max="4352" width="9" style="3466"/>
    <col min="4353" max="4353" width="6.375" style="3466" customWidth="1"/>
    <col min="4354" max="4354" width="19.375" style="3466" customWidth="1"/>
    <col min="4355" max="4355" width="7" style="3466" customWidth="1"/>
    <col min="4356" max="4356" width="3.25" style="3466" customWidth="1"/>
    <col min="4357" max="4357" width="7.375" style="3466" customWidth="1"/>
    <col min="4358" max="4358" width="3.5" style="3466" customWidth="1"/>
    <col min="4359" max="4359" width="19.375" style="3466" customWidth="1"/>
    <col min="4360" max="4360" width="19.5" style="3466" customWidth="1"/>
    <col min="4361" max="4361" width="8.625" style="3466" customWidth="1"/>
    <col min="4362" max="4362" width="10.5" style="3466" customWidth="1"/>
    <col min="4363" max="4363" width="4.875" style="3466" customWidth="1"/>
    <col min="4364" max="4364" width="16.375" style="3466" customWidth="1"/>
    <col min="4365" max="4368" width="8.125" style="3466" customWidth="1"/>
    <col min="4369" max="4608" width="9" style="3466"/>
    <col min="4609" max="4609" width="6.375" style="3466" customWidth="1"/>
    <col min="4610" max="4610" width="19.375" style="3466" customWidth="1"/>
    <col min="4611" max="4611" width="7" style="3466" customWidth="1"/>
    <col min="4612" max="4612" width="3.25" style="3466" customWidth="1"/>
    <col min="4613" max="4613" width="7.375" style="3466" customWidth="1"/>
    <col min="4614" max="4614" width="3.5" style="3466" customWidth="1"/>
    <col min="4615" max="4615" width="19.375" style="3466" customWidth="1"/>
    <col min="4616" max="4616" width="19.5" style="3466" customWidth="1"/>
    <col min="4617" max="4617" width="8.625" style="3466" customWidth="1"/>
    <col min="4618" max="4618" width="10.5" style="3466" customWidth="1"/>
    <col min="4619" max="4619" width="4.875" style="3466" customWidth="1"/>
    <col min="4620" max="4620" width="16.375" style="3466" customWidth="1"/>
    <col min="4621" max="4624" width="8.125" style="3466" customWidth="1"/>
    <col min="4625" max="4864" width="9" style="3466"/>
    <col min="4865" max="4865" width="6.375" style="3466" customWidth="1"/>
    <col min="4866" max="4866" width="19.375" style="3466" customWidth="1"/>
    <col min="4867" max="4867" width="7" style="3466" customWidth="1"/>
    <col min="4868" max="4868" width="3.25" style="3466" customWidth="1"/>
    <col min="4869" max="4869" width="7.375" style="3466" customWidth="1"/>
    <col min="4870" max="4870" width="3.5" style="3466" customWidth="1"/>
    <col min="4871" max="4871" width="19.375" style="3466" customWidth="1"/>
    <col min="4872" max="4872" width="19.5" style="3466" customWidth="1"/>
    <col min="4873" max="4873" width="8.625" style="3466" customWidth="1"/>
    <col min="4874" max="4874" width="10.5" style="3466" customWidth="1"/>
    <col min="4875" max="4875" width="4.875" style="3466" customWidth="1"/>
    <col min="4876" max="4876" width="16.375" style="3466" customWidth="1"/>
    <col min="4877" max="4880" width="8.125" style="3466" customWidth="1"/>
    <col min="4881" max="5120" width="9" style="3466"/>
    <col min="5121" max="5121" width="6.375" style="3466" customWidth="1"/>
    <col min="5122" max="5122" width="19.375" style="3466" customWidth="1"/>
    <col min="5123" max="5123" width="7" style="3466" customWidth="1"/>
    <col min="5124" max="5124" width="3.25" style="3466" customWidth="1"/>
    <col min="5125" max="5125" width="7.375" style="3466" customWidth="1"/>
    <col min="5126" max="5126" width="3.5" style="3466" customWidth="1"/>
    <col min="5127" max="5127" width="19.375" style="3466" customWidth="1"/>
    <col min="5128" max="5128" width="19.5" style="3466" customWidth="1"/>
    <col min="5129" max="5129" width="8.625" style="3466" customWidth="1"/>
    <col min="5130" max="5130" width="10.5" style="3466" customWidth="1"/>
    <col min="5131" max="5131" width="4.875" style="3466" customWidth="1"/>
    <col min="5132" max="5132" width="16.375" style="3466" customWidth="1"/>
    <col min="5133" max="5136" width="8.125" style="3466" customWidth="1"/>
    <col min="5137" max="5376" width="9" style="3466"/>
    <col min="5377" max="5377" width="6.375" style="3466" customWidth="1"/>
    <col min="5378" max="5378" width="19.375" style="3466" customWidth="1"/>
    <col min="5379" max="5379" width="7" style="3466" customWidth="1"/>
    <col min="5380" max="5380" width="3.25" style="3466" customWidth="1"/>
    <col min="5381" max="5381" width="7.375" style="3466" customWidth="1"/>
    <col min="5382" max="5382" width="3.5" style="3466" customWidth="1"/>
    <col min="5383" max="5383" width="19.375" style="3466" customWidth="1"/>
    <col min="5384" max="5384" width="19.5" style="3466" customWidth="1"/>
    <col min="5385" max="5385" width="8.625" style="3466" customWidth="1"/>
    <col min="5386" max="5386" width="10.5" style="3466" customWidth="1"/>
    <col min="5387" max="5387" width="4.875" style="3466" customWidth="1"/>
    <col min="5388" max="5388" width="16.375" style="3466" customWidth="1"/>
    <col min="5389" max="5392" width="8.125" style="3466" customWidth="1"/>
    <col min="5393" max="5632" width="9" style="3466"/>
    <col min="5633" max="5633" width="6.375" style="3466" customWidth="1"/>
    <col min="5634" max="5634" width="19.375" style="3466" customWidth="1"/>
    <col min="5635" max="5635" width="7" style="3466" customWidth="1"/>
    <col min="5636" max="5636" width="3.25" style="3466" customWidth="1"/>
    <col min="5637" max="5637" width="7.375" style="3466" customWidth="1"/>
    <col min="5638" max="5638" width="3.5" style="3466" customWidth="1"/>
    <col min="5639" max="5639" width="19.375" style="3466" customWidth="1"/>
    <col min="5640" max="5640" width="19.5" style="3466" customWidth="1"/>
    <col min="5641" max="5641" width="8.625" style="3466" customWidth="1"/>
    <col min="5642" max="5642" width="10.5" style="3466" customWidth="1"/>
    <col min="5643" max="5643" width="4.875" style="3466" customWidth="1"/>
    <col min="5644" max="5644" width="16.375" style="3466" customWidth="1"/>
    <col min="5645" max="5648" width="8.125" style="3466" customWidth="1"/>
    <col min="5649" max="5888" width="9" style="3466"/>
    <col min="5889" max="5889" width="6.375" style="3466" customWidth="1"/>
    <col min="5890" max="5890" width="19.375" style="3466" customWidth="1"/>
    <col min="5891" max="5891" width="7" style="3466" customWidth="1"/>
    <col min="5892" max="5892" width="3.25" style="3466" customWidth="1"/>
    <col min="5893" max="5893" width="7.375" style="3466" customWidth="1"/>
    <col min="5894" max="5894" width="3.5" style="3466" customWidth="1"/>
    <col min="5895" max="5895" width="19.375" style="3466" customWidth="1"/>
    <col min="5896" max="5896" width="19.5" style="3466" customWidth="1"/>
    <col min="5897" max="5897" width="8.625" style="3466" customWidth="1"/>
    <col min="5898" max="5898" width="10.5" style="3466" customWidth="1"/>
    <col min="5899" max="5899" width="4.875" style="3466" customWidth="1"/>
    <col min="5900" max="5900" width="16.375" style="3466" customWidth="1"/>
    <col min="5901" max="5904" width="8.125" style="3466" customWidth="1"/>
    <col min="5905" max="6144" width="9" style="3466"/>
    <col min="6145" max="6145" width="6.375" style="3466" customWidth="1"/>
    <col min="6146" max="6146" width="19.375" style="3466" customWidth="1"/>
    <col min="6147" max="6147" width="7" style="3466" customWidth="1"/>
    <col min="6148" max="6148" width="3.25" style="3466" customWidth="1"/>
    <col min="6149" max="6149" width="7.375" style="3466" customWidth="1"/>
    <col min="6150" max="6150" width="3.5" style="3466" customWidth="1"/>
    <col min="6151" max="6151" width="19.375" style="3466" customWidth="1"/>
    <col min="6152" max="6152" width="19.5" style="3466" customWidth="1"/>
    <col min="6153" max="6153" width="8.625" style="3466" customWidth="1"/>
    <col min="6154" max="6154" width="10.5" style="3466" customWidth="1"/>
    <col min="6155" max="6155" width="4.875" style="3466" customWidth="1"/>
    <col min="6156" max="6156" width="16.375" style="3466" customWidth="1"/>
    <col min="6157" max="6160" width="8.125" style="3466" customWidth="1"/>
    <col min="6161" max="6400" width="9" style="3466"/>
    <col min="6401" max="6401" width="6.375" style="3466" customWidth="1"/>
    <col min="6402" max="6402" width="19.375" style="3466" customWidth="1"/>
    <col min="6403" max="6403" width="7" style="3466" customWidth="1"/>
    <col min="6404" max="6404" width="3.25" style="3466" customWidth="1"/>
    <col min="6405" max="6405" width="7.375" style="3466" customWidth="1"/>
    <col min="6406" max="6406" width="3.5" style="3466" customWidth="1"/>
    <col min="6407" max="6407" width="19.375" style="3466" customWidth="1"/>
    <col min="6408" max="6408" width="19.5" style="3466" customWidth="1"/>
    <col min="6409" max="6409" width="8.625" style="3466" customWidth="1"/>
    <col min="6410" max="6410" width="10.5" style="3466" customWidth="1"/>
    <col min="6411" max="6411" width="4.875" style="3466" customWidth="1"/>
    <col min="6412" max="6412" width="16.375" style="3466" customWidth="1"/>
    <col min="6413" max="6416" width="8.125" style="3466" customWidth="1"/>
    <col min="6417" max="6656" width="9" style="3466"/>
    <col min="6657" max="6657" width="6.375" style="3466" customWidth="1"/>
    <col min="6658" max="6658" width="19.375" style="3466" customWidth="1"/>
    <col min="6659" max="6659" width="7" style="3466" customWidth="1"/>
    <col min="6660" max="6660" width="3.25" style="3466" customWidth="1"/>
    <col min="6661" max="6661" width="7.375" style="3466" customWidth="1"/>
    <col min="6662" max="6662" width="3.5" style="3466" customWidth="1"/>
    <col min="6663" max="6663" width="19.375" style="3466" customWidth="1"/>
    <col min="6664" max="6664" width="19.5" style="3466" customWidth="1"/>
    <col min="6665" max="6665" width="8.625" style="3466" customWidth="1"/>
    <col min="6666" max="6666" width="10.5" style="3466" customWidth="1"/>
    <col min="6667" max="6667" width="4.875" style="3466" customWidth="1"/>
    <col min="6668" max="6668" width="16.375" style="3466" customWidth="1"/>
    <col min="6669" max="6672" width="8.125" style="3466" customWidth="1"/>
    <col min="6673" max="6912" width="9" style="3466"/>
    <col min="6913" max="6913" width="6.375" style="3466" customWidth="1"/>
    <col min="6914" max="6914" width="19.375" style="3466" customWidth="1"/>
    <col min="6915" max="6915" width="7" style="3466" customWidth="1"/>
    <col min="6916" max="6916" width="3.25" style="3466" customWidth="1"/>
    <col min="6917" max="6917" width="7.375" style="3466" customWidth="1"/>
    <col min="6918" max="6918" width="3.5" style="3466" customWidth="1"/>
    <col min="6919" max="6919" width="19.375" style="3466" customWidth="1"/>
    <col min="6920" max="6920" width="19.5" style="3466" customWidth="1"/>
    <col min="6921" max="6921" width="8.625" style="3466" customWidth="1"/>
    <col min="6922" max="6922" width="10.5" style="3466" customWidth="1"/>
    <col min="6923" max="6923" width="4.875" style="3466" customWidth="1"/>
    <col min="6924" max="6924" width="16.375" style="3466" customWidth="1"/>
    <col min="6925" max="6928" width="8.125" style="3466" customWidth="1"/>
    <col min="6929" max="7168" width="9" style="3466"/>
    <col min="7169" max="7169" width="6.375" style="3466" customWidth="1"/>
    <col min="7170" max="7170" width="19.375" style="3466" customWidth="1"/>
    <col min="7171" max="7171" width="7" style="3466" customWidth="1"/>
    <col min="7172" max="7172" width="3.25" style="3466" customWidth="1"/>
    <col min="7173" max="7173" width="7.375" style="3466" customWidth="1"/>
    <col min="7174" max="7174" width="3.5" style="3466" customWidth="1"/>
    <col min="7175" max="7175" width="19.375" style="3466" customWidth="1"/>
    <col min="7176" max="7176" width="19.5" style="3466" customWidth="1"/>
    <col min="7177" max="7177" width="8.625" style="3466" customWidth="1"/>
    <col min="7178" max="7178" width="10.5" style="3466" customWidth="1"/>
    <col min="7179" max="7179" width="4.875" style="3466" customWidth="1"/>
    <col min="7180" max="7180" width="16.375" style="3466" customWidth="1"/>
    <col min="7181" max="7184" width="8.125" style="3466" customWidth="1"/>
    <col min="7185" max="7424" width="9" style="3466"/>
    <col min="7425" max="7425" width="6.375" style="3466" customWidth="1"/>
    <col min="7426" max="7426" width="19.375" style="3466" customWidth="1"/>
    <col min="7427" max="7427" width="7" style="3466" customWidth="1"/>
    <col min="7428" max="7428" width="3.25" style="3466" customWidth="1"/>
    <col min="7429" max="7429" width="7.375" style="3466" customWidth="1"/>
    <col min="7430" max="7430" width="3.5" style="3466" customWidth="1"/>
    <col min="7431" max="7431" width="19.375" style="3466" customWidth="1"/>
    <col min="7432" max="7432" width="19.5" style="3466" customWidth="1"/>
    <col min="7433" max="7433" width="8.625" style="3466" customWidth="1"/>
    <col min="7434" max="7434" width="10.5" style="3466" customWidth="1"/>
    <col min="7435" max="7435" width="4.875" style="3466" customWidth="1"/>
    <col min="7436" max="7436" width="16.375" style="3466" customWidth="1"/>
    <col min="7437" max="7440" width="8.125" style="3466" customWidth="1"/>
    <col min="7441" max="7680" width="9" style="3466"/>
    <col min="7681" max="7681" width="6.375" style="3466" customWidth="1"/>
    <col min="7682" max="7682" width="19.375" style="3466" customWidth="1"/>
    <col min="7683" max="7683" width="7" style="3466" customWidth="1"/>
    <col min="7684" max="7684" width="3.25" style="3466" customWidth="1"/>
    <col min="7685" max="7685" width="7.375" style="3466" customWidth="1"/>
    <col min="7686" max="7686" width="3.5" style="3466" customWidth="1"/>
    <col min="7687" max="7687" width="19.375" style="3466" customWidth="1"/>
    <col min="7688" max="7688" width="19.5" style="3466" customWidth="1"/>
    <col min="7689" max="7689" width="8.625" style="3466" customWidth="1"/>
    <col min="7690" max="7690" width="10.5" style="3466" customWidth="1"/>
    <col min="7691" max="7691" width="4.875" style="3466" customWidth="1"/>
    <col min="7692" max="7692" width="16.375" style="3466" customWidth="1"/>
    <col min="7693" max="7696" width="8.125" style="3466" customWidth="1"/>
    <col min="7697" max="7936" width="9" style="3466"/>
    <col min="7937" max="7937" width="6.375" style="3466" customWidth="1"/>
    <col min="7938" max="7938" width="19.375" style="3466" customWidth="1"/>
    <col min="7939" max="7939" width="7" style="3466" customWidth="1"/>
    <col min="7940" max="7940" width="3.25" style="3466" customWidth="1"/>
    <col min="7941" max="7941" width="7.375" style="3466" customWidth="1"/>
    <col min="7942" max="7942" width="3.5" style="3466" customWidth="1"/>
    <col min="7943" max="7943" width="19.375" style="3466" customWidth="1"/>
    <col min="7944" max="7944" width="19.5" style="3466" customWidth="1"/>
    <col min="7945" max="7945" width="8.625" style="3466" customWidth="1"/>
    <col min="7946" max="7946" width="10.5" style="3466" customWidth="1"/>
    <col min="7947" max="7947" width="4.875" style="3466" customWidth="1"/>
    <col min="7948" max="7948" width="16.375" style="3466" customWidth="1"/>
    <col min="7949" max="7952" width="8.125" style="3466" customWidth="1"/>
    <col min="7953" max="8192" width="9" style="3466"/>
    <col min="8193" max="8193" width="6.375" style="3466" customWidth="1"/>
    <col min="8194" max="8194" width="19.375" style="3466" customWidth="1"/>
    <col min="8195" max="8195" width="7" style="3466" customWidth="1"/>
    <col min="8196" max="8196" width="3.25" style="3466" customWidth="1"/>
    <col min="8197" max="8197" width="7.375" style="3466" customWidth="1"/>
    <col min="8198" max="8198" width="3.5" style="3466" customWidth="1"/>
    <col min="8199" max="8199" width="19.375" style="3466" customWidth="1"/>
    <col min="8200" max="8200" width="19.5" style="3466" customWidth="1"/>
    <col min="8201" max="8201" width="8.625" style="3466" customWidth="1"/>
    <col min="8202" max="8202" width="10.5" style="3466" customWidth="1"/>
    <col min="8203" max="8203" width="4.875" style="3466" customWidth="1"/>
    <col min="8204" max="8204" width="16.375" style="3466" customWidth="1"/>
    <col min="8205" max="8208" width="8.125" style="3466" customWidth="1"/>
    <col min="8209" max="8448" width="9" style="3466"/>
    <col min="8449" max="8449" width="6.375" style="3466" customWidth="1"/>
    <col min="8450" max="8450" width="19.375" style="3466" customWidth="1"/>
    <col min="8451" max="8451" width="7" style="3466" customWidth="1"/>
    <col min="8452" max="8452" width="3.25" style="3466" customWidth="1"/>
    <col min="8453" max="8453" width="7.375" style="3466" customWidth="1"/>
    <col min="8454" max="8454" width="3.5" style="3466" customWidth="1"/>
    <col min="8455" max="8455" width="19.375" style="3466" customWidth="1"/>
    <col min="8456" max="8456" width="19.5" style="3466" customWidth="1"/>
    <col min="8457" max="8457" width="8.625" style="3466" customWidth="1"/>
    <col min="8458" max="8458" width="10.5" style="3466" customWidth="1"/>
    <col min="8459" max="8459" width="4.875" style="3466" customWidth="1"/>
    <col min="8460" max="8460" width="16.375" style="3466" customWidth="1"/>
    <col min="8461" max="8464" width="8.125" style="3466" customWidth="1"/>
    <col min="8465" max="8704" width="9" style="3466"/>
    <col min="8705" max="8705" width="6.375" style="3466" customWidth="1"/>
    <col min="8706" max="8706" width="19.375" style="3466" customWidth="1"/>
    <col min="8707" max="8707" width="7" style="3466" customWidth="1"/>
    <col min="8708" max="8708" width="3.25" style="3466" customWidth="1"/>
    <col min="8709" max="8709" width="7.375" style="3466" customWidth="1"/>
    <col min="8710" max="8710" width="3.5" style="3466" customWidth="1"/>
    <col min="8711" max="8711" width="19.375" style="3466" customWidth="1"/>
    <col min="8712" max="8712" width="19.5" style="3466" customWidth="1"/>
    <col min="8713" max="8713" width="8.625" style="3466" customWidth="1"/>
    <col min="8714" max="8714" width="10.5" style="3466" customWidth="1"/>
    <col min="8715" max="8715" width="4.875" style="3466" customWidth="1"/>
    <col min="8716" max="8716" width="16.375" style="3466" customWidth="1"/>
    <col min="8717" max="8720" width="8.125" style="3466" customWidth="1"/>
    <col min="8721" max="8960" width="9" style="3466"/>
    <col min="8961" max="8961" width="6.375" style="3466" customWidth="1"/>
    <col min="8962" max="8962" width="19.375" style="3466" customWidth="1"/>
    <col min="8963" max="8963" width="7" style="3466" customWidth="1"/>
    <col min="8964" max="8964" width="3.25" style="3466" customWidth="1"/>
    <col min="8965" max="8965" width="7.375" style="3466" customWidth="1"/>
    <col min="8966" max="8966" width="3.5" style="3466" customWidth="1"/>
    <col min="8967" max="8967" width="19.375" style="3466" customWidth="1"/>
    <col min="8968" max="8968" width="19.5" style="3466" customWidth="1"/>
    <col min="8969" max="8969" width="8.625" style="3466" customWidth="1"/>
    <col min="8970" max="8970" width="10.5" style="3466" customWidth="1"/>
    <col min="8971" max="8971" width="4.875" style="3466" customWidth="1"/>
    <col min="8972" max="8972" width="16.375" style="3466" customWidth="1"/>
    <col min="8973" max="8976" width="8.125" style="3466" customWidth="1"/>
    <col min="8977" max="9216" width="9" style="3466"/>
    <col min="9217" max="9217" width="6.375" style="3466" customWidth="1"/>
    <col min="9218" max="9218" width="19.375" style="3466" customWidth="1"/>
    <col min="9219" max="9219" width="7" style="3466" customWidth="1"/>
    <col min="9220" max="9220" width="3.25" style="3466" customWidth="1"/>
    <col min="9221" max="9221" width="7.375" style="3466" customWidth="1"/>
    <col min="9222" max="9222" width="3.5" style="3466" customWidth="1"/>
    <col min="9223" max="9223" width="19.375" style="3466" customWidth="1"/>
    <col min="9224" max="9224" width="19.5" style="3466" customWidth="1"/>
    <col min="9225" max="9225" width="8.625" style="3466" customWidth="1"/>
    <col min="9226" max="9226" width="10.5" style="3466" customWidth="1"/>
    <col min="9227" max="9227" width="4.875" style="3466" customWidth="1"/>
    <col min="9228" max="9228" width="16.375" style="3466" customWidth="1"/>
    <col min="9229" max="9232" width="8.125" style="3466" customWidth="1"/>
    <col min="9233" max="9472" width="9" style="3466"/>
    <col min="9473" max="9473" width="6.375" style="3466" customWidth="1"/>
    <col min="9474" max="9474" width="19.375" style="3466" customWidth="1"/>
    <col min="9475" max="9475" width="7" style="3466" customWidth="1"/>
    <col min="9476" max="9476" width="3.25" style="3466" customWidth="1"/>
    <col min="9477" max="9477" width="7.375" style="3466" customWidth="1"/>
    <col min="9478" max="9478" width="3.5" style="3466" customWidth="1"/>
    <col min="9479" max="9479" width="19.375" style="3466" customWidth="1"/>
    <col min="9480" max="9480" width="19.5" style="3466" customWidth="1"/>
    <col min="9481" max="9481" width="8.625" style="3466" customWidth="1"/>
    <col min="9482" max="9482" width="10.5" style="3466" customWidth="1"/>
    <col min="9483" max="9483" width="4.875" style="3466" customWidth="1"/>
    <col min="9484" max="9484" width="16.375" style="3466" customWidth="1"/>
    <col min="9485" max="9488" width="8.125" style="3466" customWidth="1"/>
    <col min="9489" max="9728" width="9" style="3466"/>
    <col min="9729" max="9729" width="6.375" style="3466" customWidth="1"/>
    <col min="9730" max="9730" width="19.375" style="3466" customWidth="1"/>
    <col min="9731" max="9731" width="7" style="3466" customWidth="1"/>
    <col min="9732" max="9732" width="3.25" style="3466" customWidth="1"/>
    <col min="9733" max="9733" width="7.375" style="3466" customWidth="1"/>
    <col min="9734" max="9734" width="3.5" style="3466" customWidth="1"/>
    <col min="9735" max="9735" width="19.375" style="3466" customWidth="1"/>
    <col min="9736" max="9736" width="19.5" style="3466" customWidth="1"/>
    <col min="9737" max="9737" width="8.625" style="3466" customWidth="1"/>
    <col min="9738" max="9738" width="10.5" style="3466" customWidth="1"/>
    <col min="9739" max="9739" width="4.875" style="3466" customWidth="1"/>
    <col min="9740" max="9740" width="16.375" style="3466" customWidth="1"/>
    <col min="9741" max="9744" width="8.125" style="3466" customWidth="1"/>
    <col min="9745" max="9984" width="9" style="3466"/>
    <col min="9985" max="9985" width="6.375" style="3466" customWidth="1"/>
    <col min="9986" max="9986" width="19.375" style="3466" customWidth="1"/>
    <col min="9987" max="9987" width="7" style="3466" customWidth="1"/>
    <col min="9988" max="9988" width="3.25" style="3466" customWidth="1"/>
    <col min="9989" max="9989" width="7.375" style="3466" customWidth="1"/>
    <col min="9990" max="9990" width="3.5" style="3466" customWidth="1"/>
    <col min="9991" max="9991" width="19.375" style="3466" customWidth="1"/>
    <col min="9992" max="9992" width="19.5" style="3466" customWidth="1"/>
    <col min="9993" max="9993" width="8.625" style="3466" customWidth="1"/>
    <col min="9994" max="9994" width="10.5" style="3466" customWidth="1"/>
    <col min="9995" max="9995" width="4.875" style="3466" customWidth="1"/>
    <col min="9996" max="9996" width="16.375" style="3466" customWidth="1"/>
    <col min="9997" max="10000" width="8.125" style="3466" customWidth="1"/>
    <col min="10001" max="10240" width="9" style="3466"/>
    <col min="10241" max="10241" width="6.375" style="3466" customWidth="1"/>
    <col min="10242" max="10242" width="19.375" style="3466" customWidth="1"/>
    <col min="10243" max="10243" width="7" style="3466" customWidth="1"/>
    <col min="10244" max="10244" width="3.25" style="3466" customWidth="1"/>
    <col min="10245" max="10245" width="7.375" style="3466" customWidth="1"/>
    <col min="10246" max="10246" width="3.5" style="3466" customWidth="1"/>
    <col min="10247" max="10247" width="19.375" style="3466" customWidth="1"/>
    <col min="10248" max="10248" width="19.5" style="3466" customWidth="1"/>
    <col min="10249" max="10249" width="8.625" style="3466" customWidth="1"/>
    <col min="10250" max="10250" width="10.5" style="3466" customWidth="1"/>
    <col min="10251" max="10251" width="4.875" style="3466" customWidth="1"/>
    <col min="10252" max="10252" width="16.375" style="3466" customWidth="1"/>
    <col min="10253" max="10256" width="8.125" style="3466" customWidth="1"/>
    <col min="10257" max="10496" width="9" style="3466"/>
    <col min="10497" max="10497" width="6.375" style="3466" customWidth="1"/>
    <col min="10498" max="10498" width="19.375" style="3466" customWidth="1"/>
    <col min="10499" max="10499" width="7" style="3466" customWidth="1"/>
    <col min="10500" max="10500" width="3.25" style="3466" customWidth="1"/>
    <col min="10501" max="10501" width="7.375" style="3466" customWidth="1"/>
    <col min="10502" max="10502" width="3.5" style="3466" customWidth="1"/>
    <col min="10503" max="10503" width="19.375" style="3466" customWidth="1"/>
    <col min="10504" max="10504" width="19.5" style="3466" customWidth="1"/>
    <col min="10505" max="10505" width="8.625" style="3466" customWidth="1"/>
    <col min="10506" max="10506" width="10.5" style="3466" customWidth="1"/>
    <col min="10507" max="10507" width="4.875" style="3466" customWidth="1"/>
    <col min="10508" max="10508" width="16.375" style="3466" customWidth="1"/>
    <col min="10509" max="10512" width="8.125" style="3466" customWidth="1"/>
    <col min="10513" max="10752" width="9" style="3466"/>
    <col min="10753" max="10753" width="6.375" style="3466" customWidth="1"/>
    <col min="10754" max="10754" width="19.375" style="3466" customWidth="1"/>
    <col min="10755" max="10755" width="7" style="3466" customWidth="1"/>
    <col min="10756" max="10756" width="3.25" style="3466" customWidth="1"/>
    <col min="10757" max="10757" width="7.375" style="3466" customWidth="1"/>
    <col min="10758" max="10758" width="3.5" style="3466" customWidth="1"/>
    <col min="10759" max="10759" width="19.375" style="3466" customWidth="1"/>
    <col min="10760" max="10760" width="19.5" style="3466" customWidth="1"/>
    <col min="10761" max="10761" width="8.625" style="3466" customWidth="1"/>
    <col min="10762" max="10762" width="10.5" style="3466" customWidth="1"/>
    <col min="10763" max="10763" width="4.875" style="3466" customWidth="1"/>
    <col min="10764" max="10764" width="16.375" style="3466" customWidth="1"/>
    <col min="10765" max="10768" width="8.125" style="3466" customWidth="1"/>
    <col min="10769" max="11008" width="9" style="3466"/>
    <col min="11009" max="11009" width="6.375" style="3466" customWidth="1"/>
    <col min="11010" max="11010" width="19.375" style="3466" customWidth="1"/>
    <col min="11011" max="11011" width="7" style="3466" customWidth="1"/>
    <col min="11012" max="11012" width="3.25" style="3466" customWidth="1"/>
    <col min="11013" max="11013" width="7.375" style="3466" customWidth="1"/>
    <col min="11014" max="11014" width="3.5" style="3466" customWidth="1"/>
    <col min="11015" max="11015" width="19.375" style="3466" customWidth="1"/>
    <col min="11016" max="11016" width="19.5" style="3466" customWidth="1"/>
    <col min="11017" max="11017" width="8.625" style="3466" customWidth="1"/>
    <col min="11018" max="11018" width="10.5" style="3466" customWidth="1"/>
    <col min="11019" max="11019" width="4.875" style="3466" customWidth="1"/>
    <col min="11020" max="11020" width="16.375" style="3466" customWidth="1"/>
    <col min="11021" max="11024" width="8.125" style="3466" customWidth="1"/>
    <col min="11025" max="11264" width="9" style="3466"/>
    <col min="11265" max="11265" width="6.375" style="3466" customWidth="1"/>
    <col min="11266" max="11266" width="19.375" style="3466" customWidth="1"/>
    <col min="11267" max="11267" width="7" style="3466" customWidth="1"/>
    <col min="11268" max="11268" width="3.25" style="3466" customWidth="1"/>
    <col min="11269" max="11269" width="7.375" style="3466" customWidth="1"/>
    <col min="11270" max="11270" width="3.5" style="3466" customWidth="1"/>
    <col min="11271" max="11271" width="19.375" style="3466" customWidth="1"/>
    <col min="11272" max="11272" width="19.5" style="3466" customWidth="1"/>
    <col min="11273" max="11273" width="8.625" style="3466" customWidth="1"/>
    <col min="11274" max="11274" width="10.5" style="3466" customWidth="1"/>
    <col min="11275" max="11275" width="4.875" style="3466" customWidth="1"/>
    <col min="11276" max="11276" width="16.375" style="3466" customWidth="1"/>
    <col min="11277" max="11280" width="8.125" style="3466" customWidth="1"/>
    <col min="11281" max="11520" width="9" style="3466"/>
    <col min="11521" max="11521" width="6.375" style="3466" customWidth="1"/>
    <col min="11522" max="11522" width="19.375" style="3466" customWidth="1"/>
    <col min="11523" max="11523" width="7" style="3466" customWidth="1"/>
    <col min="11524" max="11524" width="3.25" style="3466" customWidth="1"/>
    <col min="11525" max="11525" width="7.375" style="3466" customWidth="1"/>
    <col min="11526" max="11526" width="3.5" style="3466" customWidth="1"/>
    <col min="11527" max="11527" width="19.375" style="3466" customWidth="1"/>
    <col min="11528" max="11528" width="19.5" style="3466" customWidth="1"/>
    <col min="11529" max="11529" width="8.625" style="3466" customWidth="1"/>
    <col min="11530" max="11530" width="10.5" style="3466" customWidth="1"/>
    <col min="11531" max="11531" width="4.875" style="3466" customWidth="1"/>
    <col min="11532" max="11532" width="16.375" style="3466" customWidth="1"/>
    <col min="11533" max="11536" width="8.125" style="3466" customWidth="1"/>
    <col min="11537" max="11776" width="9" style="3466"/>
    <col min="11777" max="11777" width="6.375" style="3466" customWidth="1"/>
    <col min="11778" max="11778" width="19.375" style="3466" customWidth="1"/>
    <col min="11779" max="11779" width="7" style="3466" customWidth="1"/>
    <col min="11780" max="11780" width="3.25" style="3466" customWidth="1"/>
    <col min="11781" max="11781" width="7.375" style="3466" customWidth="1"/>
    <col min="11782" max="11782" width="3.5" style="3466" customWidth="1"/>
    <col min="11783" max="11783" width="19.375" style="3466" customWidth="1"/>
    <col min="11784" max="11784" width="19.5" style="3466" customWidth="1"/>
    <col min="11785" max="11785" width="8.625" style="3466" customWidth="1"/>
    <col min="11786" max="11786" width="10.5" style="3466" customWidth="1"/>
    <col min="11787" max="11787" width="4.875" style="3466" customWidth="1"/>
    <col min="11788" max="11788" width="16.375" style="3466" customWidth="1"/>
    <col min="11789" max="11792" width="8.125" style="3466" customWidth="1"/>
    <col min="11793" max="12032" width="9" style="3466"/>
    <col min="12033" max="12033" width="6.375" style="3466" customWidth="1"/>
    <col min="12034" max="12034" width="19.375" style="3466" customWidth="1"/>
    <col min="12035" max="12035" width="7" style="3466" customWidth="1"/>
    <col min="12036" max="12036" width="3.25" style="3466" customWidth="1"/>
    <col min="12037" max="12037" width="7.375" style="3466" customWidth="1"/>
    <col min="12038" max="12038" width="3.5" style="3466" customWidth="1"/>
    <col min="12039" max="12039" width="19.375" style="3466" customWidth="1"/>
    <col min="12040" max="12040" width="19.5" style="3466" customWidth="1"/>
    <col min="12041" max="12041" width="8.625" style="3466" customWidth="1"/>
    <col min="12042" max="12042" width="10.5" style="3466" customWidth="1"/>
    <col min="12043" max="12043" width="4.875" style="3466" customWidth="1"/>
    <col min="12044" max="12044" width="16.375" style="3466" customWidth="1"/>
    <col min="12045" max="12048" width="8.125" style="3466" customWidth="1"/>
    <col min="12049" max="12288" width="9" style="3466"/>
    <col min="12289" max="12289" width="6.375" style="3466" customWidth="1"/>
    <col min="12290" max="12290" width="19.375" style="3466" customWidth="1"/>
    <col min="12291" max="12291" width="7" style="3466" customWidth="1"/>
    <col min="12292" max="12292" width="3.25" style="3466" customWidth="1"/>
    <col min="12293" max="12293" width="7.375" style="3466" customWidth="1"/>
    <col min="12294" max="12294" width="3.5" style="3466" customWidth="1"/>
    <col min="12295" max="12295" width="19.375" style="3466" customWidth="1"/>
    <col min="12296" max="12296" width="19.5" style="3466" customWidth="1"/>
    <col min="12297" max="12297" width="8.625" style="3466" customWidth="1"/>
    <col min="12298" max="12298" width="10.5" style="3466" customWidth="1"/>
    <col min="12299" max="12299" width="4.875" style="3466" customWidth="1"/>
    <col min="12300" max="12300" width="16.375" style="3466" customWidth="1"/>
    <col min="12301" max="12304" width="8.125" style="3466" customWidth="1"/>
    <col min="12305" max="12544" width="9" style="3466"/>
    <col min="12545" max="12545" width="6.375" style="3466" customWidth="1"/>
    <col min="12546" max="12546" width="19.375" style="3466" customWidth="1"/>
    <col min="12547" max="12547" width="7" style="3466" customWidth="1"/>
    <col min="12548" max="12548" width="3.25" style="3466" customWidth="1"/>
    <col min="12549" max="12549" width="7.375" style="3466" customWidth="1"/>
    <col min="12550" max="12550" width="3.5" style="3466" customWidth="1"/>
    <col min="12551" max="12551" width="19.375" style="3466" customWidth="1"/>
    <col min="12552" max="12552" width="19.5" style="3466" customWidth="1"/>
    <col min="12553" max="12553" width="8.625" style="3466" customWidth="1"/>
    <col min="12554" max="12554" width="10.5" style="3466" customWidth="1"/>
    <col min="12555" max="12555" width="4.875" style="3466" customWidth="1"/>
    <col min="12556" max="12556" width="16.375" style="3466" customWidth="1"/>
    <col min="12557" max="12560" width="8.125" style="3466" customWidth="1"/>
    <col min="12561" max="12800" width="9" style="3466"/>
    <col min="12801" max="12801" width="6.375" style="3466" customWidth="1"/>
    <col min="12802" max="12802" width="19.375" style="3466" customWidth="1"/>
    <col min="12803" max="12803" width="7" style="3466" customWidth="1"/>
    <col min="12804" max="12804" width="3.25" style="3466" customWidth="1"/>
    <col min="12805" max="12805" width="7.375" style="3466" customWidth="1"/>
    <col min="12806" max="12806" width="3.5" style="3466" customWidth="1"/>
    <col min="12807" max="12807" width="19.375" style="3466" customWidth="1"/>
    <col min="12808" max="12808" width="19.5" style="3466" customWidth="1"/>
    <col min="12809" max="12809" width="8.625" style="3466" customWidth="1"/>
    <col min="12810" max="12810" width="10.5" style="3466" customWidth="1"/>
    <col min="12811" max="12811" width="4.875" style="3466" customWidth="1"/>
    <col min="12812" max="12812" width="16.375" style="3466" customWidth="1"/>
    <col min="12813" max="12816" width="8.125" style="3466" customWidth="1"/>
    <col min="12817" max="13056" width="9" style="3466"/>
    <col min="13057" max="13057" width="6.375" style="3466" customWidth="1"/>
    <col min="13058" max="13058" width="19.375" style="3466" customWidth="1"/>
    <col min="13059" max="13059" width="7" style="3466" customWidth="1"/>
    <col min="13060" max="13060" width="3.25" style="3466" customWidth="1"/>
    <col min="13061" max="13061" width="7.375" style="3466" customWidth="1"/>
    <col min="13062" max="13062" width="3.5" style="3466" customWidth="1"/>
    <col min="13063" max="13063" width="19.375" style="3466" customWidth="1"/>
    <col min="13064" max="13064" width="19.5" style="3466" customWidth="1"/>
    <col min="13065" max="13065" width="8.625" style="3466" customWidth="1"/>
    <col min="13066" max="13066" width="10.5" style="3466" customWidth="1"/>
    <col min="13067" max="13067" width="4.875" style="3466" customWidth="1"/>
    <col min="13068" max="13068" width="16.375" style="3466" customWidth="1"/>
    <col min="13069" max="13072" width="8.125" style="3466" customWidth="1"/>
    <col min="13073" max="13312" width="9" style="3466"/>
    <col min="13313" max="13313" width="6.375" style="3466" customWidth="1"/>
    <col min="13314" max="13314" width="19.375" style="3466" customWidth="1"/>
    <col min="13315" max="13315" width="7" style="3466" customWidth="1"/>
    <col min="13316" max="13316" width="3.25" style="3466" customWidth="1"/>
    <col min="13317" max="13317" width="7.375" style="3466" customWidth="1"/>
    <col min="13318" max="13318" width="3.5" style="3466" customWidth="1"/>
    <col min="13319" max="13319" width="19.375" style="3466" customWidth="1"/>
    <col min="13320" max="13320" width="19.5" style="3466" customWidth="1"/>
    <col min="13321" max="13321" width="8.625" style="3466" customWidth="1"/>
    <col min="13322" max="13322" width="10.5" style="3466" customWidth="1"/>
    <col min="13323" max="13323" width="4.875" style="3466" customWidth="1"/>
    <col min="13324" max="13324" width="16.375" style="3466" customWidth="1"/>
    <col min="13325" max="13328" width="8.125" style="3466" customWidth="1"/>
    <col min="13329" max="13568" width="9" style="3466"/>
    <col min="13569" max="13569" width="6.375" style="3466" customWidth="1"/>
    <col min="13570" max="13570" width="19.375" style="3466" customWidth="1"/>
    <col min="13571" max="13571" width="7" style="3466" customWidth="1"/>
    <col min="13572" max="13572" width="3.25" style="3466" customWidth="1"/>
    <col min="13573" max="13573" width="7.375" style="3466" customWidth="1"/>
    <col min="13574" max="13574" width="3.5" style="3466" customWidth="1"/>
    <col min="13575" max="13575" width="19.375" style="3466" customWidth="1"/>
    <col min="13576" max="13576" width="19.5" style="3466" customWidth="1"/>
    <col min="13577" max="13577" width="8.625" style="3466" customWidth="1"/>
    <col min="13578" max="13578" width="10.5" style="3466" customWidth="1"/>
    <col min="13579" max="13579" width="4.875" style="3466" customWidth="1"/>
    <col min="13580" max="13580" width="16.375" style="3466" customWidth="1"/>
    <col min="13581" max="13584" width="8.125" style="3466" customWidth="1"/>
    <col min="13585" max="13824" width="9" style="3466"/>
    <col min="13825" max="13825" width="6.375" style="3466" customWidth="1"/>
    <col min="13826" max="13826" width="19.375" style="3466" customWidth="1"/>
    <col min="13827" max="13827" width="7" style="3466" customWidth="1"/>
    <col min="13828" max="13828" width="3.25" style="3466" customWidth="1"/>
    <col min="13829" max="13829" width="7.375" style="3466" customWidth="1"/>
    <col min="13830" max="13830" width="3.5" style="3466" customWidth="1"/>
    <col min="13831" max="13831" width="19.375" style="3466" customWidth="1"/>
    <col min="13832" max="13832" width="19.5" style="3466" customWidth="1"/>
    <col min="13833" max="13833" width="8.625" style="3466" customWidth="1"/>
    <col min="13834" max="13834" width="10.5" style="3466" customWidth="1"/>
    <col min="13835" max="13835" width="4.875" style="3466" customWidth="1"/>
    <col min="13836" max="13836" width="16.375" style="3466" customWidth="1"/>
    <col min="13837" max="13840" width="8.125" style="3466" customWidth="1"/>
    <col min="13841" max="14080" width="9" style="3466"/>
    <col min="14081" max="14081" width="6.375" style="3466" customWidth="1"/>
    <col min="14082" max="14082" width="19.375" style="3466" customWidth="1"/>
    <col min="14083" max="14083" width="7" style="3466" customWidth="1"/>
    <col min="14084" max="14084" width="3.25" style="3466" customWidth="1"/>
    <col min="14085" max="14085" width="7.375" style="3466" customWidth="1"/>
    <col min="14086" max="14086" width="3.5" style="3466" customWidth="1"/>
    <col min="14087" max="14087" width="19.375" style="3466" customWidth="1"/>
    <col min="14088" max="14088" width="19.5" style="3466" customWidth="1"/>
    <col min="14089" max="14089" width="8.625" style="3466" customWidth="1"/>
    <col min="14090" max="14090" width="10.5" style="3466" customWidth="1"/>
    <col min="14091" max="14091" width="4.875" style="3466" customWidth="1"/>
    <col min="14092" max="14092" width="16.375" style="3466" customWidth="1"/>
    <col min="14093" max="14096" width="8.125" style="3466" customWidth="1"/>
    <col min="14097" max="14336" width="9" style="3466"/>
    <col min="14337" max="14337" width="6.375" style="3466" customWidth="1"/>
    <col min="14338" max="14338" width="19.375" style="3466" customWidth="1"/>
    <col min="14339" max="14339" width="7" style="3466" customWidth="1"/>
    <col min="14340" max="14340" width="3.25" style="3466" customWidth="1"/>
    <col min="14341" max="14341" width="7.375" style="3466" customWidth="1"/>
    <col min="14342" max="14342" width="3.5" style="3466" customWidth="1"/>
    <col min="14343" max="14343" width="19.375" style="3466" customWidth="1"/>
    <col min="14344" max="14344" width="19.5" style="3466" customWidth="1"/>
    <col min="14345" max="14345" width="8.625" style="3466" customWidth="1"/>
    <col min="14346" max="14346" width="10.5" style="3466" customWidth="1"/>
    <col min="14347" max="14347" width="4.875" style="3466" customWidth="1"/>
    <col min="14348" max="14348" width="16.375" style="3466" customWidth="1"/>
    <col min="14349" max="14352" width="8.125" style="3466" customWidth="1"/>
    <col min="14353" max="14592" width="9" style="3466"/>
    <col min="14593" max="14593" width="6.375" style="3466" customWidth="1"/>
    <col min="14594" max="14594" width="19.375" style="3466" customWidth="1"/>
    <col min="14595" max="14595" width="7" style="3466" customWidth="1"/>
    <col min="14596" max="14596" width="3.25" style="3466" customWidth="1"/>
    <col min="14597" max="14597" width="7.375" style="3466" customWidth="1"/>
    <col min="14598" max="14598" width="3.5" style="3466" customWidth="1"/>
    <col min="14599" max="14599" width="19.375" style="3466" customWidth="1"/>
    <col min="14600" max="14600" width="19.5" style="3466" customWidth="1"/>
    <col min="14601" max="14601" width="8.625" style="3466" customWidth="1"/>
    <col min="14602" max="14602" width="10.5" style="3466" customWidth="1"/>
    <col min="14603" max="14603" width="4.875" style="3466" customWidth="1"/>
    <col min="14604" max="14604" width="16.375" style="3466" customWidth="1"/>
    <col min="14605" max="14608" width="8.125" style="3466" customWidth="1"/>
    <col min="14609" max="14848" width="9" style="3466"/>
    <col min="14849" max="14849" width="6.375" style="3466" customWidth="1"/>
    <col min="14850" max="14850" width="19.375" style="3466" customWidth="1"/>
    <col min="14851" max="14851" width="7" style="3466" customWidth="1"/>
    <col min="14852" max="14852" width="3.25" style="3466" customWidth="1"/>
    <col min="14853" max="14853" width="7.375" style="3466" customWidth="1"/>
    <col min="14854" max="14854" width="3.5" style="3466" customWidth="1"/>
    <col min="14855" max="14855" width="19.375" style="3466" customWidth="1"/>
    <col min="14856" max="14856" width="19.5" style="3466" customWidth="1"/>
    <col min="14857" max="14857" width="8.625" style="3466" customWidth="1"/>
    <col min="14858" max="14858" width="10.5" style="3466" customWidth="1"/>
    <col min="14859" max="14859" width="4.875" style="3466" customWidth="1"/>
    <col min="14860" max="14860" width="16.375" style="3466" customWidth="1"/>
    <col min="14861" max="14864" width="8.125" style="3466" customWidth="1"/>
    <col min="14865" max="15104" width="9" style="3466"/>
    <col min="15105" max="15105" width="6.375" style="3466" customWidth="1"/>
    <col min="15106" max="15106" width="19.375" style="3466" customWidth="1"/>
    <col min="15107" max="15107" width="7" style="3466" customWidth="1"/>
    <col min="15108" max="15108" width="3.25" style="3466" customWidth="1"/>
    <col min="15109" max="15109" width="7.375" style="3466" customWidth="1"/>
    <col min="15110" max="15110" width="3.5" style="3466" customWidth="1"/>
    <col min="15111" max="15111" width="19.375" style="3466" customWidth="1"/>
    <col min="15112" max="15112" width="19.5" style="3466" customWidth="1"/>
    <col min="15113" max="15113" width="8.625" style="3466" customWidth="1"/>
    <col min="15114" max="15114" width="10.5" style="3466" customWidth="1"/>
    <col min="15115" max="15115" width="4.875" style="3466" customWidth="1"/>
    <col min="15116" max="15116" width="16.375" style="3466" customWidth="1"/>
    <col min="15117" max="15120" width="8.125" style="3466" customWidth="1"/>
    <col min="15121" max="15360" width="9" style="3466"/>
    <col min="15361" max="15361" width="6.375" style="3466" customWidth="1"/>
    <col min="15362" max="15362" width="19.375" style="3466" customWidth="1"/>
    <col min="15363" max="15363" width="7" style="3466" customWidth="1"/>
    <col min="15364" max="15364" width="3.25" style="3466" customWidth="1"/>
    <col min="15365" max="15365" width="7.375" style="3466" customWidth="1"/>
    <col min="15366" max="15366" width="3.5" style="3466" customWidth="1"/>
    <col min="15367" max="15367" width="19.375" style="3466" customWidth="1"/>
    <col min="15368" max="15368" width="19.5" style="3466" customWidth="1"/>
    <col min="15369" max="15369" width="8.625" style="3466" customWidth="1"/>
    <col min="15370" max="15370" width="10.5" style="3466" customWidth="1"/>
    <col min="15371" max="15371" width="4.875" style="3466" customWidth="1"/>
    <col min="15372" max="15372" width="16.375" style="3466" customWidth="1"/>
    <col min="15373" max="15376" width="8.125" style="3466" customWidth="1"/>
    <col min="15377" max="15616" width="9" style="3466"/>
    <col min="15617" max="15617" width="6.375" style="3466" customWidth="1"/>
    <col min="15618" max="15618" width="19.375" style="3466" customWidth="1"/>
    <col min="15619" max="15619" width="7" style="3466" customWidth="1"/>
    <col min="15620" max="15620" width="3.25" style="3466" customWidth="1"/>
    <col min="15621" max="15621" width="7.375" style="3466" customWidth="1"/>
    <col min="15622" max="15622" width="3.5" style="3466" customWidth="1"/>
    <col min="15623" max="15623" width="19.375" style="3466" customWidth="1"/>
    <col min="15624" max="15624" width="19.5" style="3466" customWidth="1"/>
    <col min="15625" max="15625" width="8.625" style="3466" customWidth="1"/>
    <col min="15626" max="15626" width="10.5" style="3466" customWidth="1"/>
    <col min="15627" max="15627" width="4.875" style="3466" customWidth="1"/>
    <col min="15628" max="15628" width="16.375" style="3466" customWidth="1"/>
    <col min="15629" max="15632" width="8.125" style="3466" customWidth="1"/>
    <col min="15633" max="15872" width="9" style="3466"/>
    <col min="15873" max="15873" width="6.375" style="3466" customWidth="1"/>
    <col min="15874" max="15874" width="19.375" style="3466" customWidth="1"/>
    <col min="15875" max="15875" width="7" style="3466" customWidth="1"/>
    <col min="15876" max="15876" width="3.25" style="3466" customWidth="1"/>
    <col min="15877" max="15877" width="7.375" style="3466" customWidth="1"/>
    <col min="15878" max="15878" width="3.5" style="3466" customWidth="1"/>
    <col min="15879" max="15879" width="19.375" style="3466" customWidth="1"/>
    <col min="15880" max="15880" width="19.5" style="3466" customWidth="1"/>
    <col min="15881" max="15881" width="8.625" style="3466" customWidth="1"/>
    <col min="15882" max="15882" width="10.5" style="3466" customWidth="1"/>
    <col min="15883" max="15883" width="4.875" style="3466" customWidth="1"/>
    <col min="15884" max="15884" width="16.375" style="3466" customWidth="1"/>
    <col min="15885" max="15888" width="8.125" style="3466" customWidth="1"/>
    <col min="15889" max="16128" width="9" style="3466"/>
    <col min="16129" max="16129" width="6.375" style="3466" customWidth="1"/>
    <col min="16130" max="16130" width="19.375" style="3466" customWidth="1"/>
    <col min="16131" max="16131" width="7" style="3466" customWidth="1"/>
    <col min="16132" max="16132" width="3.25" style="3466" customWidth="1"/>
    <col min="16133" max="16133" width="7.375" style="3466" customWidth="1"/>
    <col min="16134" max="16134" width="3.5" style="3466" customWidth="1"/>
    <col min="16135" max="16135" width="19.375" style="3466" customWidth="1"/>
    <col min="16136" max="16136" width="19.5" style="3466" customWidth="1"/>
    <col min="16137" max="16137" width="8.625" style="3466" customWidth="1"/>
    <col min="16138" max="16138" width="10.5" style="3466" customWidth="1"/>
    <col min="16139" max="16139" width="4.875" style="3466" customWidth="1"/>
    <col min="16140" max="16140" width="16.375" style="3466" customWidth="1"/>
    <col min="16141" max="16144" width="8.125" style="3466" customWidth="1"/>
    <col min="16145" max="16384" width="9" style="3466"/>
  </cols>
  <sheetData>
    <row r="1" spans="1:16">
      <c r="A1" s="3692" t="s">
        <v>3402</v>
      </c>
      <c r="B1" s="3692"/>
      <c r="C1" s="3692"/>
      <c r="D1" s="3692"/>
      <c r="E1" s="3692"/>
      <c r="F1" s="3692"/>
      <c r="G1" s="3692"/>
      <c r="H1" s="3692"/>
      <c r="I1" s="3692"/>
      <c r="K1" s="3693" t="s">
        <v>3403</v>
      </c>
      <c r="L1" s="3463" t="s">
        <v>3404</v>
      </c>
      <c r="M1" s="3464">
        <v>0</v>
      </c>
      <c r="N1" s="3465"/>
      <c r="O1" s="3465"/>
    </row>
    <row r="2" spans="1:16" ht="15.75" customHeight="1">
      <c r="A2" s="3467" t="s">
        <v>2643</v>
      </c>
      <c r="B2" s="3468" t="s">
        <v>3405</v>
      </c>
      <c r="C2" s="3694" t="s">
        <v>3406</v>
      </c>
      <c r="D2" s="3695"/>
      <c r="E2" s="3695"/>
      <c r="F2" s="3696"/>
      <c r="G2" s="3469" t="s">
        <v>3407</v>
      </c>
      <c r="H2" s="3697" t="s">
        <v>3408</v>
      </c>
      <c r="I2" s="3697"/>
      <c r="K2" s="3693"/>
      <c r="L2" s="3463" t="s">
        <v>3409</v>
      </c>
      <c r="M2" s="3470">
        <f>2023-N2</f>
        <v>16</v>
      </c>
      <c r="N2" s="3471">
        <v>2007</v>
      </c>
      <c r="O2" s="3471"/>
    </row>
    <row r="3" spans="1:16">
      <c r="A3" s="3469" t="s">
        <v>3410</v>
      </c>
      <c r="B3" s="3472" t="s">
        <v>3411</v>
      </c>
      <c r="C3" s="3694">
        <f ca="1">'成本法 (元)'!C52</f>
        <v>227029983</v>
      </c>
      <c r="D3" s="3695"/>
      <c r="E3" s="3695"/>
      <c r="F3" s="3696"/>
      <c r="G3" s="3469" t="s">
        <v>3412</v>
      </c>
      <c r="H3" s="3472" t="s">
        <v>3413</v>
      </c>
      <c r="I3" s="3473">
        <f>面积明细表!H3</f>
        <v>9265.11</v>
      </c>
      <c r="K3" s="3693"/>
      <c r="L3" s="3463" t="s">
        <v>3414</v>
      </c>
      <c r="M3" s="3474" t="s">
        <v>3415</v>
      </c>
      <c r="N3" s="3471"/>
      <c r="O3" s="3471"/>
    </row>
    <row r="4" spans="1:16">
      <c r="A4" s="3697" t="s">
        <v>3416</v>
      </c>
      <c r="B4" s="3698" t="s">
        <v>3417</v>
      </c>
      <c r="C4" s="3699">
        <f ca="1">ROUND(C3*(I4-I6)/(1-((1+I6)/(1+I4))^I5),0)</f>
        <v>12807123</v>
      </c>
      <c r="D4" s="3700"/>
      <c r="E4" s="3700"/>
      <c r="F4" s="3701"/>
      <c r="G4" s="3697" t="s">
        <v>3418</v>
      </c>
      <c r="H4" s="3475" t="s">
        <v>3419</v>
      </c>
      <c r="I4" s="3476">
        <v>4.4999999999999998E-2</v>
      </c>
      <c r="K4" s="3693"/>
      <c r="L4" s="3463" t="s">
        <v>3420</v>
      </c>
      <c r="M4" s="3477">
        <f>ROUND(1-(1-M1)*M2/M3,2)</f>
        <v>0.73</v>
      </c>
      <c r="N4" s="3471"/>
      <c r="O4" s="3471"/>
    </row>
    <row r="5" spans="1:16" s="3481" customFormat="1" ht="18" customHeight="1">
      <c r="A5" s="3697"/>
      <c r="B5" s="3698"/>
      <c r="C5" s="3702"/>
      <c r="D5" s="3703"/>
      <c r="E5" s="3703"/>
      <c r="F5" s="3704"/>
      <c r="G5" s="3697"/>
      <c r="H5" s="3472" t="s">
        <v>3421</v>
      </c>
      <c r="I5" s="3478">
        <f>项目基本情况!D15</f>
        <v>21.38</v>
      </c>
      <c r="J5" s="3479"/>
      <c r="K5" s="3693"/>
      <c r="L5" s="3463" t="s">
        <v>3422</v>
      </c>
      <c r="M5" s="3480">
        <v>0.5</v>
      </c>
      <c r="N5" s="3471"/>
      <c r="O5" s="3471">
        <f>(M4+O10)/2</f>
        <v>0.81499999999999995</v>
      </c>
    </row>
    <row r="6" spans="1:16" s="3481" customFormat="1" ht="18" customHeight="1">
      <c r="A6" s="3697"/>
      <c r="B6" s="3698"/>
      <c r="C6" s="3705"/>
      <c r="D6" s="3706"/>
      <c r="E6" s="3706"/>
      <c r="F6" s="3707"/>
      <c r="G6" s="3697"/>
      <c r="H6" s="3472" t="s">
        <v>3423</v>
      </c>
      <c r="I6" s="3476">
        <v>0.03</v>
      </c>
      <c r="J6" s="3482"/>
      <c r="K6" s="3708" t="s">
        <v>3424</v>
      </c>
      <c r="L6" s="3483" t="s">
        <v>3425</v>
      </c>
      <c r="M6" s="3484" t="s">
        <v>3426</v>
      </c>
      <c r="N6" s="3484" t="s">
        <v>3427</v>
      </c>
      <c r="O6" s="3484" t="s">
        <v>3428</v>
      </c>
      <c r="P6" s="3484" t="s">
        <v>3429</v>
      </c>
    </row>
    <row r="7" spans="1:16" s="3481" customFormat="1" ht="18" customHeight="1">
      <c r="A7" s="3469" t="s">
        <v>3430</v>
      </c>
      <c r="B7" s="3472" t="s">
        <v>3431</v>
      </c>
      <c r="C7" s="3694">
        <f ca="1">'成本法 (元)'!C51</f>
        <v>37094976</v>
      </c>
      <c r="D7" s="3695"/>
      <c r="E7" s="3695"/>
      <c r="F7" s="3696"/>
      <c r="G7" s="3469" t="s">
        <v>3432</v>
      </c>
      <c r="H7" s="3472" t="s">
        <v>3433</v>
      </c>
      <c r="I7" s="3485">
        <f>'数据-取费表'!N6</f>
        <v>0.82</v>
      </c>
      <c r="K7" s="3708"/>
      <c r="L7" s="3483" t="s">
        <v>3434</v>
      </c>
      <c r="M7" s="3484">
        <v>100</v>
      </c>
      <c r="N7" s="3484" t="s">
        <v>3435</v>
      </c>
      <c r="O7" s="3484">
        <v>90</v>
      </c>
      <c r="P7" s="3486">
        <v>0.3</v>
      </c>
    </row>
    <row r="8" spans="1:16" s="3481" customFormat="1" ht="18" hidden="1" customHeight="1">
      <c r="A8" s="3467" t="s">
        <v>3436</v>
      </c>
      <c r="B8" s="3472" t="s">
        <v>3437</v>
      </c>
      <c r="C8" s="3694">
        <f>ROUND(I8*I3,0)</f>
        <v>32427885</v>
      </c>
      <c r="D8" s="3695"/>
      <c r="E8" s="3695"/>
      <c r="F8" s="3696"/>
      <c r="G8" s="3469" t="s">
        <v>3438</v>
      </c>
      <c r="H8" s="3472" t="s">
        <v>3439</v>
      </c>
      <c r="I8" s="3469">
        <f>'数据-取费表'!L6</f>
        <v>3500</v>
      </c>
      <c r="J8" s="3487">
        <f>D35</f>
        <v>4.9000000000000004</v>
      </c>
      <c r="K8" s="3708"/>
      <c r="L8" s="3483" t="s">
        <v>3440</v>
      </c>
      <c r="M8" s="3484">
        <v>100</v>
      </c>
      <c r="N8" s="3484" t="s">
        <v>3435</v>
      </c>
      <c r="O8" s="3484">
        <v>90</v>
      </c>
      <c r="P8" s="3486">
        <v>0.5</v>
      </c>
    </row>
    <row r="9" spans="1:16" s="3481" customFormat="1" ht="18" hidden="1" customHeight="1">
      <c r="A9" s="3467" t="s">
        <v>3441</v>
      </c>
      <c r="B9" s="3472" t="s">
        <v>3442</v>
      </c>
      <c r="C9" s="3694">
        <f>ROUND(C8*H9,0)</f>
        <v>972837</v>
      </c>
      <c r="D9" s="3695"/>
      <c r="E9" s="3695"/>
      <c r="F9" s="3696"/>
      <c r="G9" s="3469" t="s">
        <v>3443</v>
      </c>
      <c r="H9" s="3709">
        <f>'数据-取费表'!B33</f>
        <v>0.03</v>
      </c>
      <c r="I9" s="3709"/>
      <c r="J9" s="3487">
        <f ca="1">D36</f>
        <v>4.9000000000000004</v>
      </c>
      <c r="K9" s="3708"/>
      <c r="L9" s="3483" t="s">
        <v>3444</v>
      </c>
      <c r="M9" s="3484">
        <v>100</v>
      </c>
      <c r="N9" s="3484" t="s">
        <v>3435</v>
      </c>
      <c r="O9" s="3484">
        <v>90</v>
      </c>
      <c r="P9" s="3486">
        <f>1-P7-P8</f>
        <v>0.19999999999999996</v>
      </c>
    </row>
    <row r="10" spans="1:16" s="3481" customFormat="1" ht="18" hidden="1" customHeight="1">
      <c r="A10" s="3467" t="s">
        <v>3445</v>
      </c>
      <c r="B10" s="3472" t="s">
        <v>3446</v>
      </c>
      <c r="C10" s="3694">
        <f>ROUND(C8*H10,0)</f>
        <v>0</v>
      </c>
      <c r="D10" s="3695"/>
      <c r="E10" s="3695"/>
      <c r="F10" s="3696"/>
      <c r="G10" s="3469" t="s">
        <v>3443</v>
      </c>
      <c r="H10" s="3709">
        <f>'[1]数据-取费表'!B34</f>
        <v>0</v>
      </c>
      <c r="I10" s="3709"/>
      <c r="J10" s="3487">
        <f ca="1">D37</f>
        <v>4.9000000000000004</v>
      </c>
      <c r="K10" s="3708"/>
      <c r="L10" s="3488" t="s">
        <v>3422</v>
      </c>
      <c r="M10" s="3489">
        <f>1-M5</f>
        <v>0.5</v>
      </c>
      <c r="N10" s="3484" t="s">
        <v>3420</v>
      </c>
      <c r="O10" s="3490">
        <f>ROUND((O7*P7+O8*P8+O9*P9)/100,2)</f>
        <v>0.9</v>
      </c>
      <c r="P10" s="3491"/>
    </row>
    <row r="11" spans="1:16" s="3481" customFormat="1" ht="29.25" hidden="1" customHeight="1">
      <c r="A11" s="3467" t="s">
        <v>3447</v>
      </c>
      <c r="B11" s="3472" t="s">
        <v>3448</v>
      </c>
      <c r="C11" s="3694">
        <f>ROUND(I11*I3,0)</f>
        <v>1853022</v>
      </c>
      <c r="D11" s="3695"/>
      <c r="E11" s="3695"/>
      <c r="F11" s="3696"/>
      <c r="G11" s="3469" t="s">
        <v>3449</v>
      </c>
      <c r="H11" s="3472" t="s">
        <v>3450</v>
      </c>
      <c r="I11" s="3469">
        <f>'[1]数据-取费表'!B28</f>
        <v>200</v>
      </c>
      <c r="J11" s="3479"/>
      <c r="K11" s="3458"/>
      <c r="L11" s="3458"/>
    </row>
    <row r="12" spans="1:16" s="3481" customFormat="1" ht="18" hidden="1" customHeight="1">
      <c r="A12" s="3467" t="s">
        <v>3451</v>
      </c>
      <c r="B12" s="3472" t="s">
        <v>3452</v>
      </c>
      <c r="C12" s="3694">
        <f>ROUND(C8*H12,0)</f>
        <v>486418</v>
      </c>
      <c r="D12" s="3695"/>
      <c r="E12" s="3695"/>
      <c r="F12" s="3696"/>
      <c r="G12" s="3469" t="s">
        <v>3443</v>
      </c>
      <c r="H12" s="3709">
        <f>'[1]数据-取费表'!B36</f>
        <v>1.4999999999999999E-2</v>
      </c>
      <c r="I12" s="3709"/>
      <c r="J12" s="3492" t="s">
        <v>3453</v>
      </c>
      <c r="L12" s="3493"/>
    </row>
    <row r="13" spans="1:16" s="3481" customFormat="1" ht="18" hidden="1" customHeight="1">
      <c r="A13" s="3467" t="s">
        <v>438</v>
      </c>
      <c r="B13" s="3472" t="s">
        <v>3454</v>
      </c>
      <c r="C13" s="3694">
        <f>SUM(C8:F12)</f>
        <v>35740162</v>
      </c>
      <c r="D13" s="3695"/>
      <c r="E13" s="3695"/>
      <c r="F13" s="3696"/>
      <c r="G13" s="3697" t="s">
        <v>3455</v>
      </c>
      <c r="H13" s="3697"/>
      <c r="I13" s="3697"/>
      <c r="J13" s="3492" t="s">
        <v>3456</v>
      </c>
      <c r="L13" s="3493"/>
    </row>
    <row r="14" spans="1:16" s="3481" customFormat="1" ht="18" hidden="1" customHeight="1">
      <c r="A14" s="3467" t="s">
        <v>3457</v>
      </c>
      <c r="B14" s="3472" t="s">
        <v>3458</v>
      </c>
      <c r="C14" s="3694">
        <f>ROUND(C13*H14,0)</f>
        <v>357402</v>
      </c>
      <c r="D14" s="3695"/>
      <c r="E14" s="3695"/>
      <c r="F14" s="3696"/>
      <c r="G14" s="3469" t="s">
        <v>3459</v>
      </c>
      <c r="H14" s="3709">
        <f>'数据-取费表'!B37</f>
        <v>0.01</v>
      </c>
      <c r="I14" s="3709"/>
      <c r="J14" s="3479"/>
      <c r="L14" s="3493"/>
    </row>
    <row r="15" spans="1:16" s="3481" customFormat="1" ht="18" hidden="1" customHeight="1">
      <c r="A15" s="3467" t="s">
        <v>393</v>
      </c>
      <c r="B15" s="3472" t="s">
        <v>3460</v>
      </c>
      <c r="C15" s="3714">
        <f>H15</f>
        <v>0.01</v>
      </c>
      <c r="D15" s="3715"/>
      <c r="E15" s="3712" t="str">
        <f>E18</f>
        <v>V</v>
      </c>
      <c r="F15" s="3713"/>
      <c r="G15" s="3469" t="s">
        <v>3461</v>
      </c>
      <c r="H15" s="3709">
        <f>'数据-取费表'!B38</f>
        <v>0.01</v>
      </c>
      <c r="I15" s="3709"/>
      <c r="J15" s="3494"/>
      <c r="K15" s="3495"/>
    </row>
    <row r="16" spans="1:16" s="3481" customFormat="1" ht="18" hidden="1" customHeight="1">
      <c r="A16" s="3496" t="s">
        <v>394</v>
      </c>
      <c r="B16" s="3497" t="s">
        <v>3462</v>
      </c>
      <c r="C16" s="3498">
        <f>C17</f>
        <v>785122</v>
      </c>
      <c r="D16" s="3499" t="s">
        <v>3463</v>
      </c>
      <c r="E16" s="3500">
        <f>C18</f>
        <v>2.175E-4</v>
      </c>
      <c r="F16" s="3501" t="str">
        <f>E18</f>
        <v>V</v>
      </c>
      <c r="G16" s="3694" t="s">
        <v>3464</v>
      </c>
      <c r="H16" s="3695"/>
      <c r="I16" s="3696"/>
      <c r="J16" s="3479"/>
      <c r="K16" s="3458"/>
    </row>
    <row r="17" spans="1:15" s="3481" customFormat="1" ht="18" hidden="1" customHeight="1">
      <c r="A17" s="3467" t="s">
        <v>3465</v>
      </c>
      <c r="B17" s="3472" t="s">
        <v>3466</v>
      </c>
      <c r="C17" s="3694">
        <f>ROUND((C13+C14)*I18*(I17/2),0)</f>
        <v>785122</v>
      </c>
      <c r="D17" s="3695"/>
      <c r="E17" s="3695"/>
      <c r="F17" s="3696"/>
      <c r="G17" s="3498" t="s">
        <v>3467</v>
      </c>
      <c r="H17" s="3472" t="s">
        <v>3468</v>
      </c>
      <c r="I17" s="3469">
        <v>1</v>
      </c>
      <c r="J17" s="3492" t="s">
        <v>3469</v>
      </c>
      <c r="K17" s="3458"/>
      <c r="L17" s="3458"/>
    </row>
    <row r="18" spans="1:15" s="3481" customFormat="1" ht="18" hidden="1" customHeight="1">
      <c r="A18" s="3467" t="s">
        <v>3470</v>
      </c>
      <c r="B18" s="3472" t="s">
        <v>3471</v>
      </c>
      <c r="C18" s="3710">
        <f>H15*I18*I17/2</f>
        <v>2.175E-4</v>
      </c>
      <c r="D18" s="3711"/>
      <c r="E18" s="3712" t="s">
        <v>3472</v>
      </c>
      <c r="F18" s="3713"/>
      <c r="G18" s="3498" t="s">
        <v>3473</v>
      </c>
      <c r="H18" s="3472" t="s">
        <v>3474</v>
      </c>
      <c r="I18" s="3502">
        <v>4.3499999999999997E-2</v>
      </c>
      <c r="J18" s="3492" t="s">
        <v>3475</v>
      </c>
      <c r="K18" s="3458"/>
      <c r="L18" s="3458"/>
    </row>
    <row r="19" spans="1:15" s="3481" customFormat="1" ht="27" hidden="1" customHeight="1">
      <c r="A19" s="3467" t="s">
        <v>395</v>
      </c>
      <c r="B19" s="3472" t="s">
        <v>3476</v>
      </c>
      <c r="C19" s="3498">
        <f>C20</f>
        <v>5414635</v>
      </c>
      <c r="D19" s="3499" t="s">
        <v>3463</v>
      </c>
      <c r="E19" s="3499">
        <f>C21</f>
        <v>1.5E-3</v>
      </c>
      <c r="F19" s="3501" t="str">
        <f>E21</f>
        <v>V</v>
      </c>
      <c r="G19" s="3694" t="s">
        <v>3477</v>
      </c>
      <c r="H19" s="3695"/>
      <c r="I19" s="3696"/>
      <c r="J19" s="3479"/>
      <c r="K19" s="3458"/>
      <c r="L19" s="3458"/>
    </row>
    <row r="20" spans="1:15" s="3481" customFormat="1" ht="26.25" hidden="1" customHeight="1">
      <c r="A20" s="3467" t="s">
        <v>3478</v>
      </c>
      <c r="B20" s="3472" t="s">
        <v>3479</v>
      </c>
      <c r="C20" s="3694">
        <f>ROUND((C13+C14)*I20,0)</f>
        <v>5414635</v>
      </c>
      <c r="D20" s="3695"/>
      <c r="E20" s="3695"/>
      <c r="F20" s="3696"/>
      <c r="G20" s="3469" t="s">
        <v>3480</v>
      </c>
      <c r="H20" s="3718" t="s">
        <v>3481</v>
      </c>
      <c r="I20" s="3720">
        <f>'数据-取费表'!Q6</f>
        <v>0.15</v>
      </c>
      <c r="J20" s="3492" t="s">
        <v>3482</v>
      </c>
      <c r="K20" s="3458"/>
      <c r="L20" s="3458"/>
    </row>
    <row r="21" spans="1:15" s="3481" customFormat="1" ht="27" hidden="1" customHeight="1">
      <c r="A21" s="3467" t="s">
        <v>3478</v>
      </c>
      <c r="B21" s="3472" t="s">
        <v>3483</v>
      </c>
      <c r="C21" s="3714">
        <f>H15*I20</f>
        <v>1.5E-3</v>
      </c>
      <c r="D21" s="3715"/>
      <c r="E21" s="3712" t="s">
        <v>3472</v>
      </c>
      <c r="F21" s="3713"/>
      <c r="G21" s="3469" t="s">
        <v>3484</v>
      </c>
      <c r="H21" s="3719"/>
      <c r="I21" s="3720"/>
      <c r="J21" s="3479"/>
      <c r="K21" s="3458"/>
      <c r="L21" s="3458"/>
    </row>
    <row r="22" spans="1:15" s="3481" customFormat="1" ht="18" hidden="1" customHeight="1">
      <c r="A22" s="3467" t="s">
        <v>396</v>
      </c>
      <c r="B22" s="3472" t="s">
        <v>3485</v>
      </c>
      <c r="C22" s="3714">
        <f>ROUND(H22/1.05,4)</f>
        <v>5.33E-2</v>
      </c>
      <c r="D22" s="3715"/>
      <c r="E22" s="3712" t="s">
        <v>3472</v>
      </c>
      <c r="F22" s="3713"/>
      <c r="G22" s="3469" t="s">
        <v>3486</v>
      </c>
      <c r="H22" s="3709">
        <v>5.6000000000000001E-2</v>
      </c>
      <c r="I22" s="3709"/>
      <c r="J22" s="3503"/>
      <c r="K22" s="3458"/>
      <c r="L22" s="3458"/>
    </row>
    <row r="23" spans="1:15" s="3481" customFormat="1" ht="18" customHeight="1">
      <c r="A23" s="3467" t="s">
        <v>3487</v>
      </c>
      <c r="B23" s="3472" t="s">
        <v>3488</v>
      </c>
      <c r="C23" s="3694">
        <f ca="1">'成本法 (元)'!C49</f>
        <v>45237776</v>
      </c>
      <c r="D23" s="3695"/>
      <c r="E23" s="3695"/>
      <c r="F23" s="3696"/>
      <c r="G23" s="3694" t="s">
        <v>3489</v>
      </c>
      <c r="H23" s="3695"/>
      <c r="I23" s="3696"/>
      <c r="J23" s="3503"/>
      <c r="K23" s="3458"/>
      <c r="L23" s="3458"/>
    </row>
    <row r="24" spans="1:15" s="3481" customFormat="1" ht="18" customHeight="1">
      <c r="A24" s="3467" t="s">
        <v>3490</v>
      </c>
      <c r="B24" s="3472" t="s">
        <v>3491</v>
      </c>
      <c r="C24" s="3504">
        <f ca="1">C26+C27</f>
        <v>263284</v>
      </c>
      <c r="D24" s="3505" t="s">
        <v>3492</v>
      </c>
      <c r="E24" s="3716">
        <f>H25+H28</f>
        <v>0.125</v>
      </c>
      <c r="F24" s="3717"/>
      <c r="G24" s="3697" t="s">
        <v>3493</v>
      </c>
      <c r="H24" s="3697"/>
      <c r="I24" s="3697"/>
      <c r="J24" s="3503"/>
      <c r="K24" s="3458"/>
      <c r="L24" s="3458"/>
      <c r="N24" s="3481">
        <v>5.5</v>
      </c>
      <c r="O24" s="3481">
        <f>N24*365</f>
        <v>2007.5</v>
      </c>
    </row>
    <row r="25" spans="1:15" s="3481" customFormat="1" ht="18" customHeight="1">
      <c r="A25" s="3467" t="s">
        <v>438</v>
      </c>
      <c r="B25" s="3472" t="s">
        <v>3494</v>
      </c>
      <c r="C25" s="3714" t="s">
        <v>3495</v>
      </c>
      <c r="D25" s="3715"/>
      <c r="E25" s="3716">
        <f>H25</f>
        <v>0.12</v>
      </c>
      <c r="F25" s="3717"/>
      <c r="G25" s="3469" t="s">
        <v>3496</v>
      </c>
      <c r="H25" s="3721">
        <v>0.12</v>
      </c>
      <c r="I25" s="3721"/>
      <c r="J25" s="3494"/>
      <c r="K25" s="3458"/>
      <c r="L25" s="3458"/>
      <c r="N25" s="3481">
        <v>45000</v>
      </c>
      <c r="O25" s="3481">
        <f>O24/N25</f>
        <v>4.4611111111111108E-2</v>
      </c>
    </row>
    <row r="26" spans="1:15" s="3481" customFormat="1" ht="18" customHeight="1">
      <c r="A26" s="3467" t="s">
        <v>3457</v>
      </c>
      <c r="B26" s="3472" t="s">
        <v>3497</v>
      </c>
      <c r="C26" s="3694">
        <f ca="1">ROUND(C23*H26,0)</f>
        <v>226189</v>
      </c>
      <c r="D26" s="3695"/>
      <c r="E26" s="3695"/>
      <c r="F26" s="3696"/>
      <c r="G26" s="3469" t="s">
        <v>3498</v>
      </c>
      <c r="H26" s="3721">
        <v>5.0000000000000001E-3</v>
      </c>
      <c r="I26" s="3721"/>
      <c r="J26" s="3494"/>
      <c r="K26" s="3458"/>
      <c r="L26" s="3458"/>
    </row>
    <row r="27" spans="1:15" s="3481" customFormat="1" ht="18" customHeight="1">
      <c r="A27" s="3467" t="s">
        <v>393</v>
      </c>
      <c r="B27" s="3472" t="s">
        <v>3499</v>
      </c>
      <c r="C27" s="3694">
        <f ca="1">ROUND(C7*H27,0)</f>
        <v>37095</v>
      </c>
      <c r="D27" s="3695"/>
      <c r="E27" s="3695"/>
      <c r="F27" s="3696"/>
      <c r="G27" s="3469" t="s">
        <v>3500</v>
      </c>
      <c r="H27" s="3722">
        <v>1E-3</v>
      </c>
      <c r="I27" s="3722"/>
      <c r="J27" s="3479"/>
      <c r="K27" s="3458"/>
      <c r="L27" s="3458"/>
    </row>
    <row r="28" spans="1:15" s="3481" customFormat="1" ht="18" customHeight="1">
      <c r="A28" s="3467" t="s">
        <v>394</v>
      </c>
      <c r="B28" s="3472" t="s">
        <v>3501</v>
      </c>
      <c r="C28" s="3714" t="s">
        <v>3495</v>
      </c>
      <c r="D28" s="3715"/>
      <c r="E28" s="3716">
        <f>H28</f>
        <v>5.0000000000000001E-3</v>
      </c>
      <c r="F28" s="3717"/>
      <c r="G28" s="3469" t="s">
        <v>3502</v>
      </c>
      <c r="H28" s="3721">
        <v>5.0000000000000001E-3</v>
      </c>
      <c r="I28" s="3721"/>
      <c r="J28" s="3506"/>
      <c r="K28" s="3458"/>
      <c r="L28" s="3458"/>
    </row>
    <row r="29" spans="1:15" s="3481" customFormat="1" ht="18" customHeight="1">
      <c r="A29" s="3469" t="s">
        <v>3503</v>
      </c>
      <c r="B29" s="3472" t="s">
        <v>3504</v>
      </c>
      <c r="C29" s="3694">
        <f ca="1">ROUND((C4+C24)/(1-E24),0)</f>
        <v>14937608</v>
      </c>
      <c r="D29" s="3695"/>
      <c r="E29" s="3695"/>
      <c r="F29" s="3696"/>
      <c r="G29" s="3697" t="s">
        <v>3505</v>
      </c>
      <c r="H29" s="3697"/>
      <c r="I29" s="3697"/>
      <c r="J29" s="3507" t="s">
        <v>3506</v>
      </c>
      <c r="K29" s="3458"/>
      <c r="L29" s="3458"/>
    </row>
    <row r="30" spans="1:15" s="3481" customFormat="1" ht="21" customHeight="1">
      <c r="A30" s="3697" t="s">
        <v>3507</v>
      </c>
      <c r="B30" s="3698" t="s">
        <v>3508</v>
      </c>
      <c r="C30" s="3723">
        <f ca="1">ROUND(C29/I30/I31/I3,1)</f>
        <v>4.9000000000000004</v>
      </c>
      <c r="D30" s="3724"/>
      <c r="E30" s="3724"/>
      <c r="F30" s="3725"/>
      <c r="G30" s="3697" t="s">
        <v>3509</v>
      </c>
      <c r="H30" s="3472" t="s">
        <v>3510</v>
      </c>
      <c r="I30" s="3469">
        <v>365</v>
      </c>
      <c r="J30" s="3508"/>
      <c r="K30" s="3458"/>
      <c r="L30" s="3458"/>
    </row>
    <row r="31" spans="1:15" s="3481" customFormat="1" ht="18" customHeight="1">
      <c r="A31" s="3697"/>
      <c r="B31" s="3698"/>
      <c r="C31" s="3726"/>
      <c r="D31" s="3727"/>
      <c r="E31" s="3727"/>
      <c r="F31" s="3728"/>
      <c r="G31" s="3697"/>
      <c r="H31" s="3472" t="s">
        <v>3511</v>
      </c>
      <c r="I31" s="3509">
        <v>0.9</v>
      </c>
      <c r="J31" s="3510"/>
      <c r="K31" s="3458"/>
      <c r="L31" s="3458"/>
    </row>
    <row r="32" spans="1:15" s="3481" customFormat="1" ht="18" customHeight="1">
      <c r="A32" s="3466"/>
      <c r="B32" s="3511"/>
      <c r="C32" s="3466"/>
      <c r="D32" s="3466"/>
      <c r="E32" s="3466"/>
      <c r="F32" s="3466"/>
      <c r="G32" s="3512"/>
      <c r="H32" s="3466"/>
      <c r="I32" s="3466"/>
      <c r="J32" s="3479"/>
      <c r="K32" s="3458"/>
      <c r="L32" s="3458"/>
    </row>
    <row r="33" spans="1:13" s="3481" customFormat="1" ht="18" customHeight="1">
      <c r="A33" s="3466"/>
      <c r="B33" s="3730" t="s">
        <v>3512</v>
      </c>
      <c r="C33" s="3730"/>
      <c r="D33" s="3730"/>
      <c r="E33" s="3730"/>
      <c r="F33" s="3730"/>
      <c r="G33" s="3513"/>
      <c r="H33" s="3514"/>
      <c r="I33" s="3466"/>
      <c r="J33" s="3479"/>
      <c r="K33" s="3458"/>
      <c r="L33" s="3458"/>
      <c r="M33" s="3466"/>
    </row>
    <row r="34" spans="1:13" s="3481" customFormat="1" ht="18" customHeight="1">
      <c r="A34" s="3466"/>
      <c r="B34" s="3515" t="s">
        <v>3513</v>
      </c>
      <c r="C34" s="3515" t="s">
        <v>3429</v>
      </c>
      <c r="D34" s="3731" t="s">
        <v>3514</v>
      </c>
      <c r="E34" s="3731"/>
      <c r="F34" s="3731"/>
      <c r="G34" s="3513"/>
      <c r="H34" s="3514"/>
      <c r="I34" s="3466"/>
      <c r="J34" s="3503"/>
      <c r="K34" s="3466"/>
      <c r="L34" s="3466"/>
      <c r="M34" s="3466"/>
    </row>
    <row r="35" spans="1:13">
      <c r="B35" s="3515" t="s">
        <v>3515</v>
      </c>
      <c r="C35" s="3516">
        <v>0.5</v>
      </c>
      <c r="D35" s="3729">
        <f>'比较法-办公租金'!C49</f>
        <v>4.9000000000000004</v>
      </c>
      <c r="E35" s="3729"/>
      <c r="F35" s="3729"/>
      <c r="G35" s="3517">
        <f ca="1">(D35-D36)/D36</f>
        <v>0</v>
      </c>
      <c r="H35" s="3514"/>
      <c r="K35" s="3466"/>
      <c r="L35" s="3466"/>
    </row>
    <row r="36" spans="1:13" ht="20.100000000000001" customHeight="1">
      <c r="B36" s="3515" t="s">
        <v>3516</v>
      </c>
      <c r="C36" s="3516">
        <f>1-C35</f>
        <v>0.5</v>
      </c>
      <c r="D36" s="3729">
        <f ca="1">C30</f>
        <v>4.9000000000000004</v>
      </c>
      <c r="E36" s="3729"/>
      <c r="F36" s="3729"/>
      <c r="G36" s="3513"/>
      <c r="H36" s="3514"/>
      <c r="J36" s="3466"/>
      <c r="K36" s="3466"/>
      <c r="L36" s="3466"/>
    </row>
    <row r="37" spans="1:13" ht="22.5" customHeight="1">
      <c r="B37" s="3731" t="s">
        <v>3517</v>
      </c>
      <c r="C37" s="3731"/>
      <c r="D37" s="3732">
        <f ca="1">ROUND(C35*D35+C36*D36,1)</f>
        <v>4.9000000000000004</v>
      </c>
      <c r="E37" s="3732"/>
      <c r="F37" s="3732"/>
      <c r="G37" s="3513">
        <f ca="1">ROUND(D37*I3/10000,2)</f>
        <v>4.54</v>
      </c>
      <c r="H37" s="3514"/>
      <c r="J37" s="3466"/>
      <c r="K37" s="3466"/>
      <c r="L37" s="3466"/>
    </row>
    <row r="38" spans="1:13" ht="22.5" customHeight="1">
      <c r="B38" s="3515" t="s">
        <v>3518</v>
      </c>
      <c r="C38" s="3515">
        <f ca="1">ROUND(D37*0.9,2)</f>
        <v>4.41</v>
      </c>
      <c r="D38" s="3518" t="s">
        <v>3519</v>
      </c>
      <c r="E38" s="3729">
        <f ca="1">ROUND(D37*1.1,2)</f>
        <v>5.39</v>
      </c>
      <c r="F38" s="3729"/>
      <c r="G38" s="3513" t="s">
        <v>3520</v>
      </c>
      <c r="H38" s="3519">
        <v>12</v>
      </c>
      <c r="J38" s="3466"/>
      <c r="K38" s="3466"/>
      <c r="L38" s="3466"/>
    </row>
    <row r="39" spans="1:13" ht="18" customHeight="1">
      <c r="B39" s="3515" t="s">
        <v>3521</v>
      </c>
      <c r="C39" s="3515">
        <f ca="1">ROUND(C38+H39,2)</f>
        <v>4.46</v>
      </c>
      <c r="D39" s="3518" t="s">
        <v>3519</v>
      </c>
      <c r="E39" s="3729">
        <f ca="1">ROUND(E38+H39,2)</f>
        <v>5.44</v>
      </c>
      <c r="F39" s="3729"/>
      <c r="G39" s="3520" t="s">
        <v>3522</v>
      </c>
      <c r="H39" s="3520">
        <v>0.05</v>
      </c>
      <c r="J39" s="3466"/>
      <c r="K39" s="3466"/>
      <c r="L39" s="3466"/>
    </row>
    <row r="40" spans="1:13" ht="18" customHeight="1">
      <c r="B40" s="3521"/>
      <c r="C40" s="3522"/>
      <c r="D40" s="3514"/>
      <c r="E40" s="3514"/>
      <c r="F40" s="3514"/>
      <c r="G40" s="3513"/>
      <c r="H40" s="3514"/>
      <c r="J40" s="3466"/>
    </row>
    <row r="41" spans="1:13" ht="18" customHeight="1">
      <c r="B41" s="3513" t="s">
        <v>3523</v>
      </c>
      <c r="C41" s="3514"/>
      <c r="D41" s="3514"/>
      <c r="E41" s="3513" t="s">
        <v>3524</v>
      </c>
      <c r="F41" s="3514"/>
      <c r="G41" s="3513"/>
      <c r="H41" s="3513" t="s">
        <v>3525</v>
      </c>
      <c r="J41" s="3466"/>
    </row>
    <row r="42" spans="1:13" ht="29.25" customHeight="1"/>
    <row r="45" spans="1:13">
      <c r="H45" s="3523"/>
    </row>
  </sheetData>
  <mergeCells count="67">
    <mergeCell ref="H28:I28"/>
    <mergeCell ref="C29:F29"/>
    <mergeCell ref="G29:I29"/>
    <mergeCell ref="E38:F38"/>
    <mergeCell ref="E39:F39"/>
    <mergeCell ref="B33:F33"/>
    <mergeCell ref="D34:F34"/>
    <mergeCell ref="D35:F35"/>
    <mergeCell ref="D36:F36"/>
    <mergeCell ref="B37:C37"/>
    <mergeCell ref="D37:F37"/>
    <mergeCell ref="A30:A31"/>
    <mergeCell ref="B30:B31"/>
    <mergeCell ref="C30:F31"/>
    <mergeCell ref="G30:G31"/>
    <mergeCell ref="C25:D25"/>
    <mergeCell ref="E25:F25"/>
    <mergeCell ref="C28:D28"/>
    <mergeCell ref="E28:F28"/>
    <mergeCell ref="H25:I25"/>
    <mergeCell ref="C26:F26"/>
    <mergeCell ref="H26:I26"/>
    <mergeCell ref="C27:F27"/>
    <mergeCell ref="H27:I27"/>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3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54" zoomScale="70" zoomScaleNormal="100" zoomScaleSheetLayoutView="70" zoomScalePageLayoutView="80" workbookViewId="0">
      <selection activeCell="H108" sqref="H108"/>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800" t="str">
        <f>项目基本情况!S2</f>
        <v>北京市房地产</v>
      </c>
      <c r="B2" s="3801"/>
      <c r="C2" s="3801"/>
      <c r="D2" s="3801"/>
      <c r="E2" s="3801"/>
      <c r="F2" s="3801"/>
      <c r="G2" s="3801"/>
      <c r="H2" s="3801"/>
      <c r="I2" s="3802"/>
    </row>
    <row r="3" spans="1:12" ht="12.75">
      <c r="A3" s="3803" t="s">
        <v>1264</v>
      </c>
      <c r="B3" s="3804"/>
      <c r="C3" s="3804"/>
      <c r="D3" s="3804"/>
      <c r="E3" s="3804"/>
      <c r="F3" s="3804"/>
      <c r="G3" s="3804"/>
      <c r="H3" s="3804"/>
      <c r="I3" s="3804"/>
    </row>
    <row r="4" spans="1:12" ht="14.25">
      <c r="A4" s="1754" t="s">
        <v>1265</v>
      </c>
      <c r="B4" s="1755" t="s">
        <v>1266</v>
      </c>
      <c r="C4" s="1756"/>
      <c r="D4" s="1756"/>
      <c r="E4" s="3808" t="s">
        <v>1267</v>
      </c>
      <c r="F4" s="3809"/>
      <c r="G4" s="3809"/>
      <c r="H4" s="3809"/>
      <c r="I4" s="3810"/>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748" t="s">
        <v>1268</v>
      </c>
      <c r="B5" s="3658">
        <v>25</v>
      </c>
      <c r="C5" s="3805"/>
      <c r="D5" s="3794"/>
      <c r="E5" s="131" t="s">
        <v>1269</v>
      </c>
      <c r="F5" s="1757"/>
      <c r="G5" s="1757"/>
      <c r="H5" s="1757"/>
      <c r="I5" s="1373"/>
    </row>
    <row r="6" spans="1:12" ht="12.75">
      <c r="A6" s="3748"/>
      <c r="B6" s="3658"/>
      <c r="C6" s="3807"/>
      <c r="D6" s="3794"/>
      <c r="E6" s="131" t="s">
        <v>1270</v>
      </c>
      <c r="F6" s="1757"/>
      <c r="G6" s="1757"/>
      <c r="H6" s="1757"/>
      <c r="I6" s="1373"/>
    </row>
    <row r="7" spans="1:12" ht="12.75">
      <c r="A7" s="3748"/>
      <c r="B7" s="3658"/>
      <c r="C7" s="3806"/>
      <c r="D7" s="3794"/>
      <c r="E7" s="131" t="s">
        <v>1271</v>
      </c>
      <c r="F7" s="1757"/>
      <c r="G7" s="1757"/>
      <c r="H7" s="1757"/>
      <c r="I7" s="1373"/>
    </row>
    <row r="8" spans="1:12" ht="12.75">
      <c r="A8" s="3748" t="s">
        <v>1272</v>
      </c>
      <c r="B8" s="3658">
        <v>15</v>
      </c>
      <c r="C8" s="3805"/>
      <c r="D8" s="3794"/>
      <c r="E8" s="131" t="s">
        <v>1273</v>
      </c>
      <c r="F8" s="1757"/>
      <c r="G8" s="1757"/>
      <c r="H8" s="1757"/>
      <c r="I8" s="1373"/>
    </row>
    <row r="9" spans="1:12" ht="12.75">
      <c r="A9" s="3748"/>
      <c r="B9" s="3658"/>
      <c r="C9" s="3806"/>
      <c r="D9" s="3794"/>
      <c r="E9" s="131" t="s">
        <v>1274</v>
      </c>
      <c r="F9" s="1757"/>
      <c r="G9" s="1757"/>
      <c r="H9" s="1757"/>
      <c r="I9" s="1373"/>
    </row>
    <row r="10" spans="1:12" ht="12.75">
      <c r="A10" s="3748" t="s">
        <v>1275</v>
      </c>
      <c r="B10" s="3658">
        <v>15</v>
      </c>
      <c r="C10" s="3805"/>
      <c r="D10" s="3794"/>
      <c r="E10" s="131" t="s">
        <v>1276</v>
      </c>
      <c r="F10" s="1757"/>
      <c r="G10" s="1757"/>
      <c r="H10" s="1757"/>
      <c r="I10" s="1373"/>
    </row>
    <row r="11" spans="1:12" ht="12.75">
      <c r="A11" s="3748"/>
      <c r="B11" s="3658"/>
      <c r="C11" s="3806"/>
      <c r="D11" s="3794"/>
      <c r="E11" s="131" t="s">
        <v>1277</v>
      </c>
      <c r="F11" s="1757"/>
      <c r="G11" s="1757"/>
      <c r="H11" s="1757"/>
      <c r="I11" s="1373"/>
    </row>
    <row r="12" spans="1:12" ht="12.75">
      <c r="A12" s="3748" t="s">
        <v>1278</v>
      </c>
      <c r="B12" s="3658">
        <v>15</v>
      </c>
      <c r="C12" s="3805"/>
      <c r="D12" s="3794"/>
      <c r="E12" s="131" t="s">
        <v>1279</v>
      </c>
      <c r="F12" s="1757"/>
      <c r="G12" s="1757"/>
      <c r="H12" s="1757"/>
      <c r="I12" s="1373"/>
    </row>
    <row r="13" spans="1:12" ht="12.75">
      <c r="A13" s="3748"/>
      <c r="B13" s="3658"/>
      <c r="C13" s="3806"/>
      <c r="D13" s="3794"/>
      <c r="E13" s="131" t="s">
        <v>1280</v>
      </c>
      <c r="F13" s="1757"/>
      <c r="G13" s="1757"/>
      <c r="H13" s="1757"/>
      <c r="I13" s="1373"/>
    </row>
    <row r="14" spans="1:12" ht="12.75">
      <c r="A14" s="3748" t="s">
        <v>1281</v>
      </c>
      <c r="B14" s="3658">
        <v>30</v>
      </c>
      <c r="C14" s="3805"/>
      <c r="D14" s="3794"/>
      <c r="E14" s="131" t="s">
        <v>1282</v>
      </c>
      <c r="F14" s="1757"/>
      <c r="G14" s="1757"/>
      <c r="H14" s="1757"/>
      <c r="I14" s="1373"/>
    </row>
    <row r="15" spans="1:12" ht="12.75">
      <c r="A15" s="3748"/>
      <c r="B15" s="3658"/>
      <c r="C15" s="3807"/>
      <c r="D15" s="3794"/>
      <c r="E15" s="131" t="s">
        <v>1283</v>
      </c>
      <c r="F15" s="1757"/>
      <c r="G15" s="1757"/>
      <c r="H15" s="1757"/>
      <c r="I15" s="1373"/>
    </row>
    <row r="16" spans="1:12" ht="12.75">
      <c r="A16" s="3748"/>
      <c r="B16" s="3658"/>
      <c r="C16" s="3806"/>
      <c r="D16" s="3794"/>
      <c r="E16" s="131" t="s">
        <v>1284</v>
      </c>
      <c r="F16" s="1757"/>
      <c r="G16" s="1757"/>
      <c r="H16" s="1757"/>
      <c r="I16" s="1373"/>
    </row>
    <row r="17" spans="1:36" ht="15">
      <c r="A17" s="1758" t="s">
        <v>1285</v>
      </c>
      <c r="B17" s="56"/>
      <c r="C17" s="132">
        <f>SUM(C5:C16)</f>
        <v>0</v>
      </c>
      <c r="D17" s="132">
        <f>SUM(D5:D16)</f>
        <v>0</v>
      </c>
      <c r="E17" s="129"/>
      <c r="F17" s="129"/>
      <c r="G17" s="129"/>
      <c r="H17" s="129"/>
      <c r="I17" s="129"/>
      <c r="K17" s="302"/>
      <c r="L17" s="302" t="s">
        <v>1286</v>
      </c>
      <c r="M17" s="302" t="s">
        <v>1287</v>
      </c>
    </row>
    <row r="18" spans="1:36" ht="31.9" customHeight="1" thickBot="1">
      <c r="A18" s="1759" t="s">
        <v>1288</v>
      </c>
      <c r="B18" s="1760"/>
      <c r="C18" s="133" t="e">
        <f>ROUND(C17/SUM(C17:D17),2)</f>
        <v>#DIV/0!</v>
      </c>
      <c r="D18" s="133" t="e">
        <f>1-C18</f>
        <v>#DIV/0!</v>
      </c>
      <c r="E18" s="3824" t="s">
        <v>2129</v>
      </c>
      <c r="F18" s="3825"/>
      <c r="G18" s="3825"/>
      <c r="H18" s="3825"/>
      <c r="I18" s="3825"/>
      <c r="K18" s="302" t="s">
        <v>1289</v>
      </c>
      <c r="L18" s="302">
        <f>IF(C1="",'数据-汇总表'!E3,SUMIF(项目类型,C1,'数据-汇总表'!E17:E26)+SUMIF(项目类型,C1,'数据-汇总表'!I17:I26))</f>
        <v>9265.11</v>
      </c>
      <c r="M18" s="302">
        <f>IF(C1="",'数据-汇总表'!E3,SUMIF(项目类型,C1,'数据-汇总表'!E17:E26))</f>
        <v>9265.11</v>
      </c>
    </row>
    <row r="19" spans="1:36" ht="15">
      <c r="A19" s="1761" t="s">
        <v>1290</v>
      </c>
      <c r="B19" s="1762" t="s">
        <v>1291</v>
      </c>
      <c r="C19" s="134" t="e">
        <f ca="1">SUMIF(INDIRECT("'"&amp;C4&amp;"'"&amp;"!A:A"),结果表!B19,INDIRECT("'"&amp;C4&amp;"'"&amp;"!B:B"))</f>
        <v>#REF!</v>
      </c>
      <c r="D19" s="135" t="e">
        <f ca="1">SUMIF(INDIRECT("'"&amp;D4&amp;"'"&amp;"!A:A"),结果表!B19,INDIRECT("'"&amp;D4&amp;"'"&amp;"!B:B"))</f>
        <v>#REF!</v>
      </c>
      <c r="E19" s="1761" t="s">
        <v>1292</v>
      </c>
      <c r="F19" s="1762" t="s">
        <v>1291</v>
      </c>
      <c r="G19" s="136" t="e">
        <f ca="1">ROUND(C19*$C$18+D19*$D$18,0)</f>
        <v>#REF!</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t="e">
        <f ca="1">SUMIF(INDIRECT("'"&amp;C4&amp;"'"&amp;"!A:A"),结果表!B20,INDIRECT("'"&amp;C4&amp;"'"&amp;"!B:B"))</f>
        <v>#REF!</v>
      </c>
      <c r="D20" s="138" t="e">
        <f ca="1">SUMIF(INDIRECT("'"&amp;D4&amp;"'"&amp;"!A:A"),结果表!B20,INDIRECT("'"&amp;D4&amp;"'"&amp;"!B:B"))</f>
        <v>#REF!</v>
      </c>
      <c r="E20" s="1764"/>
      <c r="F20" s="1026" t="s">
        <v>1295</v>
      </c>
      <c r="G20" s="139" t="e">
        <f ca="1">ROUND(C20*$C$18+D20*$D$18,0)</f>
        <v>#REF!</v>
      </c>
      <c r="H20" s="808" t="s">
        <v>1296</v>
      </c>
      <c r="I20" s="129"/>
    </row>
    <row r="21" spans="1:36" ht="15" customHeight="1" thickBot="1">
      <c r="A21" s="828"/>
      <c r="B21" s="1765" t="s">
        <v>1297</v>
      </c>
      <c r="C21" s="719" t="e">
        <f ca="1">ROUND(C19*10000/L19,0)</f>
        <v>#REF!</v>
      </c>
      <c r="D21" s="720" t="e">
        <f ca="1">ROUND(D19*10000/L19,0)</f>
        <v>#REF!</v>
      </c>
      <c r="E21" s="828"/>
      <c r="F21" s="1765" t="s">
        <v>1297</v>
      </c>
      <c r="G21" s="140" t="e">
        <f ca="1">ROUND(G19*10000/L19,0)</f>
        <v>#REF!</v>
      </c>
      <c r="H21" s="1766" t="s">
        <v>1296</v>
      </c>
      <c r="I21" s="129"/>
    </row>
    <row r="22" spans="1:36" ht="15" thickBot="1">
      <c r="A22" s="1688" t="s">
        <v>1298</v>
      </c>
      <c r="B22" s="1767"/>
      <c r="C22" s="1768"/>
      <c r="D22" s="721" t="e">
        <f ca="1">IF(C19&lt;D19,D19/C19-1,C19/D19-1)</f>
        <v>#REF!</v>
      </c>
      <c r="E22" s="129"/>
      <c r="F22" s="129"/>
      <c r="G22" s="129"/>
      <c r="H22" s="129"/>
      <c r="I22" s="129"/>
    </row>
    <row r="23" spans="1:36" ht="13.5" thickBot="1">
      <c r="A23" s="1747"/>
      <c r="B23" s="1747"/>
      <c r="C23" s="1747"/>
      <c r="D23" s="1747"/>
      <c r="E23" s="129"/>
      <c r="F23" s="129"/>
      <c r="G23" s="129"/>
      <c r="H23" s="129"/>
      <c r="I23" s="129"/>
    </row>
    <row r="24" spans="1:36" ht="14.25">
      <c r="A24" s="3817" t="s">
        <v>1299</v>
      </c>
      <c r="B24" s="1762" t="s">
        <v>1291</v>
      </c>
      <c r="C24" s="136">
        <f>IF(B30=0,0,D30)</f>
        <v>0</v>
      </c>
      <c r="D24" s="1769"/>
      <c r="E24" s="129"/>
      <c r="F24" s="129"/>
      <c r="G24" s="129"/>
      <c r="H24" s="129"/>
      <c r="I24" s="129"/>
    </row>
    <row r="25" spans="1:36" ht="14.25">
      <c r="A25" s="381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2130</v>
      </c>
      <c r="F30" s="129"/>
      <c r="G30" s="129"/>
      <c r="H30" s="129"/>
      <c r="I30" s="129"/>
    </row>
    <row r="31" spans="1:36" s="2309" customFormat="1" ht="26.45" customHeight="1" thickTop="1" thickBot="1">
      <c r="A31" s="2304"/>
      <c r="B31" s="2305"/>
      <c r="C31" s="2305"/>
      <c r="D31" s="2305"/>
      <c r="E31" s="2305"/>
      <c r="F31" s="2305"/>
      <c r="G31" s="2305"/>
      <c r="H31" s="2305"/>
      <c r="I31" s="2306" t="s">
        <v>2131</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t="e">
        <f ca="1">IF(D32="总价",G19-C24,G20-C25)</f>
        <v>#REF!</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795" t="s">
        <v>1312</v>
      </c>
      <c r="B36" s="1787" t="s">
        <v>1313</v>
      </c>
      <c r="C36" s="145"/>
      <c r="D36" s="1788"/>
      <c r="E36" s="1789"/>
      <c r="F36" s="1790"/>
      <c r="G36" s="129"/>
      <c r="H36" s="129"/>
      <c r="I36" s="129"/>
    </row>
    <row r="37" spans="1:15" ht="15.75" thickBot="1">
      <c r="A37" s="3796"/>
      <c r="B37" s="1674" t="s">
        <v>1314</v>
      </c>
      <c r="C37" s="147"/>
      <c r="D37" s="1139"/>
      <c r="E37" s="1139"/>
      <c r="F37" s="1790"/>
      <c r="G37" s="129"/>
      <c r="H37" s="129"/>
      <c r="I37" s="129"/>
    </row>
    <row r="38" spans="1:15" ht="15.75" thickBot="1">
      <c r="A38" s="3797"/>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814" t="s">
        <v>1326</v>
      </c>
      <c r="B45" s="3815"/>
      <c r="C45" s="3816"/>
      <c r="D45" s="155" t="e">
        <f ca="1">ROUND(H101*F45,0)</f>
        <v>#REF!</v>
      </c>
      <c r="E45" s="156" t="s">
        <v>1327</v>
      </c>
      <c r="F45" s="157">
        <v>1</v>
      </c>
      <c r="G45" s="158" t="s">
        <v>1328</v>
      </c>
      <c r="H45" s="129"/>
      <c r="I45" s="129"/>
      <c r="J45" s="3735" t="s">
        <v>1329</v>
      </c>
      <c r="K45" s="3735"/>
      <c r="L45" s="3735"/>
      <c r="M45" s="3735"/>
      <c r="N45" s="3735"/>
      <c r="O45" s="3735"/>
    </row>
    <row r="46" spans="1:15" ht="14.25" customHeight="1">
      <c r="A46" s="3811" t="s">
        <v>1330</v>
      </c>
      <c r="B46" s="3812"/>
      <c r="C46" s="3812"/>
      <c r="D46" s="3812"/>
      <c r="E46" s="3812"/>
      <c r="F46" s="3812"/>
      <c r="G46" s="3813"/>
      <c r="H46" s="1806"/>
      <c r="I46" s="159"/>
      <c r="J46" s="2523">
        <v>1</v>
      </c>
      <c r="K46" s="3736" t="s">
        <v>1331</v>
      </c>
      <c r="L46" s="3736"/>
      <c r="M46" s="3737"/>
      <c r="N46" s="3737"/>
      <c r="O46" s="3737"/>
    </row>
    <row r="47" spans="1:15" ht="12" customHeight="1">
      <c r="A47" s="160" t="s">
        <v>1332</v>
      </c>
      <c r="B47" s="161"/>
      <c r="C47" s="162"/>
      <c r="D47" s="1087" t="s">
        <v>1333</v>
      </c>
      <c r="E47" s="302" t="s">
        <v>1334</v>
      </c>
      <c r="F47" s="163" t="s">
        <v>1335</v>
      </c>
      <c r="G47" s="2546" t="s">
        <v>1336</v>
      </c>
      <c r="H47" s="2547"/>
      <c r="I47" s="159"/>
      <c r="J47" s="2523">
        <v>2</v>
      </c>
      <c r="K47" s="3736" t="s">
        <v>1337</v>
      </c>
      <c r="L47" s="3736"/>
      <c r="M47" s="3738">
        <f>'数据-取费表'!B2</f>
        <v>45033</v>
      </c>
      <c r="N47" s="3738"/>
      <c r="O47" s="3738"/>
    </row>
    <row r="48" spans="1:15" ht="25.5">
      <c r="A48" s="3798" t="s">
        <v>1338</v>
      </c>
      <c r="B48" s="3799"/>
      <c r="C48" s="3799"/>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736" t="s">
        <v>1340</v>
      </c>
      <c r="L48" s="3736"/>
      <c r="M48" s="3739" t="e">
        <f ca="1">H101</f>
        <v>#REF!</v>
      </c>
      <c r="N48" s="3739"/>
      <c r="O48" s="3739"/>
    </row>
    <row r="49" spans="1:35" ht="25.5" customHeight="1">
      <c r="A49" s="2333" t="s">
        <v>1341</v>
      </c>
      <c r="B49" s="3784" t="s">
        <v>1342</v>
      </c>
      <c r="C49" s="3784"/>
      <c r="D49" s="1590">
        <v>0</v>
      </c>
      <c r="E49" s="324" t="s">
        <v>1343</v>
      </c>
      <c r="F49" s="2424" t="s">
        <v>28</v>
      </c>
      <c r="G49" s="3767"/>
      <c r="H49" s="2310" t="s">
        <v>2132</v>
      </c>
      <c r="I49" s="2311"/>
      <c r="J49" s="2523">
        <v>4</v>
      </c>
      <c r="K49" s="3736" t="str">
        <f>IF(项目基本情况!E8="房地产抵押价值","房地产抵押价值","抵押担保权已注销时的房地产抵押价值")</f>
        <v>抵押担保权已注销时的房地产抵押价值</v>
      </c>
      <c r="L49" s="3736"/>
      <c r="M49" s="3739" t="str">
        <f>IF(项目基本情况!E8="房地产抵押价值",H107,H109)</f>
        <v>——</v>
      </c>
      <c r="N49" s="3739"/>
      <c r="O49" s="3739"/>
    </row>
    <row r="50" spans="1:35" ht="25.5" customHeight="1">
      <c r="A50" s="2551"/>
      <c r="B50" s="3784" t="s">
        <v>1344</v>
      </c>
      <c r="C50" s="3784"/>
      <c r="D50" s="2552"/>
      <c r="E50" s="332"/>
      <c r="F50" s="2424"/>
      <c r="G50" s="3768"/>
      <c r="H50" s="2312" t="s">
        <v>2133</v>
      </c>
      <c r="I50" s="2311"/>
      <c r="J50" s="3735" t="s">
        <v>1345</v>
      </c>
      <c r="K50" s="3735"/>
      <c r="L50" s="3735"/>
      <c r="M50" s="3735"/>
      <c r="N50" s="3735"/>
      <c r="O50" s="3735"/>
    </row>
    <row r="51" spans="1:35" ht="20.45" customHeight="1">
      <c r="A51" s="2553"/>
      <c r="B51" s="3784" t="s">
        <v>1346</v>
      </c>
      <c r="C51" s="3784"/>
      <c r="D51" s="1087"/>
      <c r="E51" s="327"/>
      <c r="F51" s="2424"/>
      <c r="G51" s="3769"/>
      <c r="H51" s="2312" t="s">
        <v>2134</v>
      </c>
      <c r="I51" s="2311"/>
      <c r="J51" s="2524" t="s">
        <v>1347</v>
      </c>
      <c r="K51" s="3736" t="s">
        <v>1348</v>
      </c>
      <c r="L51" s="3736"/>
      <c r="M51" s="2524" t="s">
        <v>1349</v>
      </c>
      <c r="N51" s="2524" t="s">
        <v>1350</v>
      </c>
      <c r="O51" s="2524" t="s">
        <v>1351</v>
      </c>
    </row>
    <row r="52" spans="1:35" ht="24" customHeight="1">
      <c r="A52" s="2335" t="s">
        <v>1352</v>
      </c>
      <c r="B52" s="3784" t="s">
        <v>1353</v>
      </c>
      <c r="C52" s="3784"/>
      <c r="D52" s="1087" t="e">
        <f ca="1">ROUND(D45*'数据-取费表'!B41/(1+'数据-取费表'!C42),0)</f>
        <v>#REF!</v>
      </c>
      <c r="E52" s="2334" t="s">
        <v>1354</v>
      </c>
      <c r="F52" s="2554">
        <f>'数据-取费表'!B41</f>
        <v>5.6000000000000001E-2</v>
      </c>
      <c r="G52" s="2555"/>
      <c r="H52" s="2544"/>
      <c r="I52" s="1807"/>
      <c r="J52" s="2523">
        <v>1</v>
      </c>
      <c r="K52" s="3761" t="s">
        <v>1355</v>
      </c>
      <c r="L52" s="3761"/>
      <c r="M52" s="2525" t="b">
        <f>D48</f>
        <v>0</v>
      </c>
      <c r="N52" s="2523" t="str">
        <f>E48</f>
        <v>销售额×税（费）率</v>
      </c>
      <c r="O52" s="2526">
        <f>F48</f>
        <v>5.6000000000000001E-2</v>
      </c>
    </row>
    <row r="53" spans="1:35" ht="12" customHeight="1">
      <c r="A53" s="2335" t="s">
        <v>1356</v>
      </c>
      <c r="B53" s="3785" t="s">
        <v>2287</v>
      </c>
      <c r="C53" s="3786"/>
      <c r="D53" s="1087" t="e">
        <f ca="1">ROUND(D45*'数据-取费表'!B41/(1+'数据-取费表'!C42),0)</f>
        <v>#REF!</v>
      </c>
      <c r="E53" s="2334" t="s">
        <v>1354</v>
      </c>
      <c r="F53" s="2554">
        <f>'数据-取费表'!B41</f>
        <v>5.6000000000000001E-2</v>
      </c>
      <c r="G53" s="2555"/>
      <c r="H53" s="2544"/>
      <c r="I53" s="1807"/>
      <c r="J53" s="2523">
        <v>2</v>
      </c>
      <c r="K53" s="3761" t="s">
        <v>1357</v>
      </c>
      <c r="L53" s="3761"/>
      <c r="M53" s="2525" t="e">
        <f t="shared" ref="M53:O54" ca="1" si="0">D55</f>
        <v>#REF!</v>
      </c>
      <c r="N53" s="2523" t="str">
        <f t="shared" si="0"/>
        <v>销售额×税（费）率</v>
      </c>
      <c r="O53" s="2526" t="str">
        <f t="shared" si="0"/>
        <v>免征</v>
      </c>
    </row>
    <row r="54" spans="1:35" ht="12" customHeight="1">
      <c r="A54" s="2335" t="s">
        <v>1358</v>
      </c>
      <c r="B54" s="3785" t="s">
        <v>2288</v>
      </c>
      <c r="C54" s="3786"/>
      <c r="D54" s="1087" t="e">
        <f ca="1">C68</f>
        <v>#REF!</v>
      </c>
      <c r="E54" s="327" t="s">
        <v>1359</v>
      </c>
      <c r="F54" s="2554">
        <f>'数据-取费表'!B41</f>
        <v>5.6000000000000001E-2</v>
      </c>
      <c r="G54" s="2555"/>
      <c r="H54" s="2556"/>
      <c r="I54" s="1807"/>
      <c r="J54" s="2523">
        <v>3</v>
      </c>
      <c r="K54" s="3761" t="s">
        <v>1360</v>
      </c>
      <c r="L54" s="3761"/>
      <c r="M54" s="2525" t="e">
        <f t="shared" ca="1" si="0"/>
        <v>#REF!</v>
      </c>
      <c r="N54" s="2523" t="str">
        <f t="shared" si="0"/>
        <v>增值额×税（费）率</v>
      </c>
      <c r="O54" s="2527" t="str">
        <f t="shared" si="0"/>
        <v>免征</v>
      </c>
    </row>
    <row r="55" spans="1:35" ht="24" customHeight="1">
      <c r="A55" s="3820" t="s">
        <v>1361</v>
      </c>
      <c r="B55" s="3799"/>
      <c r="C55" s="3799"/>
      <c r="D55" s="2324" t="e">
        <f ca="1">IF(H55="个人住宅",0,ROUND(D45*I55,0))</f>
        <v>#REF!</v>
      </c>
      <c r="E55" s="2334" t="s">
        <v>1362</v>
      </c>
      <c r="F55" s="2554" t="str">
        <f>IF(H55="正常",I55,"免征")</f>
        <v>免征</v>
      </c>
      <c r="G55" s="2555"/>
      <c r="H55" s="2550"/>
      <c r="I55" s="165">
        <f>'数据-取费表'!B49</f>
        <v>5.0000000000000001E-4</v>
      </c>
      <c r="J55" s="2523">
        <f>IF(H59="非个人房产","",4)</f>
        <v>4</v>
      </c>
      <c r="K55" s="3761" t="str">
        <f>IF(H59="非个人房产","——","个人所得税")</f>
        <v>个人所得税</v>
      </c>
      <c r="L55" s="3761"/>
      <c r="M55" s="2528" t="e">
        <f ca="1">D59</f>
        <v>#REF!</v>
      </c>
      <c r="N55" s="2040" t="str">
        <f>E59</f>
        <v>差额计税</v>
      </c>
      <c r="O55" s="2529">
        <f>F59</f>
        <v>0.01</v>
      </c>
    </row>
    <row r="56" spans="1:35" ht="24.75">
      <c r="A56" s="3820" t="s">
        <v>1363</v>
      </c>
      <c r="B56" s="3799"/>
      <c r="C56" s="3799"/>
      <c r="D56" s="2324" t="e">
        <f ca="1">IF(H56="个人住宅",D57,D58)</f>
        <v>#REF!</v>
      </c>
      <c r="E56" s="2334" t="s">
        <v>1364</v>
      </c>
      <c r="F56" s="2554" t="str">
        <f>IF(H56="正常",F58,"免征")</f>
        <v>免征</v>
      </c>
      <c r="G56" s="2557" t="s">
        <v>1365</v>
      </c>
      <c r="H56" s="2558"/>
      <c r="I56" s="1808"/>
      <c r="J56" s="2523" t="str">
        <f>IF(项目基本情况!K6="上海银行",IF(J55="",4,J55+1),"")</f>
        <v/>
      </c>
      <c r="K56" s="3742" t="str">
        <f>IF(项目基本情况!K6="上海银行","其他处置费用","")</f>
        <v/>
      </c>
      <c r="L56" s="3743"/>
      <c r="M56" s="2525" t="str">
        <f>IF(项目基本情况!K6="上海银行",M69,"")</f>
        <v/>
      </c>
      <c r="N56" s="3742" t="str">
        <f>IF(项目基本情况!K6="上海银行","包含处置中涉及的律师、诉讼、拍卖、评估等费用","")</f>
        <v/>
      </c>
      <c r="O56" s="3745"/>
    </row>
    <row r="57" spans="1:35" ht="12.75">
      <c r="A57" s="2335" t="s">
        <v>1341</v>
      </c>
      <c r="B57" s="3785" t="s">
        <v>1366</v>
      </c>
      <c r="C57" s="3786"/>
      <c r="D57" s="1590">
        <v>0</v>
      </c>
      <c r="E57" s="324" t="s">
        <v>1343</v>
      </c>
      <c r="F57" s="302"/>
      <c r="G57" s="2555"/>
      <c r="H57" s="2559"/>
      <c r="I57" s="1808"/>
      <c r="J57" s="3761">
        <f>IF(AND(J55="",J56=""),4,IF(项目基本情况!K6="上海银行",结果表!J56+1,结果表!J55+1))</f>
        <v>5</v>
      </c>
      <c r="K57" s="3761" t="s">
        <v>1367</v>
      </c>
      <c r="L57" s="2530" t="s">
        <v>1368</v>
      </c>
      <c r="M57" s="2531"/>
      <c r="N57" s="2532">
        <f ca="1">SUMIF(M52:M56,"&lt;9e307")</f>
        <v>0</v>
      </c>
      <c r="O57" s="2533"/>
      <c r="P57" s="2690" t="e">
        <f ca="1">N57/M49</f>
        <v>#VALUE!</v>
      </c>
    </row>
    <row r="58" spans="1:35" ht="24.75">
      <c r="A58" s="2335" t="s">
        <v>1352</v>
      </c>
      <c r="B58" s="3785" t="s">
        <v>1369</v>
      </c>
      <c r="C58" s="3784"/>
      <c r="D58" s="2324" t="e">
        <f ca="1">IF(H58="转让取得",C81,C97)</f>
        <v>#REF!</v>
      </c>
      <c r="E58" s="2334" t="s">
        <v>1364</v>
      </c>
      <c r="F58" s="302" t="s">
        <v>28</v>
      </c>
      <c r="G58" s="2555"/>
      <c r="H58" s="2558"/>
      <c r="I58" s="1808"/>
      <c r="J58" s="3761"/>
      <c r="K58" s="3761"/>
      <c r="L58" s="2530" t="s">
        <v>1370</v>
      </c>
      <c r="M58" s="2534"/>
      <c r="N58" s="2535" t="str">
        <f ca="1">NUMBERSTRING(INT(N57*10000),2)&amp;"元整"</f>
        <v>零元整</v>
      </c>
      <c r="O58" s="2536"/>
    </row>
    <row r="59" spans="1:35" ht="24.75" thickBot="1">
      <c r="A59" s="3765" t="s">
        <v>1371</v>
      </c>
      <c r="B59" s="3766"/>
      <c r="C59" s="3766"/>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2135</v>
      </c>
      <c r="J59" s="3763">
        <f>J57+1</f>
        <v>6</v>
      </c>
      <c r="K59" s="3761" t="s">
        <v>1372</v>
      </c>
      <c r="L59" s="2523" t="s">
        <v>1368</v>
      </c>
      <c r="M59" s="2537"/>
      <c r="N59" s="2538" t="e">
        <f ca="1">M49-N57</f>
        <v>#VALUE!</v>
      </c>
      <c r="O59" s="2539"/>
    </row>
    <row r="60" spans="1:35" ht="12" customHeight="1">
      <c r="A60" s="1809"/>
      <c r="B60" s="1747"/>
      <c r="C60" s="1747"/>
      <c r="D60" s="1747"/>
      <c r="E60" s="1578"/>
      <c r="F60" s="1808"/>
      <c r="G60" s="1808"/>
      <c r="H60" s="1810"/>
      <c r="I60" s="129"/>
      <c r="J60" s="3764"/>
      <c r="K60" s="3761"/>
      <c r="L60" s="2530" t="s">
        <v>1370</v>
      </c>
      <c r="M60" s="2534"/>
      <c r="N60" s="2535" t="e">
        <f ca="1">NUMBERSTRING(INT(N59*10000),2)&amp;"元整"</f>
        <v>#VALUE!</v>
      </c>
      <c r="O60" s="2536"/>
    </row>
    <row r="61" spans="1:35" ht="13.5" thickBot="1">
      <c r="A61" s="3819" t="s">
        <v>1373</v>
      </c>
      <c r="B61" s="3819"/>
      <c r="C61" s="3819"/>
      <c r="D61" s="3819"/>
      <c r="E61" s="3819"/>
      <c r="F61" s="1808"/>
      <c r="G61" s="1808"/>
      <c r="H61" s="1810"/>
      <c r="I61" s="129"/>
      <c r="J61" s="2523">
        <f>J59+1</f>
        <v>7</v>
      </c>
      <c r="K61" s="3761" t="s">
        <v>1374</v>
      </c>
      <c r="L61" s="3761"/>
      <c r="M61" s="2540"/>
      <c r="N61" s="2541" t="e">
        <f ca="1">ROUND(N59*10000/'数据-汇总表'!E3,0)</f>
        <v>#VALUE!</v>
      </c>
      <c r="O61" s="2542"/>
    </row>
    <row r="62" spans="1:35" ht="12.75">
      <c r="A62" s="3780" t="s">
        <v>1375</v>
      </c>
      <c r="B62" s="3781"/>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744"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744"/>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744"/>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744"/>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744"/>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5.6000000000000001E-2</v>
      </c>
      <c r="E68" s="178"/>
      <c r="F68" s="1808"/>
      <c r="G68" s="1808"/>
      <c r="H68" s="1810"/>
      <c r="I68" s="129"/>
      <c r="J68" s="3744"/>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744"/>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788" t="s">
        <v>1394</v>
      </c>
      <c r="B70" s="3789"/>
      <c r="C70" s="3789"/>
      <c r="D70" s="3789"/>
      <c r="E70" s="3789"/>
      <c r="F70" s="3789"/>
      <c r="G70" s="3789"/>
      <c r="H70" s="3789"/>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780" t="s">
        <v>1375</v>
      </c>
      <c r="B71" s="3781"/>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785" t="s">
        <v>1402</v>
      </c>
      <c r="F76" s="3784"/>
      <c r="G76" s="3784"/>
      <c r="H76" s="3787"/>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6.000000000000001E-3</v>
      </c>
      <c r="E78" s="3777" t="s">
        <v>1406</v>
      </c>
      <c r="F78" s="3778"/>
      <c r="G78" s="3778"/>
      <c r="H78" s="377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788" t="s">
        <v>1410</v>
      </c>
      <c r="B83" s="3789"/>
      <c r="C83" s="3789"/>
      <c r="D83" s="3789"/>
      <c r="E83" s="3789"/>
      <c r="F83" s="3789"/>
      <c r="G83" s="3789"/>
      <c r="H83" s="3789"/>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780" t="s">
        <v>1375</v>
      </c>
      <c r="B84" s="3781"/>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746" t="s">
        <v>2127</v>
      </c>
      <c r="H90" s="3747"/>
      <c r="I90" s="1821"/>
      <c r="J90" s="2521" t="s">
        <v>2285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777" t="s">
        <v>1419</v>
      </c>
      <c r="F91" s="3778"/>
      <c r="G91" s="3778"/>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777" t="s">
        <v>1422</v>
      </c>
      <c r="F92" s="3778"/>
      <c r="G92" s="3778"/>
      <c r="H92" s="3779"/>
      <c r="I92" s="1821"/>
      <c r="J92" s="2522" t="s">
        <v>2286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6.000000000000001E-3</v>
      </c>
      <c r="E93" s="3777" t="s">
        <v>1406</v>
      </c>
      <c r="F93" s="3778"/>
      <c r="G93" s="3778"/>
      <c r="H93" s="377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821" t="s">
        <v>1426</v>
      </c>
      <c r="F94" s="3822"/>
      <c r="G94" s="3822"/>
      <c r="H94" s="382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626" t="s">
        <v>1428</v>
      </c>
      <c r="B100" s="3627"/>
      <c r="C100" s="3627"/>
      <c r="D100" s="3762"/>
      <c r="E100" s="3627" t="s">
        <v>1429</v>
      </c>
      <c r="F100" s="3627"/>
      <c r="G100" s="3627"/>
      <c r="H100" s="3762"/>
      <c r="I100" s="129"/>
    </row>
    <row r="101" spans="1:35" ht="18.75" customHeight="1">
      <c r="A101" s="3770" t="s">
        <v>1430</v>
      </c>
      <c r="B101" s="3771"/>
      <c r="C101" s="2585">
        <f>C4</f>
        <v>0</v>
      </c>
      <c r="D101" s="2586">
        <f>D4</f>
        <v>0</v>
      </c>
      <c r="E101" s="3740" t="s">
        <v>1431</v>
      </c>
      <c r="F101" s="3741"/>
      <c r="G101" s="1827" t="s">
        <v>1432</v>
      </c>
      <c r="H101" s="2595" t="e">
        <f ca="1">H118</f>
        <v>#REF!</v>
      </c>
      <c r="I101" s="129"/>
    </row>
    <row r="102" spans="1:35" ht="18.75" customHeight="1">
      <c r="A102" s="3772" t="s">
        <v>1433</v>
      </c>
      <c r="B102" s="2584" t="s">
        <v>1432</v>
      </c>
      <c r="C102" s="2585" t="e">
        <f ca="1">IF(D32="楼面单价",ROUND(C19,0),C19)</f>
        <v>#REF!</v>
      </c>
      <c r="D102" s="2586" t="e">
        <f ca="1">IF(D32="楼面单价",ROUND(D19,0),D19)</f>
        <v>#REF!</v>
      </c>
      <c r="E102" s="3740"/>
      <c r="F102" s="3741"/>
      <c r="G102" s="1827" t="s">
        <v>1434</v>
      </c>
      <c r="H102" s="2555" t="e">
        <f ca="1">I118</f>
        <v>#REF!</v>
      </c>
      <c r="I102" s="129"/>
    </row>
    <row r="103" spans="1:35" ht="42.75" customHeight="1">
      <c r="A103" s="3772"/>
      <c r="B103" s="2584" t="s">
        <v>1434</v>
      </c>
      <c r="C103" s="2587" t="e">
        <f ca="1">C20</f>
        <v>#REF!</v>
      </c>
      <c r="D103" s="2588" t="e">
        <f ca="1">D20</f>
        <v>#REF!</v>
      </c>
      <c r="E103" s="3733" t="s">
        <v>1435</v>
      </c>
      <c r="F103" s="3734"/>
      <c r="G103" s="1828" t="s">
        <v>1436</v>
      </c>
      <c r="H103" s="2595">
        <f>IF(D36="正常操作",H104+H105+H106,H105+H106)</f>
        <v>0</v>
      </c>
      <c r="I103" s="129"/>
    </row>
    <row r="104" spans="1:35" ht="18.75" customHeight="1">
      <c r="A104" s="3772"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782"/>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773" t="str">
        <f>IF(项目基本情况!E8="已注销","——","3.房地产抵押价值")</f>
        <v>3.房地产抵押价值</v>
      </c>
      <c r="F107" s="3741"/>
      <c r="G107" s="1827" t="s">
        <v>1432</v>
      </c>
      <c r="H107" s="2595" t="e">
        <f ca="1">IF(E107="——","——",H101-H103)</f>
        <v>#REF!</v>
      </c>
      <c r="I107" s="129"/>
    </row>
    <row r="108" spans="1:35" ht="18.75" customHeight="1">
      <c r="A108" s="129"/>
      <c r="B108" s="129"/>
      <c r="C108" s="129"/>
      <c r="D108" s="129"/>
      <c r="E108" s="3773"/>
      <c r="F108" s="3741"/>
      <c r="G108" s="1827" t="s">
        <v>1434</v>
      </c>
      <c r="H108" s="2555">
        <f ca="1">IF(H107=H101,H102,ROUND(H107*10000/'数据-汇总表'!E3,0))</f>
        <v>0</v>
      </c>
      <c r="I108" s="129"/>
    </row>
    <row r="109" spans="1:35" ht="18.75" customHeight="1">
      <c r="A109" s="129"/>
      <c r="B109" s="129"/>
      <c r="C109" s="129"/>
      <c r="D109" s="129"/>
      <c r="E109" s="3773" t="str">
        <f>IF(项目基本情况!E8="已注销及未注销","4.抵押担保权已注销时的房地产抵押价值",IF(项目基本情况!E8="已注销","3.抵押担保权已注销时的房地产抵押价值","——"))</f>
        <v>——</v>
      </c>
      <c r="F109" s="3741"/>
      <c r="G109" s="1827" t="s">
        <v>1432</v>
      </c>
      <c r="H109" s="2598" t="str">
        <f>IF(E109="——","——",H101-H105-H106)</f>
        <v>——</v>
      </c>
      <c r="I109" s="129"/>
    </row>
    <row r="110" spans="1:35" ht="18.75" customHeight="1">
      <c r="A110" s="129"/>
      <c r="B110" s="129"/>
      <c r="C110" s="129"/>
      <c r="D110" s="129"/>
      <c r="E110" s="3773"/>
      <c r="F110" s="3741"/>
      <c r="G110" s="1827" t="s">
        <v>1434</v>
      </c>
      <c r="H110" s="2555" t="str">
        <f>IF(H109="——","——",ROUND(H109*10000/'数据-汇总表'!E3,0))</f>
        <v>——</v>
      </c>
      <c r="I110" s="129"/>
    </row>
    <row r="111" spans="1:35" ht="18.75" customHeight="1">
      <c r="A111" s="129"/>
      <c r="B111" s="129"/>
      <c r="C111" s="129"/>
      <c r="D111" s="129"/>
      <c r="E111" s="3774" t="str">
        <f>IF(项目基本情况!E9="抵押净值",IF(OR(项目基本情况!E8="已注销",项目基本情况!E8="房地产抵押价值"),"4.抵押净值","5.抵押净值"),"——")</f>
        <v>——</v>
      </c>
      <c r="F111" s="3760"/>
      <c r="G111" s="1827" t="s">
        <v>1432</v>
      </c>
      <c r="H111" s="2595" t="str">
        <f>IF(E111="——","——",N59)</f>
        <v>——</v>
      </c>
      <c r="I111" s="129"/>
    </row>
    <row r="112" spans="1:35" ht="18.75" customHeight="1" thickBot="1">
      <c r="A112" s="129"/>
      <c r="B112" s="129"/>
      <c r="C112" s="129"/>
      <c r="D112" s="129"/>
      <c r="E112" s="3775"/>
      <c r="F112" s="3776"/>
      <c r="G112" s="1830" t="s">
        <v>1434</v>
      </c>
      <c r="H112" s="2599" t="str">
        <f>IF(E111="——","——",N61)</f>
        <v>——</v>
      </c>
      <c r="I112" s="129"/>
    </row>
    <row r="113" spans="1:27" ht="18.75" customHeight="1">
      <c r="A113" s="129"/>
      <c r="B113" s="129"/>
      <c r="C113" s="129"/>
      <c r="D113" s="129"/>
      <c r="E113" s="3783" t="s">
        <v>1440</v>
      </c>
      <c r="F113" s="3783"/>
      <c r="G113" s="3783"/>
      <c r="H113" s="3783"/>
      <c r="I113" s="129"/>
    </row>
    <row r="114" spans="1:27" ht="3.75" customHeight="1">
      <c r="A114" s="1747"/>
      <c r="B114" s="1747"/>
      <c r="C114" s="1747"/>
      <c r="D114" s="1747"/>
      <c r="E114" s="1809"/>
      <c r="F114" s="1809"/>
      <c r="G114" s="1809"/>
      <c r="H114" s="1809"/>
      <c r="I114" s="1747"/>
    </row>
    <row r="115" spans="1:27" ht="18.75" customHeight="1">
      <c r="A115" s="3791" t="s">
        <v>1442</v>
      </c>
      <c r="B115" s="3792"/>
      <c r="C115" s="3792"/>
      <c r="D115" s="3792"/>
      <c r="E115" s="3792"/>
      <c r="F115" s="3792"/>
      <c r="G115" s="3792"/>
      <c r="H115" s="3792"/>
      <c r="I115" s="3793"/>
    </row>
    <row r="116" spans="1:27" ht="27" customHeight="1">
      <c r="A116" s="3748" t="s">
        <v>1443</v>
      </c>
      <c r="B116" s="3752" t="s">
        <v>1444</v>
      </c>
      <c r="C116" s="3752" t="s">
        <v>1445</v>
      </c>
      <c r="D116" s="3758" t="s">
        <v>1446</v>
      </c>
      <c r="E116" s="3759"/>
      <c r="F116" s="3790" t="s">
        <v>1447</v>
      </c>
      <c r="G116" s="3790"/>
      <c r="H116" s="3748" t="s">
        <v>1448</v>
      </c>
      <c r="I116" s="3748"/>
    </row>
    <row r="117" spans="1:27" ht="18.75" customHeight="1">
      <c r="A117" s="3748"/>
      <c r="B117" s="3753"/>
      <c r="C117" s="3753"/>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9265.11</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748" t="s">
        <v>1452</v>
      </c>
      <c r="B119" s="3748"/>
      <c r="C119" s="3748"/>
      <c r="D119" s="3754" t="e">
        <f ca="1">NUMBERSTRING(INT(D118*10000),2)&amp;"元整"</f>
        <v>#REF!</v>
      </c>
      <c r="E119" s="3755"/>
      <c r="F119" s="3754" t="e">
        <f ca="1">NUMBERSTRING(INT(F118*10000),2)&amp;"元整"</f>
        <v>#REF!</v>
      </c>
      <c r="G119" s="3755"/>
      <c r="H119" s="3754" t="e">
        <f ca="1">NUMBERSTRING(INT(H118*10000),2)&amp;"元整"</f>
        <v>#REF!</v>
      </c>
      <c r="I119" s="3755"/>
    </row>
    <row r="120" spans="1:27" ht="18.75" customHeight="1">
      <c r="A120" s="3749" t="str">
        <f>IF(项目基本情况!B9="房地产市场价值","",MID(E103,3,LEN(E103)-2))</f>
        <v/>
      </c>
      <c r="B120" s="3750"/>
      <c r="C120" s="3751"/>
      <c r="D120" s="3749">
        <f>H103</f>
        <v>0</v>
      </c>
      <c r="E120" s="3750"/>
      <c r="F120" s="3750"/>
      <c r="G120" s="3750"/>
      <c r="H120" s="3750"/>
      <c r="I120" s="3751"/>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754" t="s">
        <v>1452</v>
      </c>
      <c r="B121" s="3756"/>
      <c r="C121" s="3755"/>
      <c r="D121" s="3754" t="str">
        <f>IF(D120=0,"零元整",NUMBERSTRING(INT(D120*10000),2)&amp;"元整")</f>
        <v>零元整</v>
      </c>
      <c r="E121" s="3756"/>
      <c r="F121" s="3756"/>
      <c r="G121" s="3756"/>
      <c r="H121" s="3756"/>
      <c r="I121" s="3755"/>
      <c r="AA121" s="725"/>
    </row>
    <row r="122" spans="1:27" ht="18.75" customHeight="1">
      <c r="A122" s="3760" t="str">
        <f>IF(项目基本情况!B9="房地产市场价值","",MID(E107,3,LEN(E107)-2))</f>
        <v/>
      </c>
      <c r="B122" s="3760"/>
      <c r="C122" s="3760"/>
      <c r="D122" s="3749" t="e">
        <f ca="1">H107</f>
        <v>#REF!</v>
      </c>
      <c r="E122" s="3750"/>
      <c r="F122" s="3750"/>
      <c r="G122" s="3750"/>
      <c r="H122" s="3750"/>
      <c r="I122" s="3751"/>
      <c r="AA122" s="725"/>
    </row>
    <row r="123" spans="1:27" ht="18.75" customHeight="1">
      <c r="A123" s="3748" t="s">
        <v>1452</v>
      </c>
      <c r="B123" s="3748"/>
      <c r="C123" s="3748"/>
      <c r="D123" s="3754" t="e">
        <f ca="1">NUMBERSTRING(INT(D122*10000),2)&amp;"元整"</f>
        <v>#REF!</v>
      </c>
      <c r="E123" s="3756"/>
      <c r="F123" s="3756"/>
      <c r="G123" s="3756"/>
      <c r="H123" s="3756"/>
      <c r="I123" s="3755"/>
      <c r="AA123" s="725"/>
    </row>
    <row r="124" spans="1:27" ht="18.75" customHeight="1">
      <c r="A124" s="3760" t="str">
        <f>IF(项目基本情况!B9="房地产市场价值","",MID(E109,3,LEN(E109)-2))</f>
        <v/>
      </c>
      <c r="B124" s="3760"/>
      <c r="C124" s="3760"/>
      <c r="D124" s="3749" t="str">
        <f>H109</f>
        <v>——</v>
      </c>
      <c r="E124" s="3750"/>
      <c r="F124" s="3750"/>
      <c r="G124" s="3750"/>
      <c r="H124" s="3750"/>
      <c r="I124" s="3751"/>
      <c r="AA124" s="725"/>
    </row>
    <row r="125" spans="1:27" ht="18.75" customHeight="1">
      <c r="A125" s="3748" t="s">
        <v>1452</v>
      </c>
      <c r="B125" s="3748"/>
      <c r="C125" s="3748"/>
      <c r="D125" s="3754" t="e">
        <f>NUMBERSTRING(INT(D124*10000),2)&amp;"元整"</f>
        <v>#VALUE!</v>
      </c>
      <c r="E125" s="3756"/>
      <c r="F125" s="3756"/>
      <c r="G125" s="3756"/>
      <c r="H125" s="3756"/>
      <c r="I125" s="3755"/>
      <c r="AA125" s="725"/>
    </row>
    <row r="126" spans="1:27" ht="18.75" customHeight="1">
      <c r="A126" s="3760" t="str">
        <f>IF(项目基本情况!B9="房地产市场价值","",MID(E111,3,LEN(E111)-2))</f>
        <v/>
      </c>
      <c r="B126" s="3760"/>
      <c r="C126" s="3760"/>
      <c r="D126" s="3749" t="str">
        <f>H111</f>
        <v>——</v>
      </c>
      <c r="E126" s="3750"/>
      <c r="F126" s="3750"/>
      <c r="G126" s="3750"/>
      <c r="H126" s="3750"/>
      <c r="I126" s="3751"/>
      <c r="AA126" s="725"/>
    </row>
    <row r="127" spans="1:27" ht="18.75" customHeight="1">
      <c r="A127" s="3748" t="s">
        <v>1452</v>
      </c>
      <c r="B127" s="3748"/>
      <c r="C127" s="3748"/>
      <c r="D127" s="3754" t="e">
        <f>NUMBERSTRING(INT(D126*10000),2)&amp;"元整"</f>
        <v>#VALUE!</v>
      </c>
      <c r="E127" s="3756"/>
      <c r="F127" s="3756"/>
      <c r="G127" s="3756"/>
      <c r="H127" s="3756"/>
      <c r="I127" s="3755"/>
      <c r="AA127" s="725"/>
    </row>
    <row r="128" spans="1:27" ht="21.75" customHeight="1">
      <c r="A128" s="3757" t="s">
        <v>1453</v>
      </c>
      <c r="B128" s="3757"/>
      <c r="C128" s="3757"/>
      <c r="D128" s="3757"/>
      <c r="E128" s="3757"/>
      <c r="F128" s="3757"/>
      <c r="G128" s="3757"/>
      <c r="H128" s="3757"/>
      <c r="I128" s="3757"/>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2392499</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2582267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1853022</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1853022</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185</v>
      </c>
      <c r="D10" s="845">
        <f ca="1">IF(B1="",'数据-汇总表'!E6,IF(INDIRECT("'数据-取费表'!c"&amp;$G$1)="住宅",INDIRECT("'数据-取费表'!s"&amp;$G$1),INDIRECT("'数据-取费表'!k"&amp;$G$1)+INDIRECT("'数据-取费表'!s"&amp;$G$1)))</f>
        <v>9265.11</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185</v>
      </c>
      <c r="D19" s="849">
        <f ca="1">D9+D10</f>
        <v>9265.11</v>
      </c>
      <c r="E19" s="211">
        <f>'数据-取费表'!B31</f>
        <v>200</v>
      </c>
      <c r="F19" s="231"/>
      <c r="G19" s="1856"/>
    </row>
    <row r="20" spans="1:7" s="214" customFormat="1" ht="13.5" customHeight="1">
      <c r="A20" s="255" t="s">
        <v>1493</v>
      </c>
      <c r="B20" s="210" t="s">
        <v>1494</v>
      </c>
      <c r="C20" s="232">
        <f ca="1">ROUND((C5+C19)*F20,0)</f>
        <v>18532</v>
      </c>
      <c r="D20" s="232"/>
      <c r="E20" s="232"/>
      <c r="F20" s="233">
        <f>'数据-取费表'!B37</f>
        <v>0.01</v>
      </c>
      <c r="G20" s="234" t="s">
        <v>1495</v>
      </c>
    </row>
    <row r="21" spans="1:7" s="214" customFormat="1" ht="13.5" customHeight="1">
      <c r="A21" s="255" t="s">
        <v>1496</v>
      </c>
      <c r="B21" s="210" t="s">
        <v>1497</v>
      </c>
      <c r="C21" s="235">
        <f>F21</f>
        <v>0.01</v>
      </c>
      <c r="D21" s="236" t="s">
        <v>1498</v>
      </c>
      <c r="E21" s="232"/>
      <c r="F21" s="233">
        <f>'数据-取费表'!B38</f>
        <v>0.01</v>
      </c>
      <c r="G21" s="234" t="s">
        <v>1499</v>
      </c>
    </row>
    <row r="22" spans="1:7" s="214" customFormat="1" ht="13.5" customHeight="1">
      <c r="A22" s="255" t="s">
        <v>1500</v>
      </c>
      <c r="B22" s="210" t="s">
        <v>1501</v>
      </c>
      <c r="C22" s="1104">
        <f ca="1">ROUND(SUM(C23:C25),0)</f>
        <v>81017</v>
      </c>
      <c r="D22" s="235">
        <f ca="1">C26</f>
        <v>2.0000000000000001E-4</v>
      </c>
      <c r="E22" s="236" t="s">
        <v>1498</v>
      </c>
      <c r="F22" s="237">
        <f ca="1">'数据-取费表'!B40</f>
        <v>4.3499999999999997E-2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80606</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8</v>
      </c>
      <c r="D24" s="238"/>
      <c r="E24" s="238"/>
      <c r="F24" s="239"/>
      <c r="G24" s="240" t="s">
        <v>1507</v>
      </c>
    </row>
    <row r="25" spans="1:7" s="214" customFormat="1" ht="24">
      <c r="A25" s="780" t="s">
        <v>1508</v>
      </c>
      <c r="B25" s="215" t="s">
        <v>1509</v>
      </c>
      <c r="C25" s="1105">
        <f ca="1">ROUND(IF('数据-取费表'!B22&lt;=1,C20*F22*'数据-取费表'!B23/2,C20*(POWER((1+F22),'数据-取费表'!B23/2)-1)),0)</f>
        <v>403</v>
      </c>
      <c r="D25" s="238"/>
      <c r="E25" s="241"/>
      <c r="F25" s="239"/>
      <c r="G25" s="242" t="s">
        <v>1510</v>
      </c>
    </row>
    <row r="26" spans="1:7" s="214" customFormat="1">
      <c r="A26" s="780" t="s">
        <v>350</v>
      </c>
      <c r="B26" s="215" t="s">
        <v>1511</v>
      </c>
      <c r="C26" s="238">
        <f ca="1">ROUND(IF('数据-取费表'!B22&lt;=1,F21*F22*'数据-取费表'!B23/2,F21*(POWER((1+F22),'数据-取费表'!B23/2)-1)),4)</f>
        <v>2.0000000000000001E-4</v>
      </c>
      <c r="D26" s="238"/>
      <c r="E26" s="241"/>
      <c r="F26" s="239"/>
      <c r="G26" s="243"/>
    </row>
    <row r="27" spans="1:7" s="214" customFormat="1" ht="24.75">
      <c r="A27" s="255" t="s">
        <v>1512</v>
      </c>
      <c r="B27" s="244" t="s">
        <v>1513</v>
      </c>
      <c r="C27" s="245">
        <f ca="1">C28</f>
        <v>280761</v>
      </c>
      <c r="D27" s="235">
        <f ca="1">C29</f>
        <v>1.5E-3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280761</v>
      </c>
      <c r="D28" s="235"/>
      <c r="E28" s="236"/>
      <c r="F28" s="246"/>
      <c r="G28" s="247"/>
    </row>
    <row r="29" spans="1:7" s="214" customFormat="1" ht="13.5" customHeight="1">
      <c r="A29" s="780" t="s">
        <v>347</v>
      </c>
      <c r="B29" s="248" t="s">
        <v>1517</v>
      </c>
      <c r="C29" s="238">
        <f ca="1">ROUND(C21*F27*'数据-取费表'!B21/'数据-取费表'!B20,4)</f>
        <v>1.5E-3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2388788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3574</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3243</v>
      </c>
      <c r="D34" s="217"/>
      <c r="E34" s="220"/>
      <c r="F34" s="257">
        <f ca="1">IF('数据-取费表'!B24=0,1,IF(B1="",'数据-取费表'!N16,INDIRECT("'数据-取费表'!n"&amp;$G$1)))</f>
        <v>1</v>
      </c>
      <c r="G34" s="219" t="s">
        <v>1526</v>
      </c>
    </row>
    <row r="35" spans="1:7" ht="13.5" customHeight="1">
      <c r="A35" s="780" t="s">
        <v>351</v>
      </c>
      <c r="B35" s="215" t="s">
        <v>1527</v>
      </c>
      <c r="C35" s="220">
        <f ca="1">ROUND(C34*F35,0)</f>
        <v>97</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185</v>
      </c>
      <c r="D37" s="217">
        <f ca="1">D19</f>
        <v>9265.11</v>
      </c>
      <c r="E37" s="249">
        <f>'数据-取费表'!B35</f>
        <v>200</v>
      </c>
      <c r="F37" s="259"/>
      <c r="G37" s="261" t="s">
        <v>1532</v>
      </c>
    </row>
    <row r="38" spans="1:7" ht="13.5" customHeight="1">
      <c r="A38" s="780" t="s">
        <v>354</v>
      </c>
      <c r="B38" s="215" t="s">
        <v>1533</v>
      </c>
      <c r="C38" s="220">
        <f ca="1">ROUND(C34*F38,0)</f>
        <v>49</v>
      </c>
      <c r="D38" s="220"/>
      <c r="E38" s="220"/>
      <c r="F38" s="259">
        <f>'数据-取费表'!B36</f>
        <v>1.4999999999999999E-2</v>
      </c>
      <c r="G38" s="219" t="s">
        <v>1528</v>
      </c>
    </row>
    <row r="39" spans="1:7" s="214" customFormat="1" ht="13.5" customHeight="1">
      <c r="A39" s="255" t="s">
        <v>1534</v>
      </c>
      <c r="B39" s="210" t="s">
        <v>1535</v>
      </c>
      <c r="C39" s="232">
        <f ca="1">ROUND(C33*F20,0)</f>
        <v>36</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79</v>
      </c>
      <c r="D41" s="235">
        <f ca="1">C44</f>
        <v>2.0000000000000001E-4</v>
      </c>
      <c r="E41" s="236" t="s">
        <v>1539</v>
      </c>
      <c r="F41" s="237">
        <f ca="1">F22</f>
        <v>4.3499999999999997E-2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78</v>
      </c>
      <c r="D42" s="238"/>
      <c r="E42" s="238"/>
      <c r="F42" s="239"/>
      <c r="G42" s="3826" t="s">
        <v>1544</v>
      </c>
    </row>
    <row r="43" spans="1:7" ht="13.5" customHeight="1">
      <c r="A43" s="780" t="s">
        <v>347</v>
      </c>
      <c r="B43" s="215" t="s">
        <v>1545</v>
      </c>
      <c r="C43" s="238">
        <f ca="1">ROUND(IF('数据-取费表'!B22&lt;=1,C39*F22*'数据-取费表'!B21/2,C39*(POWER((1+F22),'数据-取费表'!B21/2)-1)),0)</f>
        <v>1</v>
      </c>
      <c r="D43" s="238"/>
      <c r="E43" s="238"/>
      <c r="F43" s="239"/>
      <c r="G43" s="3827"/>
    </row>
    <row r="44" spans="1:7" ht="13.5" customHeight="1">
      <c r="A44" s="780" t="s">
        <v>348</v>
      </c>
      <c r="B44" s="215" t="s">
        <v>1546</v>
      </c>
      <c r="C44" s="238">
        <f ca="1">ROUND(IF('数据-取费表'!B22&lt;=1,C40*F22*'数据-取费表'!B21/2,C40*(POWER((1+F22),'数据-取费表'!B21/2)-1)),4)</f>
        <v>2.0000000000000001E-4</v>
      </c>
      <c r="D44" s="238"/>
      <c r="E44" s="238"/>
      <c r="F44" s="239"/>
      <c r="G44" s="3828"/>
    </row>
    <row r="45" spans="1:7" s="214" customFormat="1" ht="13.5" customHeight="1">
      <c r="A45" s="255" t="s">
        <v>1547</v>
      </c>
      <c r="B45" s="244" t="s">
        <v>1513</v>
      </c>
      <c r="C45" s="245">
        <f ca="1">C46</f>
        <v>542</v>
      </c>
      <c r="D45" s="235">
        <f ca="1">C47</f>
        <v>1.5E-3</v>
      </c>
      <c r="E45" s="236" t="s">
        <v>1539</v>
      </c>
      <c r="F45" s="246">
        <f ca="1">F27</f>
        <v>0.15</v>
      </c>
      <c r="G45" s="247" t="s">
        <v>1548</v>
      </c>
    </row>
    <row r="46" spans="1:7" s="214" customFormat="1" ht="13.5" customHeight="1">
      <c r="A46" s="780" t="s">
        <v>346</v>
      </c>
      <c r="B46" s="248" t="s">
        <v>1549</v>
      </c>
      <c r="C46" s="249">
        <f ca="1">ROUND((C33+C39)*F27,0)</f>
        <v>542</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4525</v>
      </c>
      <c r="D49" s="232"/>
      <c r="E49" s="232"/>
      <c r="F49" s="264"/>
      <c r="G49" s="234" t="s">
        <v>1554</v>
      </c>
    </row>
    <row r="50" spans="1:7" s="258" customFormat="1" ht="24">
      <c r="A50" s="255" t="s">
        <v>1555</v>
      </c>
      <c r="B50" s="210" t="s">
        <v>1556</v>
      </c>
      <c r="C50" s="232"/>
      <c r="D50" s="232"/>
      <c r="E50" s="232"/>
      <c r="F50" s="264">
        <f>IF('数据-取费表'!B24=0,'数据-取费表'!N16,1)</f>
        <v>0.82</v>
      </c>
      <c r="G50" s="247" t="s">
        <v>1557</v>
      </c>
    </row>
    <row r="51" spans="1:7" ht="16.5" customHeight="1">
      <c r="A51" s="255" t="s">
        <v>1558</v>
      </c>
      <c r="B51" s="210" t="s">
        <v>1559</v>
      </c>
      <c r="C51" s="232">
        <f ca="1">ROUND(C49*F50,0)</f>
        <v>3711</v>
      </c>
      <c r="D51" s="232"/>
      <c r="E51" s="232"/>
      <c r="F51" s="264"/>
      <c r="G51" s="234" t="s">
        <v>1560</v>
      </c>
    </row>
    <row r="52" spans="1:7" s="208" customFormat="1" ht="16.5" thickBot="1">
      <c r="A52" s="265" t="s">
        <v>1561</v>
      </c>
      <c r="B52" s="266"/>
      <c r="C52" s="267">
        <f ca="1">C31+C51</f>
        <v>2392499</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2091419</v>
      </c>
      <c r="C2" s="276" t="s">
        <v>1595</v>
      </c>
      <c r="D2" s="276"/>
      <c r="E2" s="2806"/>
      <c r="F2" s="2806"/>
      <c r="G2" s="2806"/>
      <c r="H2" s="2806"/>
      <c r="I2" s="2806"/>
      <c r="J2" s="2806"/>
      <c r="K2" s="2806"/>
    </row>
    <row r="3" spans="1:33" ht="18" customHeight="1" thickBot="1">
      <c r="A3" s="203" t="s">
        <v>1464</v>
      </c>
      <c r="B3" s="204">
        <f ca="1">ROUND(B2*10000/IF(C1="",'数据-汇总表'!E3,INDIRECT("'数据-取费表'!K"&amp;$K$1)),0)</f>
        <v>2257306</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9265.11</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9265.11</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-1852837</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185</v>
      </c>
      <c r="D20" s="846">
        <f ca="1">IF(C1="",'数据-汇总表'!E6,IF(INDIRECT("'数据-取费表'!c"&amp;$K$1)="住宅",INDIRECT("'数据-取费表'!s"&amp;$K$1),INDIRECT("'数据-取费表'!k"&amp;$K$1)+INDIRECT("'数据-取费表'!s"&amp;$K$1)))</f>
        <v>9265.11</v>
      </c>
      <c r="E20" s="21">
        <f>'数据-取费表'!B28</f>
        <v>200</v>
      </c>
      <c r="F20" s="804"/>
      <c r="G20" s="12"/>
      <c r="H20" s="809"/>
      <c r="I20" s="809"/>
      <c r="J20" s="809"/>
      <c r="K20" s="810"/>
    </row>
    <row r="21" spans="1:33" s="803" customFormat="1" ht="13.5" customHeight="1">
      <c r="A21" s="790" t="s">
        <v>357</v>
      </c>
      <c r="B21" s="813" t="s">
        <v>1628</v>
      </c>
      <c r="C21" s="814">
        <f ca="1">C16+C17+C18</f>
        <v>-1852837</v>
      </c>
      <c r="D21" s="815"/>
      <c r="E21" s="281"/>
      <c r="F21" s="281"/>
      <c r="G21" s="131" t="s">
        <v>1629</v>
      </c>
      <c r="H21" s="807"/>
      <c r="I21" s="807"/>
      <c r="J21" s="807"/>
      <c r="K21" s="808"/>
    </row>
    <row r="22" spans="1:33" s="803" customFormat="1" ht="13.5" customHeight="1">
      <c r="A22" s="790" t="s">
        <v>1601</v>
      </c>
      <c r="B22" s="813" t="s">
        <v>1630</v>
      </c>
      <c r="C22" s="814">
        <f ca="1">ROUND(C21*F22,0)</f>
        <v>-18528</v>
      </c>
      <c r="D22" s="281"/>
      <c r="E22" s="281"/>
      <c r="F22" s="816">
        <f>'数据-取费表'!B37</f>
        <v>0.01</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0.01</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4.3499999999999997E-2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-280705</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-280705</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2091419</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831" t="s">
        <v>694</v>
      </c>
      <c r="C6" s="1074">
        <f ca="1">ROUND(F6*F8*F7*(1-F9)/10000,0)</f>
        <v>0</v>
      </c>
      <c r="D6" s="155" t="s">
        <v>2107</v>
      </c>
      <c r="E6" s="302" t="s">
        <v>696</v>
      </c>
      <c r="F6" s="303">
        <f ca="1">INDIRECT("'数据-取费表'!u"&amp;$G$1)</f>
        <v>0</v>
      </c>
      <c r="G6" s="1384"/>
      <c r="H6" s="1069" t="s">
        <v>398</v>
      </c>
      <c r="I6" s="3831" t="s">
        <v>694</v>
      </c>
      <c r="J6" s="301">
        <f ca="1">ROUND(M6*M8*M7*(1-M9)/10000,0)</f>
        <v>0</v>
      </c>
      <c r="K6" s="155" t="s">
        <v>2106</v>
      </c>
      <c r="L6" s="302" t="s">
        <v>696</v>
      </c>
      <c r="M6" s="303">
        <f ca="1">INDIRECT("'数据-取费表'!z"&amp;$G$1)</f>
        <v>0</v>
      </c>
    </row>
    <row r="7" spans="1:37" ht="18" customHeight="1">
      <c r="A7" s="1073"/>
      <c r="B7" s="3832"/>
      <c r="C7" s="1075"/>
      <c r="D7" s="307"/>
      <c r="E7" s="1076" t="s">
        <v>697</v>
      </c>
      <c r="F7" s="303">
        <f ca="1">IF(INDIRECT("'数据-取费表'!ah"&amp;$G$1)="",INDIRECT("'数据-取费表'!k"&amp;$G$1),INDIRECT("'数据-取费表'!ah"&amp;$G$1))</f>
        <v>0</v>
      </c>
      <c r="G7" s="1384"/>
      <c r="H7" s="304"/>
      <c r="I7" s="3832"/>
      <c r="J7" s="306"/>
      <c r="K7" s="307"/>
      <c r="L7" s="302" t="s">
        <v>697</v>
      </c>
      <c r="M7" s="303">
        <f ca="1">F7</f>
        <v>0</v>
      </c>
    </row>
    <row r="8" spans="1:37" ht="18" customHeight="1">
      <c r="A8" s="304"/>
      <c r="B8" s="3832"/>
      <c r="C8" s="306"/>
      <c r="D8" s="307"/>
      <c r="E8" s="302" t="s">
        <v>698</v>
      </c>
      <c r="F8" s="303">
        <f ca="1">INDIRECT("'数据-取费表'!ai"&amp;$G$1)</f>
        <v>0</v>
      </c>
      <c r="G8" s="1384"/>
      <c r="H8" s="304"/>
      <c r="I8" s="3832"/>
      <c r="J8" s="306"/>
      <c r="K8" s="307"/>
      <c r="L8" s="302" t="s">
        <v>698</v>
      </c>
      <c r="M8" s="303">
        <f ca="1">INDIRECT("'数据-取费表'!ai"&amp;$G$1)</f>
        <v>0</v>
      </c>
    </row>
    <row r="9" spans="1:37" ht="18" customHeight="1">
      <c r="A9" s="304"/>
      <c r="B9" s="3833"/>
      <c r="C9" s="306"/>
      <c r="D9" s="307"/>
      <c r="E9" s="302" t="s">
        <v>699</v>
      </c>
      <c r="F9" s="312">
        <f ca="1">INDIRECT("'数据-取费表'!w"&amp;$G$1)</f>
        <v>0</v>
      </c>
      <c r="G9" s="1384"/>
      <c r="H9" s="304"/>
      <c r="I9" s="383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2115</v>
      </c>
      <c r="E10" s="313" t="s">
        <v>701</v>
      </c>
      <c r="F10" s="1116"/>
      <c r="G10" s="1384"/>
      <c r="H10" s="1069" t="s">
        <v>402</v>
      </c>
      <c r="I10" s="1365" t="s">
        <v>700</v>
      </c>
      <c r="J10" s="301">
        <f ca="1">ROUND(IF(M10="押一",J6/12*M11,IF(M10="押二",J6/12*2*M11,IF(M10="押三",J6/12*3*M11,J11*M11))),0)</f>
        <v>0</v>
      </c>
      <c r="K10" s="1366" t="s">
        <v>2114</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3336</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2.0000000000000001E-4</v>
      </c>
      <c r="D24" s="329" t="str">
        <f>IF(F23&lt;=1,"销售费用×利率×(建设周期÷2)","销售费用×((1+利率)^(建设周期÷2)-1)")</f>
        <v>销售费用×利率×(建设周期÷2)</v>
      </c>
      <c r="E24" s="302" t="s">
        <v>747</v>
      </c>
      <c r="F24" s="331">
        <f ca="1">'数据-取费表'!B40</f>
        <v>4.3499999999999997E-2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8" t="s">
        <v>2306</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3336</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2108</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2114</v>
      </c>
      <c r="E53" s="313" t="s">
        <v>701</v>
      </c>
      <c r="F53" s="1116"/>
      <c r="I53" s="1439" t="s">
        <v>836</v>
      </c>
      <c r="J53" s="2168">
        <f ca="1">IF(M47="住宅",IF(D1="——",MAX(J51,L48),MAX(J51,L48-'数据-取费表'!B24)),IF(D1="——",MIN(J51,L48),MIN(J51,L48-'数据-取费表'!B24)))</f>
        <v>0</v>
      </c>
      <c r="K53" s="3829" t="s">
        <v>837</v>
      </c>
      <c r="L53" s="3830"/>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831" t="s">
        <v>694</v>
      </c>
      <c r="C6" s="1074">
        <f ca="1">ROUND(F6*F8*F7*(1-F9),0)</f>
        <v>0</v>
      </c>
      <c r="D6" s="155" t="s">
        <v>2104</v>
      </c>
      <c r="E6" s="302" t="s">
        <v>696</v>
      </c>
      <c r="F6" s="303">
        <f ca="1">INDIRECT("'数据-取费表'!u"&amp;$G$1)</f>
        <v>0</v>
      </c>
      <c r="G6" s="1384"/>
      <c r="H6" s="1069" t="s">
        <v>398</v>
      </c>
      <c r="I6" s="3831" t="s">
        <v>694</v>
      </c>
      <c r="J6" s="301">
        <f ca="1">ROUND(M6*M8*M7*(1-M9),0)</f>
        <v>0</v>
      </c>
      <c r="K6" s="1376" t="s">
        <v>2105</v>
      </c>
      <c r="L6" s="302" t="s">
        <v>696</v>
      </c>
      <c r="M6" s="303">
        <f ca="1">INDIRECT("'数据-取费表'!z"&amp;$G$1)</f>
        <v>0</v>
      </c>
    </row>
    <row r="7" spans="1:37" ht="18" customHeight="1">
      <c r="A7" s="1073"/>
      <c r="B7" s="3832"/>
      <c r="C7" s="1075"/>
      <c r="D7" s="307"/>
      <c r="E7" s="1076" t="s">
        <v>697</v>
      </c>
      <c r="F7" s="303">
        <f ca="1">IF(INDIRECT("'数据-取费表'!ah"&amp;$G$1)="",INDIRECT("'数据-取费表'!k"&amp;$G$1),INDIRECT("'数据-取费表'!ah"&amp;$G$1))</f>
        <v>0</v>
      </c>
      <c r="G7" s="1384"/>
      <c r="H7" s="304"/>
      <c r="I7" s="3832"/>
      <c r="J7" s="306"/>
      <c r="K7" s="307"/>
      <c r="L7" s="302" t="s">
        <v>697</v>
      </c>
      <c r="M7" s="303">
        <f ca="1">F7</f>
        <v>0</v>
      </c>
    </row>
    <row r="8" spans="1:37" ht="18" customHeight="1">
      <c r="A8" s="304"/>
      <c r="B8" s="3832"/>
      <c r="C8" s="306"/>
      <c r="D8" s="307"/>
      <c r="E8" s="302" t="s">
        <v>698</v>
      </c>
      <c r="F8" s="303">
        <f ca="1">INDIRECT("'数据-取费表'!ai"&amp;$G$1)</f>
        <v>0</v>
      </c>
      <c r="G8" s="1384"/>
      <c r="H8" s="304"/>
      <c r="I8" s="3832"/>
      <c r="J8" s="306"/>
      <c r="K8" s="307"/>
      <c r="L8" s="302" t="s">
        <v>698</v>
      </c>
      <c r="M8" s="303">
        <f ca="1">INDIRECT("'数据-取费表'!ai"&amp;$G$1)</f>
        <v>0</v>
      </c>
    </row>
    <row r="9" spans="1:37" ht="18" customHeight="1">
      <c r="A9" s="304"/>
      <c r="B9" s="3833"/>
      <c r="C9" s="306"/>
      <c r="D9" s="307"/>
      <c r="E9" s="302" t="s">
        <v>699</v>
      </c>
      <c r="F9" s="312">
        <f ca="1">INDIRECT("'数据-取费表'!w"&amp;$G$1)</f>
        <v>0</v>
      </c>
      <c r="G9" s="1384"/>
      <c r="H9" s="304"/>
      <c r="I9" s="383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2114</v>
      </c>
      <c r="E10" s="313" t="s">
        <v>701</v>
      </c>
      <c r="F10" s="1116"/>
      <c r="G10" s="1384"/>
      <c r="H10" s="1069" t="s">
        <v>402</v>
      </c>
      <c r="I10" s="1365" t="s">
        <v>700</v>
      </c>
      <c r="J10" s="301">
        <f ca="1">ROUND(IF(M10="押一",J6/12*M11,IF(M10="押二",J6/12*2*M11,IF(M10="押三",J6/12*3*M11,J11*M11))),0)</f>
        <v>0</v>
      </c>
      <c r="K10" s="1377" t="s">
        <v>2116</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3336</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2.0000000000000001E-4</v>
      </c>
      <c r="D24" s="329" t="str">
        <f>IF(F23&lt;=1,"销售费用×利率×(建设周期÷2)","销售费用×((1+利率)^(建设周期÷2)-1)")</f>
        <v>销售费用×利率×(建设周期÷2)</v>
      </c>
      <c r="E24" s="302" t="s">
        <v>747</v>
      </c>
      <c r="F24" s="331">
        <f ca="1">'数据-取费表'!B40</f>
        <v>4.3499999999999997E-2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2306</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3336</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3352</v>
      </c>
      <c r="B45" s="1400"/>
      <c r="C45" s="1472" t="e">
        <f ca="1">ROUND((C68-C40)/10000,4)</f>
        <v>#DIV/0!</v>
      </c>
      <c r="D45" s="3432" t="s">
        <v>3353</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2117</v>
      </c>
      <c r="E53" s="313" t="s">
        <v>701</v>
      </c>
      <c r="F53" s="1116"/>
      <c r="I53" s="1439" t="s">
        <v>836</v>
      </c>
      <c r="J53" s="2168">
        <f ca="1">IF(M47="住宅",IF(D1="——",MAX(J51,L48),MAX(J51,L48-'数据-取费表'!B24)),IF(D1="——",MIN(J51,L48),MIN(J51,L48-'数据-取费表'!B24)))</f>
        <v>0</v>
      </c>
      <c r="K53" s="3829" t="s">
        <v>837</v>
      </c>
      <c r="L53" s="3830"/>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2434</v>
      </c>
      <c r="B1" s="2832"/>
      <c r="C1" s="2844"/>
      <c r="D1" s="2844"/>
      <c r="E1" s="2833"/>
      <c r="F1" s="2834"/>
      <c r="G1" s="2835"/>
      <c r="J1" s="2838" t="s">
        <v>2313</v>
      </c>
      <c r="K1" s="2839"/>
      <c r="L1" s="2839"/>
      <c r="M1" s="2839"/>
      <c r="N1" s="2839"/>
      <c r="O1" s="2839"/>
      <c r="P1" s="2839"/>
      <c r="Q1" s="2839"/>
      <c r="R1" s="2840"/>
      <c r="S1" s="2841"/>
      <c r="T1" s="2841"/>
      <c r="U1" s="2841"/>
    </row>
    <row r="2" spans="1:22" s="2853" customFormat="1" ht="13.15" customHeight="1">
      <c r="A2" s="1385" t="s">
        <v>2314</v>
      </c>
      <c r="B2" s="2843" t="e">
        <f>IF(D2="——",C40,C40+E2)</f>
        <v>#DIV/0!</v>
      </c>
      <c r="C2" s="2844" t="s">
        <v>2315</v>
      </c>
      <c r="D2" s="3443" t="s">
        <v>3359</v>
      </c>
      <c r="E2" s="3444"/>
      <c r="F2" s="2846"/>
      <c r="G2" s="2847"/>
      <c r="H2" s="2848"/>
      <c r="I2" s="2849"/>
      <c r="J2" s="3834" t="s">
        <v>2316</v>
      </c>
      <c r="K2" s="3835"/>
      <c r="L2" s="2850" t="s">
        <v>2317</v>
      </c>
      <c r="M2" s="2850" t="s">
        <v>2318</v>
      </c>
      <c r="N2" s="2850" t="s">
        <v>2319</v>
      </c>
      <c r="O2" s="2850" t="s">
        <v>2320</v>
      </c>
      <c r="P2" s="2850" t="s">
        <v>2321</v>
      </c>
      <c r="Q2" s="2851" t="s">
        <v>2322</v>
      </c>
      <c r="R2" s="2852" t="s">
        <v>2323</v>
      </c>
      <c r="S2" s="2841"/>
      <c r="T2" s="2841"/>
      <c r="U2" s="2841"/>
      <c r="V2" s="2849"/>
    </row>
    <row r="3" spans="1:22" s="2853" customFormat="1" ht="13.15" customHeight="1">
      <c r="A3" s="2854" t="s">
        <v>2324</v>
      </c>
      <c r="B3" s="2855" t="e">
        <f>ROUND(B2*10000/B4,0)</f>
        <v>#DIV/0!</v>
      </c>
      <c r="C3" s="2844" t="s">
        <v>2325</v>
      </c>
      <c r="D3" s="2844"/>
      <c r="E3" s="2845"/>
      <c r="F3" s="2846"/>
      <c r="G3" s="2847"/>
      <c r="H3" s="2848"/>
      <c r="I3" s="2849"/>
      <c r="J3" s="3836" t="s">
        <v>2326</v>
      </c>
      <c r="K3" s="3837"/>
      <c r="L3" s="2856"/>
      <c r="M3" s="2856"/>
      <c r="N3" s="2856"/>
      <c r="O3" s="2856"/>
      <c r="P3" s="2856"/>
      <c r="Q3" s="2857"/>
      <c r="R3" s="2858">
        <f>SUM(L3:Q3)</f>
        <v>0</v>
      </c>
      <c r="S3" s="2841"/>
      <c r="T3" s="2841"/>
      <c r="U3" s="2841"/>
      <c r="V3" s="2849"/>
    </row>
    <row r="4" spans="1:22" s="2853" customFormat="1" ht="13.15" customHeight="1">
      <c r="A4" s="2859" t="s">
        <v>2327</v>
      </c>
      <c r="B4" s="2860"/>
      <c r="C4" s="2844"/>
      <c r="D4" s="2844"/>
      <c r="E4" s="2845"/>
      <c r="F4" s="2846"/>
      <c r="G4" s="2847"/>
      <c r="H4" s="2848"/>
      <c r="I4" s="2849"/>
      <c r="J4" s="3836" t="s">
        <v>2328</v>
      </c>
      <c r="K4" s="3837"/>
      <c r="L4" s="2861"/>
      <c r="M4" s="2861"/>
      <c r="N4" s="2861"/>
      <c r="O4" s="2861"/>
      <c r="P4" s="2861"/>
      <c r="Q4" s="2862"/>
      <c r="R4" s="2863">
        <f>SUM(L4:Q4)</f>
        <v>0</v>
      </c>
      <c r="S4" s="2841"/>
      <c r="T4" s="2841"/>
      <c r="U4" s="2841"/>
      <c r="V4" s="2849"/>
    </row>
    <row r="5" spans="1:22" s="2853" customFormat="1" ht="13.15" customHeight="1" thickBot="1">
      <c r="A5" s="2864" t="s">
        <v>2329</v>
      </c>
      <c r="B5" s="2865"/>
      <c r="C5" s="2844"/>
      <c r="D5" s="2866"/>
      <c r="E5" s="2846"/>
      <c r="F5" s="2846"/>
      <c r="G5" s="2847"/>
      <c r="H5" s="2848"/>
      <c r="I5" s="2849"/>
      <c r="J5" s="2867" t="s">
        <v>2330</v>
      </c>
      <c r="K5" s="2868"/>
      <c r="L5" s="2868"/>
      <c r="M5" s="2869"/>
      <c r="N5" s="2869"/>
      <c r="O5" s="2869"/>
      <c r="P5" s="2869"/>
      <c r="Q5" s="2869"/>
      <c r="R5" s="2852">
        <f>SUM(R14,R19,R24,R25,R27,R28)</f>
        <v>0</v>
      </c>
      <c r="S5" s="2841"/>
      <c r="T5" s="2841" t="s">
        <v>2331</v>
      </c>
      <c r="U5" s="2841" t="e">
        <f>ROUND(R5*10000/365/R3,1)</f>
        <v>#DIV/0!</v>
      </c>
      <c r="V5" s="2849"/>
    </row>
    <row r="6" spans="1:22" s="2853" customFormat="1" ht="13.15" customHeight="1" thickBot="1">
      <c r="A6" s="3838" t="s">
        <v>2332</v>
      </c>
      <c r="B6" s="3839"/>
      <c r="C6" s="3840"/>
      <c r="D6" s="2870"/>
      <c r="E6" s="2871"/>
      <c r="F6" s="2872"/>
      <c r="G6" s="2873"/>
      <c r="H6" s="2848"/>
      <c r="I6" s="2849"/>
      <c r="J6" s="3841">
        <v>1</v>
      </c>
      <c r="K6" s="3842" t="s">
        <v>2333</v>
      </c>
      <c r="L6" s="2874" t="s">
        <v>2334</v>
      </c>
      <c r="M6" s="2875" t="s">
        <v>2335</v>
      </c>
      <c r="N6" s="2875" t="s">
        <v>2336</v>
      </c>
      <c r="O6" s="2875" t="s">
        <v>2337</v>
      </c>
      <c r="P6" s="2875" t="s">
        <v>2338</v>
      </c>
      <c r="Q6" s="2875" t="s">
        <v>2339</v>
      </c>
      <c r="R6" s="2858" t="s">
        <v>2340</v>
      </c>
      <c r="S6" s="2841"/>
      <c r="T6" s="2841" t="s">
        <v>2341</v>
      </c>
      <c r="U6" s="2841"/>
      <c r="V6" s="2849"/>
    </row>
    <row r="7" spans="1:22" s="2853" customFormat="1" ht="13.15" customHeight="1">
      <c r="A7" s="2876" t="s">
        <v>2342</v>
      </c>
      <c r="B7" s="2877"/>
      <c r="C7" s="2878"/>
      <c r="D7" s="2879">
        <f>SUM(D9,D10,D11,D17,0)</f>
        <v>0</v>
      </c>
      <c r="E7" s="2880" t="e">
        <f>E9+E10+E11+E17</f>
        <v>#DIV/0!</v>
      </c>
      <c r="F7" s="2881"/>
      <c r="G7" s="2882"/>
      <c r="H7" s="2848"/>
      <c r="I7" s="2849"/>
      <c r="J7" s="3841"/>
      <c r="K7" s="3843"/>
      <c r="L7" s="2883" t="s">
        <v>2343</v>
      </c>
      <c r="M7" s="2884"/>
      <c r="N7" s="2860"/>
      <c r="O7" s="2885"/>
      <c r="P7" s="2885"/>
      <c r="Q7" s="2886">
        <v>365</v>
      </c>
      <c r="R7" s="2887">
        <f>ROUND(M7*N7*O7*P7*Q7/10000,0)</f>
        <v>0</v>
      </c>
      <c r="S7" s="2841"/>
      <c r="T7" s="2841" t="s">
        <v>2344</v>
      </c>
      <c r="U7" s="2841"/>
      <c r="V7" s="2849"/>
    </row>
    <row r="8" spans="1:22" s="2853" customFormat="1" ht="13.15" customHeight="1">
      <c r="A8" s="2888" t="s">
        <v>2345</v>
      </c>
      <c r="B8" s="3845" t="s">
        <v>2346</v>
      </c>
      <c r="C8" s="3846"/>
      <c r="D8" s="2889" t="s">
        <v>2347</v>
      </c>
      <c r="E8" s="2890" t="s">
        <v>2348</v>
      </c>
      <c r="F8" s="2891" t="s">
        <v>2349</v>
      </c>
      <c r="G8" s="2892"/>
      <c r="H8" s="2848"/>
      <c r="I8" s="2849"/>
      <c r="J8" s="3841"/>
      <c r="K8" s="3843"/>
      <c r="L8" s="2883" t="s">
        <v>2350</v>
      </c>
      <c r="M8" s="2884"/>
      <c r="N8" s="2860"/>
      <c r="O8" s="2885"/>
      <c r="P8" s="2885"/>
      <c r="Q8" s="2886">
        <v>365</v>
      </c>
      <c r="R8" s="2887">
        <f t="shared" ref="R8:R13" si="0">ROUND(M8*N8*O8*P8*Q8/10000,0)</f>
        <v>0</v>
      </c>
      <c r="S8" s="2841"/>
      <c r="T8" s="2841" t="s">
        <v>2351</v>
      </c>
      <c r="U8" s="2841"/>
      <c r="V8" s="2849"/>
    </row>
    <row r="9" spans="1:22" s="2853" customFormat="1" ht="13.15" customHeight="1">
      <c r="A9" s="2888">
        <v>1</v>
      </c>
      <c r="B9" s="3845" t="s">
        <v>2352</v>
      </c>
      <c r="C9" s="3846"/>
      <c r="D9" s="2889">
        <f>ROUND(D6*E9,0)</f>
        <v>0</v>
      </c>
      <c r="E9" s="2893"/>
      <c r="F9" s="2894" t="s">
        <v>2353</v>
      </c>
      <c r="G9" s="2873"/>
      <c r="H9" s="2848"/>
      <c r="I9" s="2849"/>
      <c r="J9" s="3841"/>
      <c r="K9" s="3843"/>
      <c r="L9" s="2883" t="s">
        <v>2354</v>
      </c>
      <c r="M9" s="2884"/>
      <c r="N9" s="2860"/>
      <c r="O9" s="2885"/>
      <c r="P9" s="2885"/>
      <c r="Q9" s="2886">
        <v>365</v>
      </c>
      <c r="R9" s="2887">
        <f t="shared" si="0"/>
        <v>0</v>
      </c>
      <c r="S9" s="2841"/>
      <c r="T9" s="2841"/>
      <c r="U9" s="2841"/>
      <c r="V9" s="2849"/>
    </row>
    <row r="10" spans="1:22" s="2853" customFormat="1" ht="13.15" customHeight="1">
      <c r="A10" s="2888">
        <v>2</v>
      </c>
      <c r="B10" s="3845" t="s">
        <v>2355</v>
      </c>
      <c r="C10" s="3846"/>
      <c r="D10" s="2889">
        <f>ROUND(D6*E10,0)</f>
        <v>0</v>
      </c>
      <c r="E10" s="2893"/>
      <c r="F10" s="2894" t="s">
        <v>2356</v>
      </c>
      <c r="G10" s="2873"/>
      <c r="H10" s="2848"/>
      <c r="I10" s="2849"/>
      <c r="J10" s="3841"/>
      <c r="K10" s="3843"/>
      <c r="L10" s="2883" t="s">
        <v>2357</v>
      </c>
      <c r="M10" s="2884"/>
      <c r="N10" s="2860"/>
      <c r="O10" s="2885"/>
      <c r="P10" s="2885"/>
      <c r="Q10" s="2886">
        <v>365</v>
      </c>
      <c r="R10" s="2887">
        <f t="shared" si="0"/>
        <v>0</v>
      </c>
      <c r="S10" s="2841"/>
      <c r="T10" s="2841"/>
      <c r="U10" s="2841"/>
      <c r="V10" s="2849"/>
    </row>
    <row r="11" spans="1:22" s="2853" customFormat="1" ht="13.15" customHeight="1">
      <c r="A11" s="2888">
        <v>3</v>
      </c>
      <c r="B11" s="3845" t="s">
        <v>2358</v>
      </c>
      <c r="C11" s="3846"/>
      <c r="D11" s="2889">
        <f>D12+D14+D15+D16</f>
        <v>0</v>
      </c>
      <c r="E11" s="2895" t="e">
        <f>D11/D6</f>
        <v>#DIV/0!</v>
      </c>
      <c r="F11" s="2891"/>
      <c r="G11" s="2892"/>
      <c r="H11" s="2848"/>
      <c r="I11" s="2849"/>
      <c r="J11" s="3841"/>
      <c r="K11" s="3843"/>
      <c r="L11" s="2883" t="s">
        <v>2359</v>
      </c>
      <c r="M11" s="2884"/>
      <c r="N11" s="2860"/>
      <c r="O11" s="2885"/>
      <c r="P11" s="2885"/>
      <c r="Q11" s="2886">
        <v>365</v>
      </c>
      <c r="R11" s="2887">
        <f t="shared" si="0"/>
        <v>0</v>
      </c>
      <c r="S11" s="2841"/>
      <c r="T11" s="2841"/>
      <c r="U11" s="2841"/>
      <c r="V11" s="2849"/>
    </row>
    <row r="12" spans="1:22" s="2853" customFormat="1" ht="13.15" customHeight="1">
      <c r="A12" s="2896" t="s">
        <v>2360</v>
      </c>
      <c r="B12" s="3847" t="s">
        <v>2361</v>
      </c>
      <c r="C12" s="3848"/>
      <c r="D12" s="2897">
        <f>ROUND(D13*1.2%*(1-30%),0)</f>
        <v>0</v>
      </c>
      <c r="E12" s="2898">
        <v>1.2E-2</v>
      </c>
      <c r="F12" s="2891" t="s">
        <v>2362</v>
      </c>
      <c r="G12" s="2892"/>
      <c r="H12" s="2848"/>
      <c r="I12" s="2849"/>
      <c r="J12" s="3841"/>
      <c r="K12" s="3843"/>
      <c r="L12" s="2883" t="s">
        <v>2363</v>
      </c>
      <c r="M12" s="2884"/>
      <c r="N12" s="2860"/>
      <c r="O12" s="2885"/>
      <c r="P12" s="2885"/>
      <c r="Q12" s="2886">
        <v>365</v>
      </c>
      <c r="R12" s="2887">
        <f t="shared" si="0"/>
        <v>0</v>
      </c>
      <c r="S12" s="2841"/>
      <c r="T12" s="2841"/>
      <c r="U12" s="2841"/>
      <c r="V12" s="2849"/>
    </row>
    <row r="13" spans="1:22" s="2853" customFormat="1" ht="13.15" customHeight="1">
      <c r="A13" s="2896"/>
      <c r="B13" s="2899"/>
      <c r="C13" s="2900" t="s">
        <v>2364</v>
      </c>
      <c r="D13" s="2901"/>
      <c r="E13" s="2902"/>
      <c r="F13" s="2891"/>
      <c r="G13" s="2892"/>
      <c r="H13" s="2848"/>
      <c r="I13" s="2849"/>
      <c r="J13" s="3841"/>
      <c r="K13" s="3843"/>
      <c r="L13" s="2883" t="s">
        <v>2365</v>
      </c>
      <c r="M13" s="2884"/>
      <c r="N13" s="2860"/>
      <c r="O13" s="2885"/>
      <c r="P13" s="2885"/>
      <c r="Q13" s="2886">
        <v>365</v>
      </c>
      <c r="R13" s="2887">
        <f t="shared" si="0"/>
        <v>0</v>
      </c>
      <c r="S13" s="2841"/>
      <c r="T13" s="2841"/>
      <c r="U13" s="2841"/>
      <c r="V13" s="2849"/>
    </row>
    <row r="14" spans="1:22" s="2853" customFormat="1" ht="13.15" customHeight="1">
      <c r="A14" s="2896" t="s">
        <v>2366</v>
      </c>
      <c r="B14" s="3847" t="s">
        <v>2367</v>
      </c>
      <c r="C14" s="3848"/>
      <c r="D14" s="2897">
        <f>ROUND(E14*B5/10000,0)</f>
        <v>0</v>
      </c>
      <c r="E14" s="2886"/>
      <c r="F14" s="2891" t="s">
        <v>2368</v>
      </c>
      <c r="G14" s="2892"/>
      <c r="H14" s="2848"/>
      <c r="I14" s="2849"/>
      <c r="J14" s="3841"/>
      <c r="K14" s="3844"/>
      <c r="L14" s="2903" t="s">
        <v>2369</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2370</v>
      </c>
      <c r="B15" s="3847" t="s">
        <v>2371</v>
      </c>
      <c r="C15" s="3848"/>
      <c r="D15" s="2897">
        <f>ROUND(D6*E15,0)</f>
        <v>0</v>
      </c>
      <c r="E15" s="2898">
        <v>5.5E-2</v>
      </c>
      <c r="F15" s="2891" t="s">
        <v>2372</v>
      </c>
      <c r="G15" s="2873"/>
      <c r="H15" s="2848"/>
      <c r="I15" s="2849"/>
      <c r="J15" s="3841">
        <v>2</v>
      </c>
      <c r="K15" s="3842" t="s">
        <v>2373</v>
      </c>
      <c r="L15" s="2883" t="s">
        <v>2374</v>
      </c>
      <c r="M15" s="2884" t="s">
        <v>2375</v>
      </c>
      <c r="N15" s="2884" t="s">
        <v>2376</v>
      </c>
      <c r="O15" s="2885" t="s">
        <v>2377</v>
      </c>
      <c r="P15" s="2885" t="s">
        <v>2339</v>
      </c>
      <c r="Q15" s="2860" t="s">
        <v>2378</v>
      </c>
      <c r="R15" s="2907" t="s">
        <v>2340</v>
      </c>
      <c r="S15" s="2841"/>
      <c r="T15" s="2841"/>
      <c r="U15" s="2841"/>
      <c r="V15" s="2849"/>
    </row>
    <row r="16" spans="1:22" s="2853" customFormat="1" ht="13.15" customHeight="1">
      <c r="A16" s="2896" t="s">
        <v>2379</v>
      </c>
      <c r="B16" s="3847" t="s">
        <v>2380</v>
      </c>
      <c r="C16" s="3848"/>
      <c r="D16" s="2908">
        <f>D6*E16</f>
        <v>0</v>
      </c>
      <c r="E16" s="2909"/>
      <c r="F16" s="2894" t="s">
        <v>2381</v>
      </c>
      <c r="G16" s="2873"/>
      <c r="H16" s="2848"/>
      <c r="I16" s="2849"/>
      <c r="J16" s="3841"/>
      <c r="K16" s="3843"/>
      <c r="L16" s="2883" t="s">
        <v>2382</v>
      </c>
      <c r="M16" s="2884"/>
      <c r="N16" s="2884"/>
      <c r="O16" s="2885"/>
      <c r="P16" s="2886">
        <v>365</v>
      </c>
      <c r="Q16" s="2860"/>
      <c r="R16" s="2907">
        <f>ROUND(M16*N16*O16*P16/10000,0)</f>
        <v>0</v>
      </c>
      <c r="S16" s="2841"/>
      <c r="T16" s="2841"/>
      <c r="U16" s="2841"/>
      <c r="V16" s="2849"/>
    </row>
    <row r="17" spans="1:22" s="2853" customFormat="1" ht="13.15" customHeight="1" thickBot="1">
      <c r="A17" s="2910">
        <v>4</v>
      </c>
      <c r="B17" s="3849" t="s">
        <v>2383</v>
      </c>
      <c r="C17" s="3850"/>
      <c r="D17" s="2911">
        <f>ROUND(D6*E17,0)</f>
        <v>0</v>
      </c>
      <c r="E17" s="2912"/>
      <c r="F17" s="2913" t="s">
        <v>2384</v>
      </c>
      <c r="G17" s="2873"/>
      <c r="H17" s="2848"/>
      <c r="I17" s="2849"/>
      <c r="J17" s="3841"/>
      <c r="K17" s="3843"/>
      <c r="L17" s="2883" t="s">
        <v>2385</v>
      </c>
      <c r="M17" s="2884"/>
      <c r="N17" s="2884"/>
      <c r="O17" s="2885"/>
      <c r="P17" s="2886">
        <v>365</v>
      </c>
      <c r="Q17" s="2860"/>
      <c r="R17" s="2907">
        <f>ROUND(M17*N17*O17*P17/10000,0)</f>
        <v>0</v>
      </c>
      <c r="S17" s="2841"/>
      <c r="T17" s="2841"/>
      <c r="U17" s="2841"/>
      <c r="V17" s="2849"/>
    </row>
    <row r="18" spans="1:22" s="2853" customFormat="1" ht="13.15" customHeight="1" thickBot="1">
      <c r="A18" s="2876" t="s">
        <v>2386</v>
      </c>
      <c r="B18" s="2877"/>
      <c r="C18" s="2877"/>
      <c r="D18" s="2914">
        <f>ROUND(D6*E18,0)</f>
        <v>0</v>
      </c>
      <c r="E18" s="2915"/>
      <c r="F18" s="2916" t="s">
        <v>2387</v>
      </c>
      <c r="G18" s="2873"/>
      <c r="H18" s="2848"/>
      <c r="I18" s="2849"/>
      <c r="J18" s="3841"/>
      <c r="K18" s="3843"/>
      <c r="L18" s="2883" t="s">
        <v>2388</v>
      </c>
      <c r="M18" s="2884"/>
      <c r="N18" s="2884"/>
      <c r="O18" s="2885"/>
      <c r="P18" s="2886">
        <v>365</v>
      </c>
      <c r="Q18" s="2860"/>
      <c r="R18" s="2907">
        <f>ROUND(M18*N18*O18*P18/10000,0)</f>
        <v>0</v>
      </c>
      <c r="S18" s="2841"/>
      <c r="T18" s="2841"/>
      <c r="U18" s="2841"/>
      <c r="V18" s="2849"/>
    </row>
    <row r="19" spans="1:22" s="2853" customFormat="1" ht="13.15" customHeight="1" thickBot="1">
      <c r="A19" s="2917" t="s">
        <v>2389</v>
      </c>
      <c r="B19" s="2871"/>
      <c r="C19" s="2871"/>
      <c r="D19" s="2871"/>
      <c r="E19" s="2871"/>
      <c r="F19" s="2872"/>
      <c r="G19" s="2892"/>
      <c r="H19" s="2848"/>
      <c r="I19" s="2849"/>
      <c r="J19" s="3841"/>
      <c r="K19" s="3844"/>
      <c r="L19" s="2903" t="s">
        <v>2369</v>
      </c>
      <c r="M19" s="2904"/>
      <c r="N19" s="2904">
        <f>SUM(N16:N18)</f>
        <v>0</v>
      </c>
      <c r="O19" s="2905"/>
      <c r="P19" s="2918" t="s">
        <v>2433</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841">
        <v>3</v>
      </c>
      <c r="K20" s="3842" t="s">
        <v>2390</v>
      </c>
      <c r="L20" s="2883" t="s">
        <v>2391</v>
      </c>
      <c r="M20" s="2884" t="s">
        <v>2392</v>
      </c>
      <c r="N20" s="2921" t="s">
        <v>2393</v>
      </c>
      <c r="O20" s="2885" t="s">
        <v>2394</v>
      </c>
      <c r="P20" s="2886" t="s">
        <v>2395</v>
      </c>
      <c r="Q20" s="2860" t="s">
        <v>2396</v>
      </c>
      <c r="R20" s="2907" t="s">
        <v>2397</v>
      </c>
      <c r="S20" s="2922"/>
      <c r="T20" s="2922"/>
      <c r="U20" s="2922"/>
      <c r="V20" s="2849"/>
    </row>
    <row r="21" spans="1:22" s="2853" customFormat="1" ht="13.15" customHeight="1">
      <c r="A21" s="2876"/>
      <c r="B21" s="2877"/>
      <c r="C21" s="2923" t="s">
        <v>2398</v>
      </c>
      <c r="D21" s="2924" t="s">
        <v>2399</v>
      </c>
      <c r="E21" s="2925" t="s">
        <v>2400</v>
      </c>
      <c r="F21" s="2920"/>
      <c r="G21" s="2892"/>
      <c r="H21" s="2848"/>
      <c r="I21" s="2849"/>
      <c r="J21" s="3841"/>
      <c r="K21" s="3843"/>
      <c r="L21" s="2883" t="s">
        <v>2401</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2402</v>
      </c>
      <c r="D22" s="2928" t="s">
        <v>2403</v>
      </c>
      <c r="E22" s="2929" t="s">
        <v>2404</v>
      </c>
      <c r="F22" s="2920"/>
      <c r="G22" s="2930"/>
      <c r="H22" s="2848"/>
      <c r="I22" s="2849"/>
      <c r="J22" s="3841"/>
      <c r="K22" s="3843"/>
      <c r="L22" s="2883" t="s">
        <v>2405</v>
      </c>
      <c r="M22" s="2884"/>
      <c r="N22" s="2884"/>
      <c r="O22" s="2885"/>
      <c r="P22" s="2886">
        <v>365</v>
      </c>
      <c r="Q22" s="2860"/>
      <c r="R22" s="2926">
        <f>ROUND(M22*N22*O22*P22/10000,0)</f>
        <v>0</v>
      </c>
      <c r="S22" s="2922"/>
      <c r="T22" s="2922"/>
      <c r="U22" s="2922"/>
      <c r="V22" s="2849"/>
    </row>
    <row r="23" spans="1:22" s="2853" customFormat="1" ht="13.15" customHeight="1">
      <c r="A23" s="2931">
        <v>1</v>
      </c>
      <c r="B23" s="2932" t="s">
        <v>2406</v>
      </c>
      <c r="C23" s="2933">
        <f>D6</f>
        <v>0</v>
      </c>
      <c r="D23" s="2934">
        <f>C23*(1+D24)</f>
        <v>0</v>
      </c>
      <c r="E23" s="2935">
        <f>D23*(1+E24)</f>
        <v>0</v>
      </c>
      <c r="F23" s="2936"/>
      <c r="G23" s="2937"/>
      <c r="H23" s="2848"/>
      <c r="I23" s="2849"/>
      <c r="J23" s="3841"/>
      <c r="K23" s="3843"/>
      <c r="L23" s="2883" t="s">
        <v>2407</v>
      </c>
      <c r="M23" s="2884"/>
      <c r="N23" s="2884"/>
      <c r="O23" s="2885"/>
      <c r="P23" s="2886">
        <v>365</v>
      </c>
      <c r="Q23" s="2860"/>
      <c r="R23" s="2926">
        <f>ROUND(M23*N23*O23*P23/10000,0)</f>
        <v>0</v>
      </c>
      <c r="S23" s="2841"/>
      <c r="T23" s="2841"/>
      <c r="U23" s="2841"/>
      <c r="V23" s="2849"/>
    </row>
    <row r="24" spans="1:22" s="2853" customFormat="1" ht="13.15" customHeight="1">
      <c r="A24" s="2938"/>
      <c r="B24" s="2939" t="s">
        <v>2408</v>
      </c>
      <c r="C24" s="2940"/>
      <c r="D24" s="2941"/>
      <c r="E24" s="2942"/>
      <c r="F24" s="2943"/>
      <c r="G24" s="2937"/>
      <c r="H24" s="2848"/>
      <c r="I24" s="2849"/>
      <c r="J24" s="3841"/>
      <c r="K24" s="3844"/>
      <c r="L24" s="2903" t="s">
        <v>2369</v>
      </c>
      <c r="M24" s="2904">
        <f>SUM(M21:M23)</f>
        <v>0</v>
      </c>
      <c r="N24" s="2904"/>
      <c r="O24" s="2905"/>
      <c r="P24" s="2918" t="s">
        <v>2433</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2409</v>
      </c>
      <c r="L25" s="2946"/>
      <c r="M25" s="2946"/>
      <c r="N25" s="2946"/>
      <c r="O25" s="2946"/>
      <c r="P25" s="2947"/>
      <c r="Q25" s="2948">
        <v>0</v>
      </c>
      <c r="R25" s="2919">
        <f>ROUND(R14*Q25,0)</f>
        <v>0</v>
      </c>
      <c r="S25" s="2841"/>
      <c r="T25" s="2841"/>
      <c r="U25" s="2841"/>
      <c r="V25" s="2949"/>
    </row>
    <row r="26" spans="1:22" s="2950" customFormat="1" ht="13.15" customHeight="1">
      <c r="A26" s="2931">
        <v>2</v>
      </c>
      <c r="B26" s="2932" t="s">
        <v>2410</v>
      </c>
      <c r="C26" s="2933">
        <f>D7</f>
        <v>0</v>
      </c>
      <c r="D26" s="2934">
        <f>D23*D27</f>
        <v>0</v>
      </c>
      <c r="E26" s="2935">
        <f>E23*E27</f>
        <v>0</v>
      </c>
      <c r="F26" s="2936"/>
      <c r="G26" s="2937"/>
      <c r="H26" s="2848"/>
      <c r="I26" s="2849"/>
      <c r="J26" s="3851">
        <v>5</v>
      </c>
      <c r="K26" s="2951" t="s">
        <v>2411</v>
      </c>
      <c r="L26" s="2952"/>
      <c r="M26" s="2953"/>
      <c r="N26" s="2954" t="s">
        <v>2412</v>
      </c>
      <c r="O26" s="2954" t="s">
        <v>2413</v>
      </c>
      <c r="P26" s="2955" t="s">
        <v>2414</v>
      </c>
      <c r="Q26" s="2955" t="s">
        <v>2415</v>
      </c>
      <c r="R26" s="2858" t="s">
        <v>2340</v>
      </c>
      <c r="S26" s="2956"/>
      <c r="T26" s="2956"/>
      <c r="U26" s="2956"/>
      <c r="V26" s="2949"/>
    </row>
    <row r="27" spans="1:22" s="2853" customFormat="1" ht="13.15" customHeight="1">
      <c r="A27" s="2938"/>
      <c r="B27" s="2939" t="s">
        <v>2416</v>
      </c>
      <c r="C27" s="2957" t="e">
        <f>E7</f>
        <v>#DIV/0!</v>
      </c>
      <c r="D27" s="2941"/>
      <c r="E27" s="2942"/>
      <c r="F27" s="2943"/>
      <c r="G27" s="2937"/>
      <c r="H27" s="2958"/>
      <c r="I27" s="2949"/>
      <c r="J27" s="3852"/>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2417</v>
      </c>
      <c r="F28" s="2943"/>
      <c r="G28" s="2930"/>
      <c r="H28" s="2958"/>
      <c r="I28" s="2949"/>
      <c r="J28" s="2964">
        <v>6</v>
      </c>
      <c r="K28" s="2965" t="s">
        <v>2418</v>
      </c>
      <c r="L28" s="2966" t="s">
        <v>2419</v>
      </c>
      <c r="M28" s="2967"/>
      <c r="N28" s="2966" t="s">
        <v>2420</v>
      </c>
      <c r="O28" s="2968"/>
      <c r="P28" s="2966" t="s">
        <v>2421</v>
      </c>
      <c r="Q28" s="2969">
        <v>1.4999999999999999E-2</v>
      </c>
      <c r="R28" s="2970"/>
      <c r="S28" s="2922"/>
      <c r="T28" s="2922"/>
      <c r="U28" s="2922"/>
      <c r="V28" s="2949"/>
    </row>
    <row r="29" spans="1:22" s="2950" customFormat="1" ht="13.15" customHeight="1">
      <c r="A29" s="2931">
        <v>3</v>
      </c>
      <c r="B29" s="2932" t="s">
        <v>2422</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2416</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2423</v>
      </c>
      <c r="K31" s="2839"/>
      <c r="L31" s="2839"/>
      <c r="M31" s="2839"/>
      <c r="N31" s="2839"/>
      <c r="O31" s="2839"/>
      <c r="P31" s="2839"/>
      <c r="Q31" s="2839"/>
      <c r="R31" s="2840"/>
      <c r="S31" s="2922"/>
      <c r="T31" s="2841"/>
      <c r="U31" s="2841"/>
      <c r="V31" s="2949"/>
    </row>
    <row r="32" spans="1:22" s="2950" customFormat="1" ht="13.15" customHeight="1">
      <c r="A32" s="2931">
        <v>4</v>
      </c>
      <c r="B32" s="2932" t="s">
        <v>2424</v>
      </c>
      <c r="C32" s="2933">
        <f>C23-C26-C29</f>
        <v>0</v>
      </c>
      <c r="D32" s="2934">
        <f>D23-D26-D29</f>
        <v>0</v>
      </c>
      <c r="E32" s="2935">
        <f>E23-E26-E29</f>
        <v>0</v>
      </c>
      <c r="F32" s="2936"/>
      <c r="G32" s="2930"/>
      <c r="H32" s="2848"/>
      <c r="I32" s="2849"/>
      <c r="J32" s="3834" t="s">
        <v>2316</v>
      </c>
      <c r="K32" s="3835"/>
      <c r="L32" s="2850" t="s">
        <v>2317</v>
      </c>
      <c r="M32" s="2850" t="s">
        <v>2318</v>
      </c>
      <c r="N32" s="2850" t="s">
        <v>2319</v>
      </c>
      <c r="O32" s="2850" t="s">
        <v>2320</v>
      </c>
      <c r="P32" s="2850" t="s">
        <v>2321</v>
      </c>
      <c r="Q32" s="2851" t="s">
        <v>2322</v>
      </c>
      <c r="R32" s="2973" t="s">
        <v>2323</v>
      </c>
      <c r="S32" s="2922"/>
      <c r="T32" s="2841"/>
      <c r="U32" s="2841"/>
      <c r="V32" s="2949"/>
    </row>
    <row r="33" spans="1:23" s="2853" customFormat="1" ht="13.15" customHeight="1">
      <c r="A33" s="2931"/>
      <c r="B33" s="2932"/>
      <c r="C33" s="2933"/>
      <c r="D33" s="2974"/>
      <c r="E33" s="2975"/>
      <c r="F33" s="2936"/>
      <c r="G33" s="2930"/>
      <c r="H33" s="2958"/>
      <c r="I33" s="2949"/>
      <c r="J33" s="3836" t="s">
        <v>2326</v>
      </c>
      <c r="K33" s="3837"/>
      <c r="L33" s="2856"/>
      <c r="M33" s="2856"/>
      <c r="N33" s="2856"/>
      <c r="O33" s="2856"/>
      <c r="P33" s="2856"/>
      <c r="Q33" s="2857"/>
      <c r="R33" s="2976">
        <f>SUM(L33:Q33)</f>
        <v>0</v>
      </c>
      <c r="S33" s="2922"/>
      <c r="T33" s="2841"/>
      <c r="U33" s="2841"/>
      <c r="V33" s="2849"/>
    </row>
    <row r="34" spans="1:23" s="2853" customFormat="1" ht="13.15" customHeight="1">
      <c r="A34" s="2931">
        <v>5</v>
      </c>
      <c r="B34" s="2932" t="s">
        <v>2425</v>
      </c>
      <c r="C34" s="2977"/>
      <c r="D34" s="2978"/>
      <c r="E34" s="2979"/>
      <c r="F34" s="2936"/>
      <c r="G34" s="2930"/>
      <c r="H34" s="2958"/>
      <c r="I34" s="2949"/>
      <c r="J34" s="3836" t="s">
        <v>2328</v>
      </c>
      <c r="K34" s="3837"/>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2426</v>
      </c>
      <c r="C35" s="2981"/>
      <c r="D35" s="2982"/>
      <c r="E35" s="2983"/>
      <c r="F35" s="2936"/>
      <c r="G35" s="2984"/>
      <c r="H35" s="2848"/>
      <c r="I35" s="2949"/>
      <c r="J35" s="2867" t="s">
        <v>2330</v>
      </c>
      <c r="K35" s="2868"/>
      <c r="L35" s="2868"/>
      <c r="M35" s="2869"/>
      <c r="N35" s="2869"/>
      <c r="O35" s="2869"/>
      <c r="P35" s="2869"/>
      <c r="Q35" s="2869"/>
      <c r="R35" s="2985">
        <f>R40+R41+R43</f>
        <v>0</v>
      </c>
      <c r="S35" s="2922"/>
      <c r="T35" s="2841" t="s">
        <v>2331</v>
      </c>
      <c r="U35" s="2841"/>
      <c r="V35" s="2849"/>
    </row>
    <row r="36" spans="1:23" s="2853" customFormat="1" ht="13.15" customHeight="1" thickBot="1">
      <c r="A36" s="2931">
        <v>7</v>
      </c>
      <c r="B36" s="2986" t="s">
        <v>2427</v>
      </c>
      <c r="C36" s="2987"/>
      <c r="D36" s="2988"/>
      <c r="E36" s="2989"/>
      <c r="F36" s="2990">
        <f>C36+D36+E36</f>
        <v>0</v>
      </c>
      <c r="G36" s="2930"/>
      <c r="H36" s="2848"/>
      <c r="I36" s="2849"/>
      <c r="J36" s="3841">
        <v>1</v>
      </c>
      <c r="K36" s="3842" t="s">
        <v>2428</v>
      </c>
      <c r="L36" s="2874"/>
      <c r="M36" s="2875"/>
      <c r="N36" s="2875"/>
      <c r="O36" s="2875"/>
      <c r="P36" s="2875"/>
      <c r="Q36" s="2875"/>
      <c r="R36" s="2858" t="s">
        <v>2340</v>
      </c>
      <c r="S36" s="2922"/>
      <c r="T36" s="2841" t="s">
        <v>2341</v>
      </c>
      <c r="U36" s="2841"/>
      <c r="V36" s="2849"/>
    </row>
    <row r="37" spans="1:23" s="2853" customFormat="1" ht="13.15" customHeight="1">
      <c r="A37" s="2931"/>
      <c r="B37" s="2932"/>
      <c r="C37" s="2932"/>
      <c r="D37" s="2932"/>
      <c r="E37" s="2932"/>
      <c r="F37" s="2936"/>
      <c r="G37" s="2930"/>
      <c r="H37" s="2848"/>
      <c r="I37" s="2849"/>
      <c r="J37" s="3841"/>
      <c r="K37" s="3843"/>
      <c r="L37" s="2883"/>
      <c r="M37" s="2884"/>
      <c r="N37" s="2860"/>
      <c r="O37" s="2885"/>
      <c r="P37" s="2885"/>
      <c r="Q37" s="2886"/>
      <c r="R37" s="2887"/>
      <c r="S37" s="2922"/>
      <c r="T37" s="2841" t="s">
        <v>2344</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841"/>
      <c r="K38" s="3843"/>
      <c r="L38" s="2883"/>
      <c r="M38" s="2884"/>
      <c r="N38" s="2860"/>
      <c r="O38" s="2885"/>
      <c r="P38" s="2885"/>
      <c r="Q38" s="2886"/>
      <c r="R38" s="2887"/>
      <c r="S38" s="2922"/>
      <c r="T38" s="2841" t="s">
        <v>2351</v>
      </c>
      <c r="U38" s="2841"/>
      <c r="V38" s="2849"/>
    </row>
    <row r="39" spans="1:23" s="2853" customFormat="1" ht="13.15" customHeight="1">
      <c r="A39" s="2931">
        <v>9</v>
      </c>
      <c r="B39" s="2932" t="s">
        <v>2429</v>
      </c>
      <c r="C39" s="2897" t="e">
        <f>C38</f>
        <v>#DIV/0!</v>
      </c>
      <c r="D39" s="2932">
        <f>D38/(1+D34)^C36</f>
        <v>0</v>
      </c>
      <c r="E39" s="2932">
        <f>E38/(1+E34)^(C36+D36)</f>
        <v>0</v>
      </c>
      <c r="F39" s="2936"/>
      <c r="G39" s="2991"/>
      <c r="H39" s="2848"/>
      <c r="I39" s="2849"/>
      <c r="J39" s="3841"/>
      <c r="K39" s="3843"/>
      <c r="L39" s="2883"/>
      <c r="M39" s="2884"/>
      <c r="N39" s="2860"/>
      <c r="O39" s="2885"/>
      <c r="P39" s="2885"/>
      <c r="Q39" s="2886"/>
      <c r="R39" s="2887"/>
      <c r="S39" s="2922"/>
      <c r="T39" s="2841"/>
      <c r="U39" s="2841"/>
      <c r="V39" s="2849"/>
    </row>
    <row r="40" spans="1:23" s="2853" customFormat="1" ht="13.15" customHeight="1">
      <c r="A40" s="2992">
        <v>10</v>
      </c>
      <c r="B40" s="2932" t="s">
        <v>2430</v>
      </c>
      <c r="C40" s="2993" t="e">
        <f>C39+D39+E39</f>
        <v>#DIV/0!</v>
      </c>
      <c r="D40" s="2994"/>
      <c r="E40" s="2994"/>
      <c r="F40" s="2995"/>
      <c r="G40" s="2930"/>
      <c r="H40" s="2848"/>
      <c r="I40" s="2849"/>
      <c r="J40" s="3841"/>
      <c r="K40" s="3844"/>
      <c r="L40" s="2903" t="s">
        <v>2369</v>
      </c>
      <c r="M40" s="2904"/>
      <c r="N40" s="2904"/>
      <c r="O40" s="2905"/>
      <c r="P40" s="2905"/>
      <c r="Q40" s="2906"/>
      <c r="R40" s="2852">
        <f>SUM(R37:R39)</f>
        <v>0</v>
      </c>
      <c r="S40" s="2922"/>
      <c r="T40" s="2841"/>
      <c r="U40" s="2841"/>
      <c r="V40" s="2849"/>
    </row>
    <row r="41" spans="1:23" s="2853" customFormat="1" ht="13.15" customHeight="1" thickBot="1">
      <c r="A41" s="2996">
        <v>11</v>
      </c>
      <c r="B41" s="2997" t="s">
        <v>2431</v>
      </c>
      <c r="C41" s="2997" t="e">
        <f>ROUND(C40*10000/B4,0)</f>
        <v>#DIV/0!</v>
      </c>
      <c r="D41" s="2998"/>
      <c r="E41" s="2998"/>
      <c r="F41" s="2999"/>
      <c r="G41" s="3000"/>
      <c r="H41" s="2848"/>
      <c r="I41" s="2849"/>
      <c r="J41" s="2944">
        <v>2</v>
      </c>
      <c r="K41" s="2945" t="s">
        <v>2409</v>
      </c>
      <c r="L41" s="2946"/>
      <c r="M41" s="2946"/>
      <c r="N41" s="2946"/>
      <c r="O41" s="2946"/>
      <c r="P41" s="2947"/>
      <c r="Q41" s="2948"/>
      <c r="R41" s="2919">
        <f>ROUND(R40*Q41,0)</f>
        <v>0</v>
      </c>
      <c r="S41" s="2922"/>
      <c r="T41" s="2841"/>
      <c r="U41" s="2956"/>
      <c r="V41" s="2849"/>
    </row>
    <row r="42" spans="1:23" s="2853" customFormat="1" ht="13.15" customHeight="1">
      <c r="G42" s="3000"/>
      <c r="H42" s="2848"/>
      <c r="I42" s="2849"/>
      <c r="J42" s="3851">
        <v>3</v>
      </c>
      <c r="K42" s="2951" t="s">
        <v>2411</v>
      </c>
      <c r="L42" s="2952"/>
      <c r="M42" s="2953"/>
      <c r="N42" s="2954" t="s">
        <v>2412</v>
      </c>
      <c r="O42" s="2954" t="s">
        <v>2413</v>
      </c>
      <c r="P42" s="2955" t="s">
        <v>2414</v>
      </c>
      <c r="Q42" s="2955" t="s">
        <v>2415</v>
      </c>
      <c r="R42" s="2858" t="s">
        <v>2340</v>
      </c>
      <c r="S42" s="2956"/>
      <c r="T42" s="2956"/>
      <c r="U42" s="2841"/>
      <c r="V42" s="2849"/>
    </row>
    <row r="43" spans="1:23" ht="13.15" customHeight="1">
      <c r="A43" s="2853"/>
      <c r="B43" s="2853"/>
      <c r="C43" s="2853"/>
      <c r="D43" s="2853"/>
      <c r="E43" s="2853"/>
      <c r="F43" s="2853"/>
      <c r="I43" s="2836"/>
      <c r="J43" s="3852"/>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2418</v>
      </c>
      <c r="L44" s="3004" t="s">
        <v>2419</v>
      </c>
      <c r="M44" s="2967"/>
      <c r="N44" s="3004" t="s">
        <v>2420</v>
      </c>
      <c r="O44" s="2967"/>
      <c r="P44" s="3004" t="s">
        <v>2421</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0</v>
      </c>
      <c r="C2" s="1872" t="s">
        <v>1651</v>
      </c>
      <c r="D2" s="1873" t="s">
        <v>1652</v>
      </c>
      <c r="E2" s="2607">
        <f>SUM(E6:E13)</f>
        <v>0</v>
      </c>
      <c r="F2" s="2707"/>
      <c r="G2" s="1489"/>
      <c r="H2" s="1489"/>
      <c r="I2" s="1489"/>
      <c r="J2" s="1489"/>
      <c r="K2" s="1489"/>
      <c r="L2" s="1489"/>
      <c r="M2" s="1489"/>
      <c r="N2" s="1489"/>
      <c r="O2" s="1489"/>
      <c r="P2" s="1489"/>
      <c r="Q2" s="1489"/>
      <c r="R2" s="1489"/>
      <c r="S2" s="1489"/>
    </row>
    <row r="3" spans="1:22" ht="15.75">
      <c r="A3" s="1870" t="s">
        <v>686</v>
      </c>
      <c r="B3" s="2601" t="e">
        <f ca="1">ROUND(B2*10000/E2,0)</f>
        <v>#DIV/0!</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853" t="s">
        <v>1654</v>
      </c>
      <c r="C5" s="3854"/>
      <c r="D5" s="2708"/>
      <c r="E5" s="1874" t="s">
        <v>1655</v>
      </c>
      <c r="F5" s="1875" t="s">
        <v>1656</v>
      </c>
      <c r="G5" s="1489"/>
      <c r="H5" s="1489"/>
      <c r="I5" s="1489"/>
      <c r="J5" s="1489"/>
      <c r="K5" s="1489"/>
      <c r="L5" s="1489"/>
      <c r="M5" s="1489"/>
      <c r="N5" s="1489"/>
      <c r="O5" s="1489"/>
      <c r="P5" s="1489"/>
      <c r="Q5" s="1489"/>
      <c r="R5" s="1489"/>
      <c r="S5" s="1489"/>
    </row>
    <row r="6" spans="1:22">
      <c r="A6" s="2604">
        <f>'数据-取费表'!AN6</f>
        <v>0</v>
      </c>
      <c r="B6" s="2602" t="e">
        <f ca="1">IF(F6="是",'数据-取费表'!AO6,0)</f>
        <v>#REF!</v>
      </c>
      <c r="C6" s="1872" t="s">
        <v>1651</v>
      </c>
      <c r="D6" s="2709"/>
      <c r="E6" s="2606">
        <f>IF(OR(A6=0,F6="否"),0,'数据-取费表'!K6+'数据-取费表'!S6)</f>
        <v>0</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9265.11</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62" t="s">
        <v>1667</v>
      </c>
      <c r="D4" s="3663"/>
      <c r="E4" s="3664" t="s">
        <v>1668</v>
      </c>
      <c r="F4" s="3665"/>
      <c r="G4" s="3662" t="s">
        <v>1669</v>
      </c>
      <c r="H4" s="3663"/>
      <c r="I4" s="3662" t="s">
        <v>1670</v>
      </c>
      <c r="J4" s="3663"/>
      <c r="K4" s="1889" t="s">
        <v>1671</v>
      </c>
      <c r="L4" s="2715"/>
      <c r="M4" s="2716"/>
      <c r="N4" s="2716"/>
      <c r="O4" s="2716"/>
      <c r="P4" s="3859" t="s">
        <v>1672</v>
      </c>
      <c r="Q4" s="3860"/>
      <c r="R4" s="3856" t="s">
        <v>1668</v>
      </c>
      <c r="S4" s="3857"/>
      <c r="T4" s="3856" t="s">
        <v>1669</v>
      </c>
      <c r="U4" s="3857"/>
      <c r="V4" s="3675" t="s">
        <v>1670</v>
      </c>
      <c r="W4" s="3675"/>
      <c r="X4" s="1355"/>
      <c r="Y4" s="3856" t="s">
        <v>1672</v>
      </c>
      <c r="Z4" s="3857"/>
      <c r="AA4" s="3855" t="s">
        <v>1668</v>
      </c>
      <c r="AB4" s="3855" t="s">
        <v>1669</v>
      </c>
      <c r="AC4" s="3855" t="s">
        <v>1670</v>
      </c>
    </row>
    <row r="5" spans="1:29" ht="15">
      <c r="A5" s="358"/>
      <c r="B5" s="359"/>
      <c r="C5" s="3650" t="s">
        <v>1673</v>
      </c>
      <c r="D5" s="3651"/>
      <c r="E5" s="3858" t="s">
        <v>1674</v>
      </c>
      <c r="F5" s="3649"/>
      <c r="G5" s="3650" t="s">
        <v>1675</v>
      </c>
      <c r="H5" s="3651"/>
      <c r="I5" s="3650" t="s">
        <v>1676</v>
      </c>
      <c r="J5" s="3651"/>
      <c r="K5" s="1890"/>
      <c r="L5" s="2715"/>
      <c r="M5" s="2716"/>
      <c r="N5" s="2716"/>
      <c r="O5" s="2716"/>
      <c r="P5" s="3861"/>
      <c r="Q5" s="3669"/>
      <c r="R5" s="3646"/>
      <c r="S5" s="3647"/>
      <c r="T5" s="3646"/>
      <c r="U5" s="3647"/>
      <c r="V5" s="3675"/>
      <c r="W5" s="3675"/>
      <c r="X5" s="1355"/>
      <c r="Y5" s="3646"/>
      <c r="Z5" s="3647"/>
      <c r="AA5" s="3640"/>
      <c r="AB5" s="3640"/>
      <c r="AC5" s="3640"/>
    </row>
    <row r="6" spans="1:29" ht="15.75" thickBot="1">
      <c r="A6" s="360"/>
      <c r="B6" s="361"/>
      <c r="C6" s="3652" t="s">
        <v>1677</v>
      </c>
      <c r="D6" s="3653"/>
      <c r="E6" s="3655" t="s">
        <v>1677</v>
      </c>
      <c r="F6" s="3656"/>
      <c r="G6" s="3652" t="s">
        <v>1677</v>
      </c>
      <c r="H6" s="3653"/>
      <c r="I6" s="3652" t="s">
        <v>1677</v>
      </c>
      <c r="J6" s="3653"/>
      <c r="K6" s="1890" t="s">
        <v>1678</v>
      </c>
      <c r="L6" s="2715"/>
      <c r="M6" s="2716"/>
      <c r="N6" s="2716"/>
      <c r="O6" s="2716"/>
      <c r="P6" s="3862"/>
      <c r="Q6" s="3671"/>
      <c r="R6" s="3646"/>
      <c r="S6" s="3647"/>
      <c r="T6" s="3672"/>
      <c r="U6" s="3673"/>
      <c r="V6" s="3675"/>
      <c r="W6" s="3675"/>
      <c r="X6" s="1355"/>
      <c r="Y6" s="3672"/>
      <c r="Z6" s="3673"/>
      <c r="AA6" s="3641"/>
      <c r="AB6" s="3641"/>
      <c r="AC6" s="3641"/>
    </row>
    <row r="7" spans="1:29" s="108" customFormat="1" ht="15.75" thickBot="1">
      <c r="A7" s="362" t="s">
        <v>1679</v>
      </c>
      <c r="B7" s="363"/>
      <c r="C7" s="364">
        <f>'数据-取费表'!B2</f>
        <v>45033</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42" t="s">
        <v>1680</v>
      </c>
      <c r="Q7" s="3677"/>
      <c r="R7" s="701" t="s">
        <v>20</v>
      </c>
      <c r="S7" s="702">
        <f t="shared" ref="S7:S15" si="0">F7</f>
        <v>0</v>
      </c>
      <c r="T7" s="701" t="s">
        <v>20</v>
      </c>
      <c r="U7" s="702">
        <f t="shared" ref="U7:U15" si="1">H7</f>
        <v>0</v>
      </c>
      <c r="V7" s="701" t="s">
        <v>20</v>
      </c>
      <c r="W7" s="702">
        <f t="shared" ref="W7:W15" si="2">J7</f>
        <v>0</v>
      </c>
      <c r="X7" s="703"/>
      <c r="Y7" s="3642" t="s">
        <v>1680</v>
      </c>
      <c r="Z7" s="3643"/>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42" t="s">
        <v>1683</v>
      </c>
      <c r="Q8" s="3643"/>
      <c r="R8" s="701" t="s">
        <v>20</v>
      </c>
      <c r="S8" s="702">
        <f t="shared" si="0"/>
        <v>100</v>
      </c>
      <c r="T8" s="701" t="s">
        <v>20</v>
      </c>
      <c r="U8" s="702">
        <f t="shared" si="1"/>
        <v>100</v>
      </c>
      <c r="V8" s="701" t="s">
        <v>20</v>
      </c>
      <c r="W8" s="702">
        <f t="shared" si="2"/>
        <v>100</v>
      </c>
      <c r="X8" s="703"/>
      <c r="Y8" s="3642" t="s">
        <v>1683</v>
      </c>
      <c r="Z8" s="3643"/>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57" t="s">
        <v>1686</v>
      </c>
      <c r="Q9" s="1343" t="str">
        <f t="shared" ref="Q9:Q15" si="6">B9</f>
        <v>用途</v>
      </c>
      <c r="R9" s="701" t="s">
        <v>14</v>
      </c>
      <c r="S9" s="702">
        <f t="shared" si="0"/>
        <v>100</v>
      </c>
      <c r="T9" s="701" t="s">
        <v>14</v>
      </c>
      <c r="U9" s="702">
        <f t="shared" si="1"/>
        <v>100</v>
      </c>
      <c r="V9" s="701" t="s">
        <v>14</v>
      </c>
      <c r="W9" s="702">
        <f t="shared" si="2"/>
        <v>100</v>
      </c>
      <c r="X9" s="703"/>
      <c r="Y9" s="365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57"/>
      <c r="Q10" s="1343" t="str">
        <f t="shared" si="6"/>
        <v>土地使用年限（年）</v>
      </c>
      <c r="R10" s="701" t="s">
        <v>14</v>
      </c>
      <c r="S10" s="702">
        <f t="shared" si="0"/>
        <v>100</v>
      </c>
      <c r="T10" s="701" t="s">
        <v>14</v>
      </c>
      <c r="U10" s="702">
        <f t="shared" si="1"/>
        <v>100</v>
      </c>
      <c r="V10" s="701" t="s">
        <v>14</v>
      </c>
      <c r="W10" s="702">
        <f t="shared" si="2"/>
        <v>100</v>
      </c>
      <c r="X10" s="703"/>
      <c r="Y10" s="365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57"/>
      <c r="Q11" s="1343" t="str">
        <f t="shared" si="6"/>
        <v>容积率</v>
      </c>
      <c r="R11" s="701" t="s">
        <v>18</v>
      </c>
      <c r="S11" s="702" t="e">
        <f t="shared" si="0"/>
        <v>#N/A</v>
      </c>
      <c r="T11" s="701" t="s">
        <v>18</v>
      </c>
      <c r="U11" s="702" t="e">
        <f t="shared" si="1"/>
        <v>#N/A</v>
      </c>
      <c r="V11" s="701" t="s">
        <v>18</v>
      </c>
      <c r="W11" s="702" t="e">
        <f t="shared" si="2"/>
        <v>#N/A</v>
      </c>
      <c r="X11" s="703"/>
      <c r="Y11" s="365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57"/>
      <c r="Q12" s="1343">
        <f t="shared" si="6"/>
        <v>111</v>
      </c>
      <c r="R12" s="701" t="s">
        <v>18</v>
      </c>
      <c r="S12" s="702">
        <f t="shared" si="0"/>
        <v>100</v>
      </c>
      <c r="T12" s="701" t="s">
        <v>18</v>
      </c>
      <c r="U12" s="702">
        <f t="shared" si="1"/>
        <v>100</v>
      </c>
      <c r="V12" s="701" t="s">
        <v>18</v>
      </c>
      <c r="W12" s="702">
        <f t="shared" si="2"/>
        <v>100</v>
      </c>
      <c r="X12" s="703"/>
      <c r="Y12" s="365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57"/>
      <c r="Q13" s="1343">
        <f t="shared" si="6"/>
        <v>111</v>
      </c>
      <c r="R13" s="701" t="s">
        <v>18</v>
      </c>
      <c r="S13" s="702">
        <f t="shared" si="0"/>
        <v>100</v>
      </c>
      <c r="T13" s="701" t="s">
        <v>18</v>
      </c>
      <c r="U13" s="702">
        <f t="shared" si="1"/>
        <v>100</v>
      </c>
      <c r="V13" s="701" t="s">
        <v>18</v>
      </c>
      <c r="W13" s="702">
        <f t="shared" si="2"/>
        <v>100</v>
      </c>
      <c r="X13" s="703"/>
      <c r="Y13" s="365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57"/>
      <c r="Q14" s="1343">
        <f t="shared" si="6"/>
        <v>111</v>
      </c>
      <c r="R14" s="701" t="s">
        <v>18</v>
      </c>
      <c r="S14" s="702">
        <f t="shared" si="0"/>
        <v>100</v>
      </c>
      <c r="T14" s="701" t="s">
        <v>18</v>
      </c>
      <c r="U14" s="702">
        <f t="shared" si="1"/>
        <v>100</v>
      </c>
      <c r="V14" s="701" t="s">
        <v>18</v>
      </c>
      <c r="W14" s="702">
        <f t="shared" si="2"/>
        <v>100</v>
      </c>
      <c r="X14" s="703"/>
      <c r="Y14" s="3658"/>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8" t="s">
        <v>1691</v>
      </c>
      <c r="Q15" s="1352" t="str">
        <f t="shared" si="6"/>
        <v>居住社区成熟度</v>
      </c>
      <c r="R15" s="705" t="s">
        <v>18</v>
      </c>
      <c r="S15" s="706">
        <f t="shared" si="0"/>
        <v>100</v>
      </c>
      <c r="T15" s="705" t="s">
        <v>18</v>
      </c>
      <c r="U15" s="706">
        <f t="shared" si="1"/>
        <v>100</v>
      </c>
      <c r="V15" s="705" t="s">
        <v>18</v>
      </c>
      <c r="W15" s="706">
        <f t="shared" si="2"/>
        <v>100</v>
      </c>
      <c r="X15" s="1355"/>
      <c r="Y15" s="3680"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79"/>
      <c r="Q16" s="1352"/>
      <c r="R16" s="705"/>
      <c r="S16" s="706"/>
      <c r="T16" s="705"/>
      <c r="U16" s="706"/>
      <c r="V16" s="705"/>
      <c r="W16" s="706"/>
      <c r="X16" s="1355"/>
      <c r="Y16" s="3681"/>
      <c r="Z16" s="1356"/>
      <c r="AA16" s="1353">
        <v>1</v>
      </c>
      <c r="AB16" s="1353">
        <v>1</v>
      </c>
      <c r="AC16" s="1353">
        <v>1</v>
      </c>
    </row>
    <row r="17" spans="1:29" ht="142.5">
      <c r="A17" s="379"/>
      <c r="B17" s="402" t="s">
        <v>1259</v>
      </c>
      <c r="C17" s="1900" t="str">
        <f>估价对象房地状况!C6</f>
        <v>估价对象周边有132路、404路、421路、451路、593路等多条公交线路，距离地铁14号线阜通站约200米，周边道路网线较密集，通达度较好。综合评价交通便捷度较好。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79"/>
      <c r="Q17" s="1352" t="str">
        <f>B17</f>
        <v>交通便捷度</v>
      </c>
      <c r="R17" s="705" t="s">
        <v>18</v>
      </c>
      <c r="S17" s="706">
        <f>F17</f>
        <v>100</v>
      </c>
      <c r="T17" s="705" t="s">
        <v>18</v>
      </c>
      <c r="U17" s="706">
        <f>H17</f>
        <v>100</v>
      </c>
      <c r="V17" s="705" t="s">
        <v>18</v>
      </c>
      <c r="W17" s="706">
        <f>J17</f>
        <v>100</v>
      </c>
      <c r="X17" s="1355"/>
      <c r="Y17" s="3681"/>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79"/>
      <c r="Q18" s="1352"/>
      <c r="R18" s="705"/>
      <c r="S18" s="706"/>
      <c r="T18" s="705"/>
      <c r="U18" s="706"/>
      <c r="V18" s="705"/>
      <c r="W18" s="706"/>
      <c r="X18" s="1355"/>
      <c r="Y18" s="3681"/>
      <c r="Z18" s="1356"/>
      <c r="AA18" s="1353">
        <v>1</v>
      </c>
      <c r="AB18" s="1353">
        <v>1</v>
      </c>
      <c r="AC18" s="1353">
        <v>1</v>
      </c>
    </row>
    <row r="19" spans="1:29" ht="313.5">
      <c r="A19" s="379"/>
      <c r="B19" s="402" t="s">
        <v>1258</v>
      </c>
      <c r="C19" s="1900" t="str">
        <f>估价对象房地状况!C7</f>
        <v>周边1公里内的公共服务配套设施较齐备，有购物场所（凯德MALL、新世界百货、物美大卖场、京客隆等）、医院（中国中医科学院望京医院、北京明德医院、南湖东园社区卫生服务站等）、银行（中国光大银行、广发银行、友利银行等）、学校（中央美术学院、首师大附属实验学校（南校区）、陈经伦中学分校（南湖东园校区）、南湖中园小学、望京新城幼儿园等）等公共服务配套设施。</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79"/>
      <c r="Q19" s="1352" t="str">
        <f>B19</f>
        <v>公共配套设施</v>
      </c>
      <c r="R19" s="705" t="s">
        <v>18</v>
      </c>
      <c r="S19" s="706">
        <f>F19</f>
        <v>100</v>
      </c>
      <c r="T19" s="705" t="s">
        <v>18</v>
      </c>
      <c r="U19" s="706">
        <f>H19</f>
        <v>100</v>
      </c>
      <c r="V19" s="705" t="s">
        <v>18</v>
      </c>
      <c r="W19" s="706">
        <f>J19</f>
        <v>100</v>
      </c>
      <c r="X19" s="1355"/>
      <c r="Y19" s="3681"/>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79"/>
      <c r="Q20" s="1352"/>
      <c r="R20" s="705"/>
      <c r="S20" s="706"/>
      <c r="T20" s="705"/>
      <c r="U20" s="706"/>
      <c r="V20" s="705"/>
      <c r="W20" s="706"/>
      <c r="X20" s="1355"/>
      <c r="Y20" s="3681"/>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79"/>
      <c r="Q21" s="1352" t="str">
        <f>B21</f>
        <v>基础设施水平</v>
      </c>
      <c r="R21" s="705" t="s">
        <v>14</v>
      </c>
      <c r="S21" s="706">
        <f>F21</f>
        <v>100</v>
      </c>
      <c r="T21" s="705" t="s">
        <v>14</v>
      </c>
      <c r="U21" s="706">
        <f>H21</f>
        <v>100</v>
      </c>
      <c r="V21" s="705" t="s">
        <v>14</v>
      </c>
      <c r="W21" s="706">
        <f>J21</f>
        <v>100</v>
      </c>
      <c r="X21" s="1355"/>
      <c r="Y21" s="368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79"/>
      <c r="Q22" s="1352"/>
      <c r="R22" s="705"/>
      <c r="S22" s="706"/>
      <c r="T22" s="705"/>
      <c r="U22" s="706"/>
      <c r="V22" s="705"/>
      <c r="W22" s="706"/>
      <c r="X22" s="1355"/>
      <c r="Y22" s="3681"/>
      <c r="Z22" s="1356"/>
      <c r="AA22" s="1353">
        <v>1</v>
      </c>
      <c r="AB22" s="1353">
        <v>1</v>
      </c>
      <c r="AC22" s="1353">
        <v>1</v>
      </c>
    </row>
    <row r="23" spans="1:29" ht="85.5">
      <c r="A23" s="379"/>
      <c r="B23" s="402" t="s">
        <v>1261</v>
      </c>
      <c r="C23" s="1900" t="str">
        <f>估价对象房地状况!C9</f>
        <v>估价对象周边有望京文化体育公园、望京文化广场等自然人文场所，综合评价环境状况一般。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79"/>
      <c r="Q23" s="1352" t="str">
        <f>B23</f>
        <v>自然及人文环境</v>
      </c>
      <c r="R23" s="705" t="s">
        <v>18</v>
      </c>
      <c r="S23" s="706">
        <f>F23</f>
        <v>100</v>
      </c>
      <c r="T23" s="705" t="s">
        <v>18</v>
      </c>
      <c r="U23" s="706">
        <f>H23</f>
        <v>100</v>
      </c>
      <c r="V23" s="705" t="s">
        <v>18</v>
      </c>
      <c r="W23" s="706">
        <f>J23</f>
        <v>100</v>
      </c>
      <c r="X23" s="1355"/>
      <c r="Y23" s="3681"/>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79"/>
      <c r="Q24" s="1352"/>
      <c r="R24" s="705"/>
      <c r="S24" s="706"/>
      <c r="T24" s="705"/>
      <c r="U24" s="706"/>
      <c r="V24" s="705"/>
      <c r="W24" s="706"/>
      <c r="X24" s="1355"/>
      <c r="Y24" s="3681"/>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79"/>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1"/>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79"/>
      <c r="Q26" s="1352" t="str">
        <f t="shared" si="11"/>
        <v>朝向</v>
      </c>
      <c r="R26" s="705" t="s">
        <v>18</v>
      </c>
      <c r="S26" s="706">
        <f t="shared" si="12"/>
        <v>100</v>
      </c>
      <c r="T26" s="705" t="s">
        <v>18</v>
      </c>
      <c r="U26" s="706">
        <f t="shared" si="13"/>
        <v>100</v>
      </c>
      <c r="V26" s="705" t="s">
        <v>18</v>
      </c>
      <c r="W26" s="706">
        <f t="shared" si="14"/>
        <v>100</v>
      </c>
      <c r="X26" s="1355"/>
      <c r="Y26" s="3681"/>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79"/>
      <c r="Q27" s="1343">
        <f t="shared" si="11"/>
        <v>111</v>
      </c>
      <c r="R27" s="701" t="s">
        <v>18</v>
      </c>
      <c r="S27" s="702">
        <f t="shared" si="12"/>
        <v>100</v>
      </c>
      <c r="T27" s="701" t="s">
        <v>18</v>
      </c>
      <c r="U27" s="702">
        <f t="shared" si="13"/>
        <v>100</v>
      </c>
      <c r="V27" s="701" t="s">
        <v>18</v>
      </c>
      <c r="W27" s="702">
        <f t="shared" si="14"/>
        <v>100</v>
      </c>
      <c r="X27" s="703"/>
      <c r="Y27" s="3681"/>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79"/>
      <c r="Q28" s="1352">
        <f t="shared" si="11"/>
        <v>111</v>
      </c>
      <c r="R28" s="705" t="s">
        <v>18</v>
      </c>
      <c r="S28" s="706">
        <f t="shared" si="12"/>
        <v>100</v>
      </c>
      <c r="T28" s="705" t="s">
        <v>18</v>
      </c>
      <c r="U28" s="706">
        <f t="shared" si="13"/>
        <v>100</v>
      </c>
      <c r="V28" s="705" t="s">
        <v>18</v>
      </c>
      <c r="W28" s="706">
        <f t="shared" si="14"/>
        <v>100</v>
      </c>
      <c r="X28" s="1355"/>
      <c r="Y28" s="368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79"/>
      <c r="Q29" s="1352">
        <f t="shared" si="11"/>
        <v>111</v>
      </c>
      <c r="R29" s="705" t="s">
        <v>18</v>
      </c>
      <c r="S29" s="706">
        <f t="shared" si="12"/>
        <v>100</v>
      </c>
      <c r="T29" s="705" t="s">
        <v>18</v>
      </c>
      <c r="U29" s="706">
        <f t="shared" si="13"/>
        <v>100</v>
      </c>
      <c r="V29" s="705" t="s">
        <v>18</v>
      </c>
      <c r="W29" s="706">
        <f t="shared" si="14"/>
        <v>100</v>
      </c>
      <c r="X29" s="1355"/>
      <c r="Y29" s="368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79"/>
      <c r="Q30" s="1352">
        <f t="shared" si="11"/>
        <v>111</v>
      </c>
      <c r="R30" s="705" t="s">
        <v>18</v>
      </c>
      <c r="S30" s="706">
        <f t="shared" si="12"/>
        <v>100</v>
      </c>
      <c r="T30" s="705" t="s">
        <v>18</v>
      </c>
      <c r="U30" s="706">
        <f t="shared" si="13"/>
        <v>100</v>
      </c>
      <c r="V30" s="705" t="s">
        <v>18</v>
      </c>
      <c r="W30" s="706">
        <f t="shared" si="14"/>
        <v>100</v>
      </c>
      <c r="X30" s="1355"/>
      <c r="Y30" s="3681"/>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79"/>
      <c r="Q31" s="1352">
        <f t="shared" si="11"/>
        <v>111</v>
      </c>
      <c r="R31" s="705" t="s">
        <v>18</v>
      </c>
      <c r="S31" s="706">
        <f t="shared" si="12"/>
        <v>100</v>
      </c>
      <c r="T31" s="705" t="s">
        <v>18</v>
      </c>
      <c r="U31" s="706">
        <f t="shared" si="13"/>
        <v>100</v>
      </c>
      <c r="V31" s="705" t="s">
        <v>18</v>
      </c>
      <c r="W31" s="706">
        <f t="shared" si="14"/>
        <v>100</v>
      </c>
      <c r="X31" s="1355"/>
      <c r="Y31" s="3681"/>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82" t="s">
        <v>1696</v>
      </c>
      <c r="Q32" s="1352" t="str">
        <f t="shared" si="11"/>
        <v>建筑类型</v>
      </c>
      <c r="R32" s="705" t="s">
        <v>18</v>
      </c>
      <c r="S32" s="706">
        <f t="shared" si="12"/>
        <v>100</v>
      </c>
      <c r="T32" s="705" t="s">
        <v>18</v>
      </c>
      <c r="U32" s="706">
        <f t="shared" si="13"/>
        <v>100</v>
      </c>
      <c r="V32" s="705" t="s">
        <v>18</v>
      </c>
      <c r="W32" s="706">
        <f t="shared" si="14"/>
        <v>100</v>
      </c>
      <c r="X32" s="1355"/>
      <c r="Y32" s="3685"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83"/>
      <c r="Q33" s="707" t="str">
        <f t="shared" si="11"/>
        <v>项目建筑规模</v>
      </c>
      <c r="R33" s="708" t="s">
        <v>18</v>
      </c>
      <c r="S33" s="709" t="e">
        <f t="shared" si="12"/>
        <v>#N/A</v>
      </c>
      <c r="T33" s="708" t="s">
        <v>18</v>
      </c>
      <c r="U33" s="709" t="e">
        <f t="shared" si="13"/>
        <v>#N/A</v>
      </c>
      <c r="V33" s="708" t="s">
        <v>18</v>
      </c>
      <c r="W33" s="709" t="e">
        <f t="shared" si="14"/>
        <v>#N/A</v>
      </c>
      <c r="X33" s="710"/>
      <c r="Y33" s="3685"/>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83"/>
      <c r="Q34" s="1352" t="str">
        <f t="shared" si="11"/>
        <v>建筑结构</v>
      </c>
      <c r="R34" s="705" t="s">
        <v>18</v>
      </c>
      <c r="S34" s="706">
        <f t="shared" si="12"/>
        <v>100</v>
      </c>
      <c r="T34" s="705" t="s">
        <v>18</v>
      </c>
      <c r="U34" s="706">
        <f t="shared" si="13"/>
        <v>100</v>
      </c>
      <c r="V34" s="705" t="s">
        <v>18</v>
      </c>
      <c r="W34" s="706">
        <f t="shared" si="14"/>
        <v>100</v>
      </c>
      <c r="X34" s="1355"/>
      <c r="Y34" s="3685"/>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83"/>
      <c r="Q35" s="1352" t="str">
        <f t="shared" si="11"/>
        <v>建筑品质</v>
      </c>
      <c r="R35" s="705" t="s">
        <v>18</v>
      </c>
      <c r="S35" s="706">
        <f t="shared" si="12"/>
        <v>100</v>
      </c>
      <c r="T35" s="705" t="s">
        <v>18</v>
      </c>
      <c r="U35" s="706">
        <f t="shared" si="13"/>
        <v>100</v>
      </c>
      <c r="V35" s="705" t="s">
        <v>18</v>
      </c>
      <c r="W35" s="706">
        <f t="shared" si="14"/>
        <v>100</v>
      </c>
      <c r="X35" s="1355"/>
      <c r="Y35" s="3685"/>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83"/>
      <c r="Q36" s="1352" t="str">
        <f t="shared" si="11"/>
        <v>公共部分装修</v>
      </c>
      <c r="R36" s="705" t="s">
        <v>18</v>
      </c>
      <c r="S36" s="706">
        <f t="shared" si="12"/>
        <v>100</v>
      </c>
      <c r="T36" s="705" t="s">
        <v>18</v>
      </c>
      <c r="U36" s="706">
        <f t="shared" si="13"/>
        <v>100</v>
      </c>
      <c r="V36" s="705" t="s">
        <v>18</v>
      </c>
      <c r="W36" s="706">
        <f t="shared" si="14"/>
        <v>100</v>
      </c>
      <c r="X36" s="1355"/>
      <c r="Y36" s="3685"/>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83"/>
      <c r="Q37" s="1343" t="str">
        <f t="shared" si="11"/>
        <v>成新度</v>
      </c>
      <c r="R37" s="701" t="s">
        <v>18</v>
      </c>
      <c r="S37" s="702" t="e">
        <f t="shared" si="12"/>
        <v>#N/A</v>
      </c>
      <c r="T37" s="701" t="s">
        <v>18</v>
      </c>
      <c r="U37" s="702" t="e">
        <f t="shared" si="13"/>
        <v>#N/A</v>
      </c>
      <c r="V37" s="701" t="s">
        <v>18</v>
      </c>
      <c r="W37" s="702" t="e">
        <f t="shared" si="14"/>
        <v>#N/A</v>
      </c>
      <c r="X37" s="703"/>
      <c r="Y37" s="3685"/>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83" t="s">
        <v>1696</v>
      </c>
      <c r="Q38" s="1352" t="str">
        <f t="shared" si="11"/>
        <v>物业管理</v>
      </c>
      <c r="R38" s="705" t="s">
        <v>18</v>
      </c>
      <c r="S38" s="706">
        <f t="shared" si="12"/>
        <v>100</v>
      </c>
      <c r="T38" s="705" t="s">
        <v>18</v>
      </c>
      <c r="U38" s="706">
        <f t="shared" si="13"/>
        <v>100</v>
      </c>
      <c r="V38" s="705" t="s">
        <v>18</v>
      </c>
      <c r="W38" s="706">
        <f t="shared" si="14"/>
        <v>100</v>
      </c>
      <c r="X38" s="1355"/>
      <c r="Y38" s="3685"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83"/>
      <c r="Q39" s="1352" t="str">
        <f t="shared" si="11"/>
        <v>市政基础设施</v>
      </c>
      <c r="R39" s="705" t="s">
        <v>18</v>
      </c>
      <c r="S39" s="706">
        <f t="shared" si="12"/>
        <v>100</v>
      </c>
      <c r="T39" s="705" t="s">
        <v>18</v>
      </c>
      <c r="U39" s="706">
        <f t="shared" si="13"/>
        <v>100</v>
      </c>
      <c r="V39" s="705" t="s">
        <v>18</v>
      </c>
      <c r="W39" s="706">
        <f t="shared" si="14"/>
        <v>100</v>
      </c>
      <c r="X39" s="1355"/>
      <c r="Y39" s="3685"/>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83"/>
      <c r="Q40" s="1352" t="str">
        <f t="shared" si="11"/>
        <v>房型</v>
      </c>
      <c r="R40" s="705" t="s">
        <v>18</v>
      </c>
      <c r="S40" s="706">
        <f t="shared" si="12"/>
        <v>100</v>
      </c>
      <c r="T40" s="705" t="s">
        <v>18</v>
      </c>
      <c r="U40" s="706">
        <f t="shared" si="13"/>
        <v>100</v>
      </c>
      <c r="V40" s="705" t="s">
        <v>18</v>
      </c>
      <c r="W40" s="706">
        <f t="shared" si="14"/>
        <v>100</v>
      </c>
      <c r="X40" s="1355"/>
      <c r="Y40" s="3685"/>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83"/>
      <c r="Q41" s="707" t="str">
        <f t="shared" si="11"/>
        <v>单套/主力户型建筑面积</v>
      </c>
      <c r="R41" s="708" t="s">
        <v>18</v>
      </c>
      <c r="S41" s="709">
        <f t="shared" si="12"/>
        <v>100</v>
      </c>
      <c r="T41" s="708" t="s">
        <v>18</v>
      </c>
      <c r="U41" s="709">
        <f t="shared" si="13"/>
        <v>100</v>
      </c>
      <c r="V41" s="708" t="s">
        <v>18</v>
      </c>
      <c r="W41" s="709">
        <f t="shared" si="14"/>
        <v>100</v>
      </c>
      <c r="X41" s="710"/>
      <c r="Y41" s="3685"/>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83"/>
      <c r="Q42" s="1352" t="str">
        <f t="shared" si="11"/>
        <v>内部装修</v>
      </c>
      <c r="R42" s="705" t="s">
        <v>18</v>
      </c>
      <c r="S42" s="706">
        <f t="shared" si="12"/>
        <v>100</v>
      </c>
      <c r="T42" s="705" t="s">
        <v>18</v>
      </c>
      <c r="U42" s="706">
        <f t="shared" si="13"/>
        <v>100</v>
      </c>
      <c r="V42" s="705" t="s">
        <v>18</v>
      </c>
      <c r="W42" s="706">
        <f t="shared" si="14"/>
        <v>100</v>
      </c>
      <c r="X42" s="1355"/>
      <c r="Y42" s="3685"/>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83"/>
      <c r="Q43" s="1352" t="str">
        <f t="shared" si="11"/>
        <v>内部装修维护情况</v>
      </c>
      <c r="R43" s="705" t="s">
        <v>18</v>
      </c>
      <c r="S43" s="706">
        <f t="shared" si="12"/>
        <v>100</v>
      </c>
      <c r="T43" s="705" t="s">
        <v>18</v>
      </c>
      <c r="U43" s="706">
        <f t="shared" si="13"/>
        <v>100</v>
      </c>
      <c r="V43" s="705" t="s">
        <v>18</v>
      </c>
      <c r="W43" s="706">
        <f t="shared" si="14"/>
        <v>100</v>
      </c>
      <c r="X43" s="1355"/>
      <c r="Y43" s="3685"/>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83"/>
      <c r="Q44" s="1343">
        <f t="shared" si="11"/>
        <v>111</v>
      </c>
      <c r="R44" s="701" t="s">
        <v>18</v>
      </c>
      <c r="S44" s="702">
        <f t="shared" si="12"/>
        <v>100</v>
      </c>
      <c r="T44" s="701" t="s">
        <v>18</v>
      </c>
      <c r="U44" s="702">
        <f t="shared" si="13"/>
        <v>100</v>
      </c>
      <c r="V44" s="701" t="s">
        <v>18</v>
      </c>
      <c r="W44" s="702">
        <f t="shared" si="14"/>
        <v>100</v>
      </c>
      <c r="X44" s="703"/>
      <c r="Y44" s="3685"/>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83"/>
      <c r="Q45" s="1352">
        <f t="shared" si="11"/>
        <v>111</v>
      </c>
      <c r="R45" s="705" t="s">
        <v>18</v>
      </c>
      <c r="S45" s="706">
        <f t="shared" si="12"/>
        <v>100</v>
      </c>
      <c r="T45" s="705" t="s">
        <v>18</v>
      </c>
      <c r="U45" s="706">
        <f t="shared" si="13"/>
        <v>100</v>
      </c>
      <c r="V45" s="705" t="s">
        <v>18</v>
      </c>
      <c r="W45" s="706">
        <f t="shared" si="14"/>
        <v>100</v>
      </c>
      <c r="X45" s="1355"/>
      <c r="Y45" s="3685"/>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84"/>
      <c r="Q46" s="1352">
        <f t="shared" si="11"/>
        <v>111</v>
      </c>
      <c r="R46" s="705" t="s">
        <v>17</v>
      </c>
      <c r="S46" s="706">
        <f t="shared" si="12"/>
        <v>100</v>
      </c>
      <c r="T46" s="705" t="s">
        <v>17</v>
      </c>
      <c r="U46" s="706">
        <f t="shared" si="13"/>
        <v>100</v>
      </c>
      <c r="V46" s="705" t="s">
        <v>17</v>
      </c>
      <c r="W46" s="706">
        <f t="shared" si="14"/>
        <v>100</v>
      </c>
      <c r="X46" s="1355"/>
      <c r="Y46" s="3686"/>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87" t="str">
        <f>A47</f>
        <v>成交单价（元/平方米）</v>
      </c>
      <c r="Q47" s="3687"/>
      <c r="R47" s="3688">
        <f>E47</f>
        <v>0</v>
      </c>
      <c r="S47" s="3688"/>
      <c r="T47" s="3688">
        <f>G47</f>
        <v>0</v>
      </c>
      <c r="U47" s="3688"/>
      <c r="V47" s="3688">
        <f>I47</f>
        <v>0</v>
      </c>
      <c r="W47" s="3688"/>
      <c r="X47" s="690"/>
      <c r="Y47" s="712"/>
      <c r="Z47" s="690"/>
      <c r="AA47" s="690"/>
      <c r="AB47" s="690"/>
      <c r="AC47" s="690"/>
    </row>
    <row r="48" spans="1:29" ht="15.75" thickBot="1">
      <c r="A48" s="437" t="s">
        <v>1709</v>
      </c>
      <c r="B48" s="438"/>
      <c r="C48" s="1160" t="e">
        <f>R49</f>
        <v>#DIV/0!</v>
      </c>
      <c r="D48" s="2317" t="s">
        <v>2136</v>
      </c>
      <c r="E48" s="1161" t="e">
        <f>R48</f>
        <v>#DIV/0!</v>
      </c>
      <c r="F48" s="2318"/>
      <c r="G48" s="1160" t="e">
        <f>T48</f>
        <v>#DIV/0!</v>
      </c>
      <c r="H48" s="2318"/>
      <c r="I48" s="1161" t="e">
        <f>V48</f>
        <v>#DIV/0!</v>
      </c>
      <c r="J48" s="2318"/>
      <c r="K48" s="2319">
        <f>F48+H48+J48</f>
        <v>0</v>
      </c>
      <c r="L48" s="2724"/>
      <c r="M48" s="2725"/>
      <c r="N48" s="2725"/>
      <c r="O48" s="2725"/>
      <c r="P48" s="3687" t="str">
        <f>A48</f>
        <v>比较价值（元/平方米）</v>
      </c>
      <c r="Q48" s="3687"/>
      <c r="R48" s="3688" t="e">
        <f>IF(F1="售价",ROUND(PRODUCT(R47,AA7:AA46),0),ROUND(PRODUCT(R47,AA7:AA46),1))</f>
        <v>#DIV/0!</v>
      </c>
      <c r="S48" s="3688"/>
      <c r="T48" s="3688" t="e">
        <f>IF(F1="售价",ROUND(PRODUCT(T47,AB7:AB46),0),ROUND(PRODUCT(T47,AB7:AB46),1))</f>
        <v>#DIV/0!</v>
      </c>
      <c r="U48" s="3688"/>
      <c r="V48" s="3688" t="e">
        <f>IF(F1="售价",ROUND(PRODUCT(V47,AC7:AC46),0),ROUND(PRODUCT(V47,AC7:AC46),1))</f>
        <v>#DIV/0!</v>
      </c>
      <c r="W48" s="3688"/>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863" t="str">
        <f>A49</f>
        <v>估价对象XX用房的比较价值（楼面单价，元/平方米）</v>
      </c>
      <c r="Q49" s="3864"/>
      <c r="R49" s="3865" t="e">
        <f>IF(F1="售价",ROUND(IF(D48="简单平均",AVERAGE(R48:V48),R48*F48+T48*H48+V48*J48),0),ROUND(IF(D48="简单平均",AVERAGE(R48:V48),R48*F48+T48*H48+V48*J48),1))</f>
        <v>#DIV/0!</v>
      </c>
      <c r="S49" s="3865"/>
      <c r="T49" s="3865"/>
      <c r="U49" s="3865"/>
      <c r="V49" s="3865"/>
      <c r="W49" s="386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2023-4</v>
      </c>
      <c r="D58" s="1185">
        <f>EDATE(C58,-1)</f>
        <v>44986</v>
      </c>
      <c r="E58" s="1185">
        <f>EDATE(D58,-1)</f>
        <v>44958</v>
      </c>
      <c r="F58" s="1185">
        <f t="shared" ref="F58:O58" si="19">EDATE(E58,-1)</f>
        <v>44927</v>
      </c>
      <c r="G58" s="1185">
        <f t="shared" si="19"/>
        <v>44896</v>
      </c>
      <c r="H58" s="1185">
        <f t="shared" si="19"/>
        <v>44866</v>
      </c>
      <c r="I58" s="1185">
        <f t="shared" si="19"/>
        <v>44835</v>
      </c>
      <c r="J58" s="1185">
        <f t="shared" si="19"/>
        <v>44805</v>
      </c>
      <c r="K58" s="1185">
        <f t="shared" si="19"/>
        <v>44774</v>
      </c>
      <c r="L58" s="1185">
        <f t="shared" si="19"/>
        <v>44743</v>
      </c>
      <c r="M58" s="1185">
        <f t="shared" si="19"/>
        <v>44713</v>
      </c>
      <c r="N58" s="1185">
        <f t="shared" si="19"/>
        <v>44682</v>
      </c>
      <c r="O58" s="1185">
        <f t="shared" si="19"/>
        <v>44652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9265.11</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62" t="s">
        <v>1770</v>
      </c>
      <c r="D4" s="3663"/>
      <c r="E4" s="3664" t="s">
        <v>1771</v>
      </c>
      <c r="F4" s="3665"/>
      <c r="G4" s="3662" t="s">
        <v>1772</v>
      </c>
      <c r="H4" s="3663"/>
      <c r="I4" s="3662" t="s">
        <v>1773</v>
      </c>
      <c r="J4" s="3663"/>
      <c r="K4" s="559" t="s">
        <v>1774</v>
      </c>
      <c r="L4" s="2715"/>
      <c r="M4" s="2716"/>
      <c r="N4" s="2716"/>
      <c r="O4" s="2716"/>
      <c r="P4" s="3859" t="s">
        <v>1775</v>
      </c>
      <c r="Q4" s="3860"/>
      <c r="R4" s="3856" t="s">
        <v>1771</v>
      </c>
      <c r="S4" s="3857"/>
      <c r="T4" s="3856" t="s">
        <v>1772</v>
      </c>
      <c r="U4" s="3857"/>
      <c r="V4" s="3675" t="s">
        <v>1773</v>
      </c>
      <c r="W4" s="3675"/>
      <c r="X4" s="1355"/>
      <c r="Y4" s="3856" t="s">
        <v>1775</v>
      </c>
      <c r="Z4" s="3857"/>
      <c r="AA4" s="3855" t="s">
        <v>1771</v>
      </c>
      <c r="AB4" s="3675" t="s">
        <v>1772</v>
      </c>
      <c r="AC4" s="3855" t="s">
        <v>1773</v>
      </c>
    </row>
    <row r="5" spans="1:29" ht="15">
      <c r="A5" s="358"/>
      <c r="B5" s="359"/>
      <c r="C5" s="3650" t="s">
        <v>1673</v>
      </c>
      <c r="D5" s="3651"/>
      <c r="E5" s="3858" t="s">
        <v>1674</v>
      </c>
      <c r="F5" s="3649"/>
      <c r="G5" s="3650" t="s">
        <v>1675</v>
      </c>
      <c r="H5" s="3651"/>
      <c r="I5" s="3650" t="s">
        <v>1676</v>
      </c>
      <c r="J5" s="3651"/>
      <c r="K5" s="559"/>
      <c r="L5" s="2715"/>
      <c r="M5" s="2716"/>
      <c r="N5" s="2716"/>
      <c r="O5" s="2716"/>
      <c r="P5" s="3861"/>
      <c r="Q5" s="3669"/>
      <c r="R5" s="3646"/>
      <c r="S5" s="3647"/>
      <c r="T5" s="3646"/>
      <c r="U5" s="3647"/>
      <c r="V5" s="3675"/>
      <c r="W5" s="3675"/>
      <c r="X5" s="1355"/>
      <c r="Y5" s="3646"/>
      <c r="Z5" s="3647"/>
      <c r="AA5" s="3640"/>
      <c r="AB5" s="3675"/>
      <c r="AC5" s="3640"/>
    </row>
    <row r="6" spans="1:29" ht="15.75" thickBot="1">
      <c r="A6" s="360"/>
      <c r="B6" s="361"/>
      <c r="C6" s="3652" t="s">
        <v>1677</v>
      </c>
      <c r="D6" s="3653"/>
      <c r="E6" s="3655" t="s">
        <v>1677</v>
      </c>
      <c r="F6" s="3656"/>
      <c r="G6" s="3652" t="s">
        <v>1677</v>
      </c>
      <c r="H6" s="3653"/>
      <c r="I6" s="3652" t="s">
        <v>1677</v>
      </c>
      <c r="J6" s="3653"/>
      <c r="K6" s="559" t="s">
        <v>1678</v>
      </c>
      <c r="L6" s="2715"/>
      <c r="M6" s="2716"/>
      <c r="N6" s="2716"/>
      <c r="O6" s="2716"/>
      <c r="P6" s="3862"/>
      <c r="Q6" s="3671"/>
      <c r="R6" s="3646"/>
      <c r="S6" s="3647"/>
      <c r="T6" s="3672"/>
      <c r="U6" s="3673"/>
      <c r="V6" s="3675"/>
      <c r="W6" s="3675"/>
      <c r="X6" s="1355"/>
      <c r="Y6" s="3672"/>
      <c r="Z6" s="3673"/>
      <c r="AA6" s="3641"/>
      <c r="AB6" s="3675"/>
      <c r="AC6" s="3641"/>
    </row>
    <row r="7" spans="1:29" s="108" customFormat="1" ht="15.75" thickBot="1">
      <c r="A7" s="362" t="s">
        <v>1679</v>
      </c>
      <c r="B7" s="363"/>
      <c r="C7" s="364">
        <f>'数据-取费表'!B2</f>
        <v>45033</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42" t="s">
        <v>1680</v>
      </c>
      <c r="Q7" s="3677"/>
      <c r="R7" s="701" t="s">
        <v>14</v>
      </c>
      <c r="S7" s="702">
        <f t="shared" ref="S7:S15" si="0">F7</f>
        <v>0</v>
      </c>
      <c r="T7" s="701" t="s">
        <v>14</v>
      </c>
      <c r="U7" s="702">
        <f t="shared" ref="U7:U15" si="1">H7</f>
        <v>0</v>
      </c>
      <c r="V7" s="701" t="s">
        <v>14</v>
      </c>
      <c r="W7" s="702">
        <f t="shared" ref="W7:W15" si="2">J7</f>
        <v>0</v>
      </c>
      <c r="X7" s="703"/>
      <c r="Y7" s="3642" t="s">
        <v>1680</v>
      </c>
      <c r="Z7" s="3643"/>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42" t="s">
        <v>1683</v>
      </c>
      <c r="Q8" s="3643"/>
      <c r="R8" s="701" t="s">
        <v>14</v>
      </c>
      <c r="S8" s="702">
        <f t="shared" si="0"/>
        <v>100</v>
      </c>
      <c r="T8" s="701" t="s">
        <v>14</v>
      </c>
      <c r="U8" s="702">
        <f t="shared" si="1"/>
        <v>100</v>
      </c>
      <c r="V8" s="701" t="s">
        <v>14</v>
      </c>
      <c r="W8" s="702">
        <f t="shared" si="2"/>
        <v>100</v>
      </c>
      <c r="X8" s="703"/>
      <c r="Y8" s="3642" t="s">
        <v>1683</v>
      </c>
      <c r="Z8" s="3643"/>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57" t="s">
        <v>1686</v>
      </c>
      <c r="Q9" s="1343" t="str">
        <f t="shared" ref="Q9:Q15" si="6">B9</f>
        <v>用途</v>
      </c>
      <c r="R9" s="701" t="s">
        <v>14</v>
      </c>
      <c r="S9" s="702">
        <f t="shared" si="0"/>
        <v>100</v>
      </c>
      <c r="T9" s="701" t="s">
        <v>14</v>
      </c>
      <c r="U9" s="702">
        <f t="shared" si="1"/>
        <v>100</v>
      </c>
      <c r="V9" s="701" t="s">
        <v>14</v>
      </c>
      <c r="W9" s="702">
        <f t="shared" si="2"/>
        <v>100</v>
      </c>
      <c r="X9" s="703"/>
      <c r="Y9" s="365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57"/>
      <c r="Q10" s="1343" t="str">
        <f t="shared" si="6"/>
        <v>土地使用年限（年）</v>
      </c>
      <c r="R10" s="701" t="s">
        <v>14</v>
      </c>
      <c r="S10" s="702">
        <f t="shared" si="0"/>
        <v>100</v>
      </c>
      <c r="T10" s="701" t="s">
        <v>14</v>
      </c>
      <c r="U10" s="702">
        <f t="shared" si="1"/>
        <v>100</v>
      </c>
      <c r="V10" s="701" t="s">
        <v>14</v>
      </c>
      <c r="W10" s="702">
        <f t="shared" si="2"/>
        <v>100</v>
      </c>
      <c r="X10" s="703"/>
      <c r="Y10" s="365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57"/>
      <c r="Q11" s="1343" t="str">
        <f t="shared" si="6"/>
        <v>容积率</v>
      </c>
      <c r="R11" s="701" t="s">
        <v>14</v>
      </c>
      <c r="S11" s="702" t="e">
        <f t="shared" si="0"/>
        <v>#N/A</v>
      </c>
      <c r="T11" s="701" t="s">
        <v>14</v>
      </c>
      <c r="U11" s="702" t="e">
        <f t="shared" si="1"/>
        <v>#N/A</v>
      </c>
      <c r="V11" s="701" t="s">
        <v>14</v>
      </c>
      <c r="W11" s="702" t="e">
        <f t="shared" si="2"/>
        <v>#N/A</v>
      </c>
      <c r="X11" s="703"/>
      <c r="Y11" s="365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57"/>
      <c r="Q12" s="1343">
        <f t="shared" si="6"/>
        <v>111</v>
      </c>
      <c r="R12" s="701" t="s">
        <v>14</v>
      </c>
      <c r="S12" s="702">
        <f t="shared" si="0"/>
        <v>100</v>
      </c>
      <c r="T12" s="701" t="s">
        <v>14</v>
      </c>
      <c r="U12" s="702">
        <f t="shared" si="1"/>
        <v>100</v>
      </c>
      <c r="V12" s="701" t="s">
        <v>14</v>
      </c>
      <c r="W12" s="702">
        <f t="shared" si="2"/>
        <v>100</v>
      </c>
      <c r="X12" s="703"/>
      <c r="Y12" s="365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57"/>
      <c r="Q13" s="1343">
        <f t="shared" si="6"/>
        <v>111</v>
      </c>
      <c r="R13" s="701" t="s">
        <v>14</v>
      </c>
      <c r="S13" s="702">
        <f t="shared" si="0"/>
        <v>100</v>
      </c>
      <c r="T13" s="701" t="s">
        <v>14</v>
      </c>
      <c r="U13" s="702">
        <f t="shared" si="1"/>
        <v>100</v>
      </c>
      <c r="V13" s="701" t="s">
        <v>14</v>
      </c>
      <c r="W13" s="702">
        <f t="shared" si="2"/>
        <v>100</v>
      </c>
      <c r="X13" s="703"/>
      <c r="Y13" s="365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57"/>
      <c r="Q14" s="1343">
        <f t="shared" si="6"/>
        <v>111</v>
      </c>
      <c r="R14" s="701" t="s">
        <v>14</v>
      </c>
      <c r="S14" s="702">
        <f t="shared" si="0"/>
        <v>100</v>
      </c>
      <c r="T14" s="701" t="s">
        <v>14</v>
      </c>
      <c r="U14" s="702">
        <f t="shared" si="1"/>
        <v>100</v>
      </c>
      <c r="V14" s="701" t="s">
        <v>14</v>
      </c>
      <c r="W14" s="702">
        <f t="shared" si="2"/>
        <v>100</v>
      </c>
      <c r="X14" s="703"/>
      <c r="Y14" s="3658"/>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8" t="s">
        <v>1691</v>
      </c>
      <c r="Q15" s="1352" t="str">
        <f t="shared" si="6"/>
        <v>商业繁华度</v>
      </c>
      <c r="R15" s="705" t="s">
        <v>14</v>
      </c>
      <c r="S15" s="706">
        <f t="shared" si="0"/>
        <v>100</v>
      </c>
      <c r="T15" s="705" t="s">
        <v>14</v>
      </c>
      <c r="U15" s="706">
        <f t="shared" si="1"/>
        <v>100</v>
      </c>
      <c r="V15" s="705" t="s">
        <v>14</v>
      </c>
      <c r="W15" s="706">
        <f t="shared" si="2"/>
        <v>100</v>
      </c>
      <c r="X15" s="1355"/>
      <c r="Y15" s="3680"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79"/>
      <c r="Q16" s="1352"/>
      <c r="R16" s="705"/>
      <c r="S16" s="706"/>
      <c r="T16" s="705"/>
      <c r="U16" s="706"/>
      <c r="V16" s="705"/>
      <c r="W16" s="706"/>
      <c r="X16" s="1355"/>
      <c r="Y16" s="3681"/>
      <c r="Z16" s="1356"/>
      <c r="AA16" s="1353">
        <v>1</v>
      </c>
      <c r="AB16" s="1353">
        <v>1</v>
      </c>
      <c r="AC16" s="1353">
        <v>1</v>
      </c>
    </row>
    <row r="17" spans="1:29" ht="156.75">
      <c r="A17" s="379"/>
      <c r="B17" s="402" t="s">
        <v>1259</v>
      </c>
      <c r="C17" s="1900" t="str">
        <f>估价对象房地状况!C6</f>
        <v>估价对象周边有132路、404路、421路、451路、593路等多条公交线路，距离地铁14号线阜通站约200米，周边道路网线较密集，通达度较好。综合评价交通便捷度较好。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79"/>
      <c r="Q17" s="1352" t="str">
        <f>B17</f>
        <v>交通便捷度</v>
      </c>
      <c r="R17" s="705" t="s">
        <v>14</v>
      </c>
      <c r="S17" s="706">
        <f>F17</f>
        <v>100</v>
      </c>
      <c r="T17" s="705" t="s">
        <v>14</v>
      </c>
      <c r="U17" s="706">
        <f>H17</f>
        <v>100</v>
      </c>
      <c r="V17" s="705" t="s">
        <v>14</v>
      </c>
      <c r="W17" s="706">
        <f>J17</f>
        <v>100</v>
      </c>
      <c r="X17" s="1355"/>
      <c r="Y17" s="368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79"/>
      <c r="Q18" s="1352"/>
      <c r="R18" s="705"/>
      <c r="S18" s="706"/>
      <c r="T18" s="705"/>
      <c r="U18" s="706"/>
      <c r="V18" s="705"/>
      <c r="W18" s="706"/>
      <c r="X18" s="1355"/>
      <c r="Y18" s="3681"/>
      <c r="Z18" s="1356"/>
      <c r="AA18" s="1353">
        <v>1</v>
      </c>
      <c r="AB18" s="1353">
        <v>1</v>
      </c>
      <c r="AC18" s="1353">
        <v>1</v>
      </c>
    </row>
    <row r="19" spans="1:29" ht="356.25">
      <c r="A19" s="379"/>
      <c r="B19" s="402" t="s">
        <v>1778</v>
      </c>
      <c r="C19" s="1900" t="str">
        <f>估价对象房地状况!C7</f>
        <v>周边1公里内的公共服务配套设施较齐备，有购物场所（凯德MALL、新世界百货、物美大卖场、京客隆等）、医院（中国中医科学院望京医院、北京明德医院、南湖东园社区卫生服务站等）、银行（中国光大银行、广发银行、友利银行等）、学校（中央美术学院、首师大附属实验学校（南校区）、陈经伦中学分校（南湖东园校区）、南湖中园小学、望京新城幼儿园等）等公共服务配套设施。</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79"/>
      <c r="Q19" s="1352" t="str">
        <f>B19</f>
        <v>公共配套设施</v>
      </c>
      <c r="R19" s="705" t="s">
        <v>14</v>
      </c>
      <c r="S19" s="706">
        <f>F19</f>
        <v>100</v>
      </c>
      <c r="T19" s="705" t="s">
        <v>14</v>
      </c>
      <c r="U19" s="706">
        <f>H19</f>
        <v>100</v>
      </c>
      <c r="V19" s="705" t="s">
        <v>14</v>
      </c>
      <c r="W19" s="706">
        <f>J19</f>
        <v>100</v>
      </c>
      <c r="X19" s="1355"/>
      <c r="Y19" s="368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79"/>
      <c r="Q20" s="1352"/>
      <c r="R20" s="705"/>
      <c r="S20" s="706"/>
      <c r="T20" s="705"/>
      <c r="U20" s="706"/>
      <c r="V20" s="705"/>
      <c r="W20" s="706"/>
      <c r="X20" s="1355"/>
      <c r="Y20" s="3681"/>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79"/>
      <c r="Q21" s="1352" t="str">
        <f>B21</f>
        <v>基础设施水平</v>
      </c>
      <c r="R21" s="705" t="s">
        <v>14</v>
      </c>
      <c r="S21" s="706">
        <f>F21</f>
        <v>100</v>
      </c>
      <c r="T21" s="705" t="s">
        <v>14</v>
      </c>
      <c r="U21" s="706">
        <f>H21</f>
        <v>100</v>
      </c>
      <c r="V21" s="705" t="s">
        <v>14</v>
      </c>
      <c r="W21" s="706">
        <f>J21</f>
        <v>100</v>
      </c>
      <c r="X21" s="1355"/>
      <c r="Y21" s="368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79"/>
      <c r="Q22" s="1352"/>
      <c r="R22" s="705"/>
      <c r="S22" s="706"/>
      <c r="T22" s="705"/>
      <c r="U22" s="706"/>
      <c r="V22" s="705"/>
      <c r="W22" s="706"/>
      <c r="X22" s="1355"/>
      <c r="Y22" s="3681"/>
      <c r="Z22" s="1356"/>
      <c r="AA22" s="1353">
        <v>1</v>
      </c>
      <c r="AB22" s="1353">
        <v>1</v>
      </c>
      <c r="AC22" s="1353">
        <v>1</v>
      </c>
    </row>
    <row r="23" spans="1:29" ht="85.5">
      <c r="A23" s="379"/>
      <c r="B23" s="402" t="s">
        <v>1261</v>
      </c>
      <c r="C23" s="1955" t="str">
        <f>估价对象房地状况!C9</f>
        <v>估价对象周边有望京文化体育公园、望京文化广场等自然人文场所，综合评价环境状况一般。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79"/>
      <c r="Q23" s="1352" t="str">
        <f>B23</f>
        <v>自然及人文环境</v>
      </c>
      <c r="R23" s="705" t="s">
        <v>14</v>
      </c>
      <c r="S23" s="706">
        <f>F23</f>
        <v>100</v>
      </c>
      <c r="T23" s="705" t="s">
        <v>14</v>
      </c>
      <c r="U23" s="706">
        <f>H23</f>
        <v>100</v>
      </c>
      <c r="V23" s="705" t="s">
        <v>14</v>
      </c>
      <c r="W23" s="706">
        <f>J23</f>
        <v>100</v>
      </c>
      <c r="X23" s="1355"/>
      <c r="Y23" s="3681"/>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79"/>
      <c r="Q24" s="1352"/>
      <c r="R24" s="705"/>
      <c r="S24" s="706"/>
      <c r="T24" s="705"/>
      <c r="U24" s="706"/>
      <c r="V24" s="705"/>
      <c r="W24" s="706"/>
      <c r="X24" s="1355"/>
      <c r="Y24" s="3681"/>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79"/>
      <c r="Q25" s="1352" t="str">
        <f t="shared" ref="Q25:Q46" si="11">B25</f>
        <v>临街状况</v>
      </c>
      <c r="R25" s="705" t="s">
        <v>14</v>
      </c>
      <c r="S25" s="706">
        <f>F25</f>
        <v>100</v>
      </c>
      <c r="T25" s="705" t="s">
        <v>14</v>
      </c>
      <c r="U25" s="706">
        <f>H25</f>
        <v>100</v>
      </c>
      <c r="V25" s="705" t="s">
        <v>14</v>
      </c>
      <c r="W25" s="706">
        <f>J25</f>
        <v>100</v>
      </c>
      <c r="X25" s="1355"/>
      <c r="Y25" s="3681"/>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79"/>
      <c r="Q26" s="1352" t="str">
        <f t="shared" si="11"/>
        <v>平面位置/可视性</v>
      </c>
      <c r="R26" s="705" t="s">
        <v>14</v>
      </c>
      <c r="S26" s="706">
        <f>F26</f>
        <v>100</v>
      </c>
      <c r="T26" s="705" t="s">
        <v>14</v>
      </c>
      <c r="U26" s="706">
        <f>H26</f>
        <v>100</v>
      </c>
      <c r="V26" s="705" t="s">
        <v>14</v>
      </c>
      <c r="W26" s="706">
        <f>J26</f>
        <v>100</v>
      </c>
      <c r="X26" s="1355"/>
      <c r="Y26" s="3681"/>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79"/>
      <c r="Q27" s="1343" t="str">
        <f t="shared" si="11"/>
        <v>人流量</v>
      </c>
      <c r="R27" s="701" t="s">
        <v>14</v>
      </c>
      <c r="S27" s="702">
        <f>F27</f>
        <v>100</v>
      </c>
      <c r="T27" s="701" t="s">
        <v>14</v>
      </c>
      <c r="U27" s="702">
        <f>H27</f>
        <v>100</v>
      </c>
      <c r="V27" s="701" t="s">
        <v>14</v>
      </c>
      <c r="W27" s="702">
        <f>J27</f>
        <v>100</v>
      </c>
      <c r="X27" s="703"/>
      <c r="Y27" s="3681"/>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79"/>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8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79"/>
      <c r="Q29" s="1352">
        <f t="shared" si="11"/>
        <v>111</v>
      </c>
      <c r="R29" s="705" t="s">
        <v>14</v>
      </c>
      <c r="S29" s="706">
        <f t="shared" si="12"/>
        <v>100</v>
      </c>
      <c r="T29" s="705" t="s">
        <v>14</v>
      </c>
      <c r="U29" s="706">
        <f t="shared" si="13"/>
        <v>100</v>
      </c>
      <c r="V29" s="705" t="s">
        <v>14</v>
      </c>
      <c r="W29" s="706">
        <f t="shared" si="14"/>
        <v>100</v>
      </c>
      <c r="X29" s="1355"/>
      <c r="Y29" s="368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79"/>
      <c r="Q30" s="1352">
        <f t="shared" si="11"/>
        <v>111</v>
      </c>
      <c r="R30" s="705" t="s">
        <v>14</v>
      </c>
      <c r="S30" s="706">
        <f t="shared" si="12"/>
        <v>100</v>
      </c>
      <c r="T30" s="705" t="s">
        <v>14</v>
      </c>
      <c r="U30" s="706">
        <f t="shared" si="13"/>
        <v>100</v>
      </c>
      <c r="V30" s="705" t="s">
        <v>14</v>
      </c>
      <c r="W30" s="706">
        <f t="shared" si="14"/>
        <v>100</v>
      </c>
      <c r="X30" s="1355"/>
      <c r="Y30" s="3681"/>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79"/>
      <c r="Q31" s="1352">
        <f t="shared" si="11"/>
        <v>111</v>
      </c>
      <c r="R31" s="705" t="s">
        <v>14</v>
      </c>
      <c r="S31" s="706">
        <f t="shared" si="12"/>
        <v>100</v>
      </c>
      <c r="T31" s="705" t="s">
        <v>14</v>
      </c>
      <c r="U31" s="706">
        <f t="shared" si="13"/>
        <v>100</v>
      </c>
      <c r="V31" s="705" t="s">
        <v>14</v>
      </c>
      <c r="W31" s="706">
        <f t="shared" si="14"/>
        <v>100</v>
      </c>
      <c r="X31" s="1355"/>
      <c r="Y31" s="3681"/>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82" t="s">
        <v>1696</v>
      </c>
      <c r="Q32" s="1352" t="str">
        <f t="shared" si="11"/>
        <v>商业类型</v>
      </c>
      <c r="R32" s="705" t="s">
        <v>14</v>
      </c>
      <c r="S32" s="706">
        <f t="shared" si="12"/>
        <v>100</v>
      </c>
      <c r="T32" s="705" t="s">
        <v>14</v>
      </c>
      <c r="U32" s="706">
        <f t="shared" si="13"/>
        <v>100</v>
      </c>
      <c r="V32" s="705" t="s">
        <v>14</v>
      </c>
      <c r="W32" s="706">
        <f t="shared" si="14"/>
        <v>100</v>
      </c>
      <c r="X32" s="1355"/>
      <c r="Y32" s="3685"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83"/>
      <c r="Q33" s="707" t="str">
        <f t="shared" si="11"/>
        <v>项目建筑规模</v>
      </c>
      <c r="R33" s="708" t="s">
        <v>14</v>
      </c>
      <c r="S33" s="709" t="e">
        <f t="shared" si="12"/>
        <v>#N/A</v>
      </c>
      <c r="T33" s="708" t="s">
        <v>14</v>
      </c>
      <c r="U33" s="709" t="e">
        <f t="shared" si="13"/>
        <v>#N/A</v>
      </c>
      <c r="V33" s="708" t="s">
        <v>14</v>
      </c>
      <c r="W33" s="709" t="e">
        <f t="shared" si="14"/>
        <v>#N/A</v>
      </c>
      <c r="X33" s="710"/>
      <c r="Y33" s="3685"/>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83"/>
      <c r="Q34" s="1352" t="str">
        <f t="shared" si="11"/>
        <v>建筑结构</v>
      </c>
      <c r="R34" s="705" t="s">
        <v>14</v>
      </c>
      <c r="S34" s="706">
        <f t="shared" si="12"/>
        <v>100</v>
      </c>
      <c r="T34" s="705" t="s">
        <v>14</v>
      </c>
      <c r="U34" s="706">
        <f t="shared" si="13"/>
        <v>100</v>
      </c>
      <c r="V34" s="705" t="s">
        <v>14</v>
      </c>
      <c r="W34" s="706">
        <f t="shared" si="14"/>
        <v>100</v>
      </c>
      <c r="X34" s="1355"/>
      <c r="Y34" s="3685"/>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83"/>
      <c r="Q35" s="1352" t="str">
        <f t="shared" si="11"/>
        <v>公共部分装修</v>
      </c>
      <c r="R35" s="705" t="s">
        <v>14</v>
      </c>
      <c r="S35" s="706">
        <f t="shared" si="12"/>
        <v>100</v>
      </c>
      <c r="T35" s="705" t="s">
        <v>14</v>
      </c>
      <c r="U35" s="706">
        <f t="shared" si="13"/>
        <v>100</v>
      </c>
      <c r="V35" s="705" t="s">
        <v>14</v>
      </c>
      <c r="W35" s="706">
        <f t="shared" si="14"/>
        <v>100</v>
      </c>
      <c r="X35" s="1355"/>
      <c r="Y35" s="3685"/>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83"/>
      <c r="Q36" s="1352" t="str">
        <f t="shared" si="11"/>
        <v>成新度</v>
      </c>
      <c r="R36" s="705" t="s">
        <v>14</v>
      </c>
      <c r="S36" s="706" t="e">
        <f t="shared" si="12"/>
        <v>#N/A</v>
      </c>
      <c r="T36" s="705" t="s">
        <v>14</v>
      </c>
      <c r="U36" s="706" t="e">
        <f t="shared" si="13"/>
        <v>#N/A</v>
      </c>
      <c r="V36" s="705" t="s">
        <v>14</v>
      </c>
      <c r="W36" s="706" t="e">
        <f t="shared" si="14"/>
        <v>#N/A</v>
      </c>
      <c r="X36" s="1355"/>
      <c r="Y36" s="3685"/>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83"/>
      <c r="Q37" s="1343" t="str">
        <f t="shared" si="11"/>
        <v>市政基础设施</v>
      </c>
      <c r="R37" s="701" t="s">
        <v>14</v>
      </c>
      <c r="S37" s="702">
        <f t="shared" si="12"/>
        <v>100</v>
      </c>
      <c r="T37" s="701" t="s">
        <v>14</v>
      </c>
      <c r="U37" s="702">
        <f t="shared" si="13"/>
        <v>100</v>
      </c>
      <c r="V37" s="701" t="s">
        <v>14</v>
      </c>
      <c r="W37" s="702">
        <f t="shared" si="14"/>
        <v>100</v>
      </c>
      <c r="X37" s="703"/>
      <c r="Y37" s="3685"/>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83" t="s">
        <v>1696</v>
      </c>
      <c r="Q38" s="1352" t="str">
        <f t="shared" si="11"/>
        <v>业态</v>
      </c>
      <c r="R38" s="705" t="s">
        <v>14</v>
      </c>
      <c r="S38" s="706">
        <f t="shared" si="12"/>
        <v>100</v>
      </c>
      <c r="T38" s="705" t="s">
        <v>14</v>
      </c>
      <c r="U38" s="706">
        <f t="shared" si="13"/>
        <v>100</v>
      </c>
      <c r="V38" s="705" t="s">
        <v>14</v>
      </c>
      <c r="W38" s="706">
        <f t="shared" si="14"/>
        <v>100</v>
      </c>
      <c r="X38" s="1355"/>
      <c r="Y38" s="3685"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83"/>
      <c r="Q39" s="1352" t="str">
        <f t="shared" si="11"/>
        <v>层高</v>
      </c>
      <c r="R39" s="705" t="s">
        <v>14</v>
      </c>
      <c r="S39" s="706">
        <f t="shared" si="12"/>
        <v>100</v>
      </c>
      <c r="T39" s="705" t="s">
        <v>14</v>
      </c>
      <c r="U39" s="706">
        <f t="shared" si="13"/>
        <v>100</v>
      </c>
      <c r="V39" s="705" t="s">
        <v>14</v>
      </c>
      <c r="W39" s="706">
        <f t="shared" si="14"/>
        <v>100</v>
      </c>
      <c r="X39" s="1355"/>
      <c r="Y39" s="3685"/>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83"/>
      <c r="Q40" s="1352" t="str">
        <f t="shared" si="11"/>
        <v>单套建筑面积</v>
      </c>
      <c r="R40" s="705" t="s">
        <v>14</v>
      </c>
      <c r="S40" s="706">
        <f t="shared" si="12"/>
        <v>100</v>
      </c>
      <c r="T40" s="705" t="s">
        <v>14</v>
      </c>
      <c r="U40" s="706">
        <f t="shared" si="13"/>
        <v>100</v>
      </c>
      <c r="V40" s="705" t="s">
        <v>14</v>
      </c>
      <c r="W40" s="706">
        <f t="shared" si="14"/>
        <v>100</v>
      </c>
      <c r="X40" s="1355"/>
      <c r="Y40" s="3685"/>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83"/>
      <c r="Q41" s="707" t="str">
        <f t="shared" si="11"/>
        <v>进深比</v>
      </c>
      <c r="R41" s="708" t="s">
        <v>14</v>
      </c>
      <c r="S41" s="709">
        <f t="shared" si="12"/>
        <v>100</v>
      </c>
      <c r="T41" s="708" t="s">
        <v>14</v>
      </c>
      <c r="U41" s="709">
        <f t="shared" si="13"/>
        <v>100</v>
      </c>
      <c r="V41" s="708" t="s">
        <v>14</v>
      </c>
      <c r="W41" s="709">
        <f t="shared" si="14"/>
        <v>100</v>
      </c>
      <c r="X41" s="710"/>
      <c r="Y41" s="3685"/>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83"/>
      <c r="Q42" s="1352" t="str">
        <f t="shared" si="11"/>
        <v>内部装修</v>
      </c>
      <c r="R42" s="705" t="s">
        <v>14</v>
      </c>
      <c r="S42" s="706">
        <f t="shared" si="12"/>
        <v>100</v>
      </c>
      <c r="T42" s="705" t="s">
        <v>14</v>
      </c>
      <c r="U42" s="706">
        <f t="shared" si="13"/>
        <v>100</v>
      </c>
      <c r="V42" s="705" t="s">
        <v>14</v>
      </c>
      <c r="W42" s="706">
        <f t="shared" si="14"/>
        <v>100</v>
      </c>
      <c r="X42" s="1355"/>
      <c r="Y42" s="3685"/>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83"/>
      <c r="Q43" s="1352" t="str">
        <f t="shared" si="11"/>
        <v>内部装修维护情况</v>
      </c>
      <c r="R43" s="705" t="s">
        <v>14</v>
      </c>
      <c r="S43" s="706">
        <f t="shared" si="12"/>
        <v>100</v>
      </c>
      <c r="T43" s="705" t="s">
        <v>14</v>
      </c>
      <c r="U43" s="706">
        <f t="shared" si="13"/>
        <v>100</v>
      </c>
      <c r="V43" s="705" t="s">
        <v>14</v>
      </c>
      <c r="W43" s="706">
        <f t="shared" si="14"/>
        <v>100</v>
      </c>
      <c r="X43" s="1355"/>
      <c r="Y43" s="3685"/>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83"/>
      <c r="Q44" s="1343">
        <f t="shared" si="11"/>
        <v>111</v>
      </c>
      <c r="R44" s="701" t="s">
        <v>14</v>
      </c>
      <c r="S44" s="702">
        <f t="shared" si="12"/>
        <v>100</v>
      </c>
      <c r="T44" s="701" t="s">
        <v>14</v>
      </c>
      <c r="U44" s="702">
        <f t="shared" si="13"/>
        <v>100</v>
      </c>
      <c r="V44" s="701" t="s">
        <v>14</v>
      </c>
      <c r="W44" s="702">
        <f t="shared" si="14"/>
        <v>100</v>
      </c>
      <c r="X44" s="703"/>
      <c r="Y44" s="368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83"/>
      <c r="Q45" s="1352">
        <f t="shared" si="11"/>
        <v>111</v>
      </c>
      <c r="R45" s="705" t="s">
        <v>14</v>
      </c>
      <c r="S45" s="706">
        <f t="shared" si="12"/>
        <v>100</v>
      </c>
      <c r="T45" s="705" t="s">
        <v>14</v>
      </c>
      <c r="U45" s="706">
        <f t="shared" si="13"/>
        <v>100</v>
      </c>
      <c r="V45" s="705" t="s">
        <v>14</v>
      </c>
      <c r="W45" s="706">
        <f t="shared" si="14"/>
        <v>100</v>
      </c>
      <c r="X45" s="1355"/>
      <c r="Y45" s="3685"/>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84"/>
      <c r="Q46" s="1352">
        <f t="shared" si="11"/>
        <v>111</v>
      </c>
      <c r="R46" s="705" t="s">
        <v>14</v>
      </c>
      <c r="S46" s="706">
        <f t="shared" si="12"/>
        <v>100</v>
      </c>
      <c r="T46" s="705" t="s">
        <v>14</v>
      </c>
      <c r="U46" s="706">
        <f t="shared" si="13"/>
        <v>100</v>
      </c>
      <c r="V46" s="705" t="s">
        <v>14</v>
      </c>
      <c r="W46" s="706">
        <f t="shared" si="14"/>
        <v>100</v>
      </c>
      <c r="X46" s="1355"/>
      <c r="Y46" s="3686"/>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87" t="str">
        <f>A47</f>
        <v>成交单价（元/平方米）</v>
      </c>
      <c r="Q47" s="3687"/>
      <c r="R47" s="3675">
        <f>E47</f>
        <v>0</v>
      </c>
      <c r="S47" s="3675"/>
      <c r="T47" s="3675">
        <f>G47</f>
        <v>0</v>
      </c>
      <c r="U47" s="3675"/>
      <c r="V47" s="3675">
        <f>I47</f>
        <v>0</v>
      </c>
      <c r="W47" s="3675"/>
      <c r="X47" s="690"/>
      <c r="Y47" s="712"/>
      <c r="Z47" s="690"/>
      <c r="AA47" s="690"/>
      <c r="AB47" s="690"/>
      <c r="AC47" s="690"/>
    </row>
    <row r="48" spans="1:29" ht="15.75" thickBot="1">
      <c r="A48" s="437" t="s">
        <v>1793</v>
      </c>
      <c r="B48" s="438"/>
      <c r="C48" s="1160" t="e">
        <f>R49</f>
        <v>#DIV/0!</v>
      </c>
      <c r="D48" s="2317" t="s">
        <v>2136</v>
      </c>
      <c r="E48" s="1161" t="e">
        <f>R48</f>
        <v>#DIV/0!</v>
      </c>
      <c r="F48" s="2318"/>
      <c r="G48" s="1160" t="e">
        <f>T48</f>
        <v>#DIV/0!</v>
      </c>
      <c r="H48" s="2318"/>
      <c r="I48" s="1161" t="e">
        <f>V48</f>
        <v>#DIV/0!</v>
      </c>
      <c r="J48" s="2318"/>
      <c r="K48" s="2320">
        <f>F48+H48+J48</f>
        <v>0</v>
      </c>
      <c r="L48" s="2724"/>
      <c r="M48" s="2725"/>
      <c r="N48" s="2716"/>
      <c r="O48" s="2725"/>
      <c r="P48" s="3687" t="str">
        <f>A48</f>
        <v>比较价值（元/平方米）</v>
      </c>
      <c r="Q48" s="3687"/>
      <c r="R48" s="3688" t="e">
        <f>IF(F1="售价",ROUND(PRODUCT(R47,AA7:AA46),0),ROUND(PRODUCT(R47,AA7:AA46),1))</f>
        <v>#DIV/0!</v>
      </c>
      <c r="S48" s="3688"/>
      <c r="T48" s="3688" t="e">
        <f>IF(F1="售价",ROUND(PRODUCT(T47,AB7:AB46),0),ROUND(PRODUCT(T47,AB7:AB46),1))</f>
        <v>#DIV/0!</v>
      </c>
      <c r="U48" s="3688"/>
      <c r="V48" s="3688" t="e">
        <f>IF(F1="售价",ROUND(PRODUCT(V47,AC7:AC46),0),ROUND(PRODUCT(V47,AC7:AC46),1))</f>
        <v>#DIV/0!</v>
      </c>
      <c r="W48" s="3688"/>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863" t="str">
        <f>A49</f>
        <v>估价对象XX用房的比较价值（楼面单价，元/平方米）</v>
      </c>
      <c r="Q49" s="3864"/>
      <c r="R49" s="3865" t="e">
        <f>IF(F1="售价",ROUND(IF(D48="简单平均",AVERAGE(R48:V48),R48*F48+T48*H48+V48*J48),0),ROUND(IF(D48="简单平均",AVERAGE(R48:V48),R48*F48+T48*H48+V48*J48),1))</f>
        <v>#DIV/0!</v>
      </c>
      <c r="S49" s="3865"/>
      <c r="T49" s="3865"/>
      <c r="U49" s="3865"/>
      <c r="V49" s="3865"/>
      <c r="W49" s="386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2023-4</v>
      </c>
      <c r="D58" s="1185">
        <f>EDATE(C58,-1)</f>
        <v>44986</v>
      </c>
      <c r="E58" s="1185">
        <f t="shared" ref="E58:N58" si="16">EDATE(D58,-1)</f>
        <v>44958</v>
      </c>
      <c r="F58" s="1185">
        <f t="shared" si="16"/>
        <v>44927</v>
      </c>
      <c r="G58" s="1185">
        <f t="shared" si="16"/>
        <v>44896</v>
      </c>
      <c r="H58" s="1185">
        <f t="shared" si="16"/>
        <v>44866</v>
      </c>
      <c r="I58" s="1185">
        <f t="shared" si="16"/>
        <v>44835</v>
      </c>
      <c r="J58" s="1185">
        <f t="shared" si="16"/>
        <v>44805</v>
      </c>
      <c r="K58" s="1185">
        <f t="shared" si="16"/>
        <v>44774</v>
      </c>
      <c r="L58" s="1185">
        <f t="shared" si="16"/>
        <v>44743</v>
      </c>
      <c r="M58" s="1185">
        <f t="shared" si="16"/>
        <v>44713</v>
      </c>
      <c r="N58" s="1185">
        <f t="shared" si="16"/>
        <v>44682</v>
      </c>
      <c r="O58" s="1185">
        <f>EDATE(N58,-1)</f>
        <v>44652</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408DA-BA85-42E0-B358-EAE68C103035}">
  <sheetPr>
    <tabColor rgb="FF92D050"/>
    <pageSetUpPr fitToPage="1"/>
  </sheetPr>
  <dimension ref="A1:AC132"/>
  <sheetViews>
    <sheetView view="pageBreakPreview" topLeftCell="A16" zoomScale="80" zoomScaleNormal="70" zoomScaleSheetLayoutView="80" workbookViewId="0">
      <selection activeCell="H61" sqref="H6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1663</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685</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686</v>
      </c>
      <c r="B3" s="558">
        <f>IF(C2="——",C50,ROUND(B2*10000/D3,0))</f>
        <v>0</v>
      </c>
      <c r="C3" s="354" t="s">
        <v>1665</v>
      </c>
      <c r="D3" s="353">
        <f>IF(D1="",'数据-汇总表'!E3,SUMIF('数据-汇总表'!$C19:$C33,D1,'数据-汇总表'!$E19:$E33))</f>
        <v>9265.11</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1666</v>
      </c>
      <c r="B4" s="356"/>
      <c r="C4" s="3662" t="s">
        <v>1667</v>
      </c>
      <c r="D4" s="3663"/>
      <c r="E4" s="3664" t="s">
        <v>1668</v>
      </c>
      <c r="F4" s="3665"/>
      <c r="G4" s="3662" t="s">
        <v>1669</v>
      </c>
      <c r="H4" s="3663"/>
      <c r="I4" s="3662" t="s">
        <v>1670</v>
      </c>
      <c r="J4" s="3663"/>
      <c r="K4" s="559" t="s">
        <v>1671</v>
      </c>
      <c r="L4" s="2715"/>
      <c r="M4" s="2716"/>
      <c r="N4" s="2716"/>
      <c r="O4" s="2716"/>
      <c r="P4" s="3666" t="s">
        <v>1672</v>
      </c>
      <c r="Q4" s="3667"/>
      <c r="R4" s="3644" t="s">
        <v>1668</v>
      </c>
      <c r="S4" s="3645"/>
      <c r="T4" s="3644" t="s">
        <v>1669</v>
      </c>
      <c r="U4" s="3645"/>
      <c r="V4" s="3674" t="s">
        <v>1670</v>
      </c>
      <c r="W4" s="3674"/>
      <c r="X4" s="3457"/>
      <c r="Y4" s="3644" t="s">
        <v>1672</v>
      </c>
      <c r="Z4" s="3645"/>
      <c r="AA4" s="3639" t="s">
        <v>1668</v>
      </c>
      <c r="AB4" s="3639" t="s">
        <v>1669</v>
      </c>
      <c r="AC4" s="3659" t="s">
        <v>1670</v>
      </c>
    </row>
    <row r="5" spans="1:29" ht="15">
      <c r="A5" s="358"/>
      <c r="B5" s="359"/>
      <c r="C5" s="3650" t="s">
        <v>1673</v>
      </c>
      <c r="D5" s="3651"/>
      <c r="E5" s="3648" t="s">
        <v>3541</v>
      </c>
      <c r="F5" s="3649"/>
      <c r="G5" s="3654" t="s">
        <v>3542</v>
      </c>
      <c r="H5" s="3651"/>
      <c r="I5" s="3654" t="s">
        <v>3543</v>
      </c>
      <c r="J5" s="3651"/>
      <c r="K5" s="559"/>
      <c r="L5" s="2715"/>
      <c r="M5" s="2716"/>
      <c r="N5" s="2716"/>
      <c r="O5" s="2716"/>
      <c r="P5" s="3668"/>
      <c r="Q5" s="3669"/>
      <c r="R5" s="3646"/>
      <c r="S5" s="3647"/>
      <c r="T5" s="3646"/>
      <c r="U5" s="3647"/>
      <c r="V5" s="3675"/>
      <c r="W5" s="3675"/>
      <c r="X5" s="3455"/>
      <c r="Y5" s="3646"/>
      <c r="Z5" s="3647"/>
      <c r="AA5" s="3640"/>
      <c r="AB5" s="3640"/>
      <c r="AC5" s="3660"/>
    </row>
    <row r="6" spans="1:29" ht="15.75" thickBot="1">
      <c r="A6" s="360"/>
      <c r="B6" s="361"/>
      <c r="C6" s="3652" t="s">
        <v>1677</v>
      </c>
      <c r="D6" s="3653"/>
      <c r="E6" s="3655" t="s">
        <v>1677</v>
      </c>
      <c r="F6" s="3656"/>
      <c r="G6" s="3652" t="s">
        <v>1677</v>
      </c>
      <c r="H6" s="3653"/>
      <c r="I6" s="3652" t="s">
        <v>1677</v>
      </c>
      <c r="J6" s="3653"/>
      <c r="K6" s="559" t="s">
        <v>1678</v>
      </c>
      <c r="L6" s="2715"/>
      <c r="M6" s="2716"/>
      <c r="N6" s="2716"/>
      <c r="O6" s="2716"/>
      <c r="P6" s="3670"/>
      <c r="Q6" s="3671"/>
      <c r="R6" s="3646"/>
      <c r="S6" s="3647"/>
      <c r="T6" s="3672"/>
      <c r="U6" s="3673"/>
      <c r="V6" s="3675"/>
      <c r="W6" s="3675"/>
      <c r="X6" s="3455"/>
      <c r="Y6" s="3672"/>
      <c r="Z6" s="3673"/>
      <c r="AA6" s="3641"/>
      <c r="AB6" s="3641"/>
      <c r="AC6" s="3661"/>
    </row>
    <row r="7" spans="1:29" s="108" customFormat="1" ht="15.75" thickBot="1">
      <c r="A7" s="362" t="s">
        <v>1679</v>
      </c>
      <c r="B7" s="363"/>
      <c r="C7" s="364">
        <f>'数据-取费表'!B2</f>
        <v>45033</v>
      </c>
      <c r="D7" s="365">
        <v>100</v>
      </c>
      <c r="E7" s="366">
        <v>45017</v>
      </c>
      <c r="F7" s="367">
        <f>SUMIF(59:59,YEAR(E7)&amp;"-"&amp;MONTH(E7),60:60)</f>
        <v>100</v>
      </c>
      <c r="G7" s="366">
        <v>44986</v>
      </c>
      <c r="H7" s="365">
        <f>SUMIF(59:59,YEAR(G7)&amp;"-"&amp;MONTH(G7),60:60)</f>
        <v>100</v>
      </c>
      <c r="I7" s="366">
        <v>44958</v>
      </c>
      <c r="J7" s="365">
        <f>SUMIF(59:59,YEAR(I7)&amp;"-"&amp;MONTH(I7),60:60)</f>
        <v>100</v>
      </c>
      <c r="K7" s="560"/>
      <c r="L7" s="2717"/>
      <c r="M7" s="2718"/>
      <c r="N7" s="2718"/>
      <c r="O7" s="2718"/>
      <c r="P7" s="3676" t="s">
        <v>1680</v>
      </c>
      <c r="Q7" s="3677"/>
      <c r="R7" s="701" t="s">
        <v>14</v>
      </c>
      <c r="S7" s="702">
        <f t="shared" ref="S7:S15" si="0">F7</f>
        <v>100</v>
      </c>
      <c r="T7" s="701" t="s">
        <v>14</v>
      </c>
      <c r="U7" s="702">
        <f t="shared" ref="U7:U15" si="1">H7</f>
        <v>100</v>
      </c>
      <c r="V7" s="701" t="s">
        <v>14</v>
      </c>
      <c r="W7" s="702">
        <f t="shared" ref="W7:W15" si="2">J7</f>
        <v>100</v>
      </c>
      <c r="X7" s="703"/>
      <c r="Y7" s="3642" t="s">
        <v>1680</v>
      </c>
      <c r="Z7" s="3643"/>
      <c r="AA7" s="704">
        <f>D7/F7</f>
        <v>1</v>
      </c>
      <c r="AB7" s="704">
        <f>D7/H7</f>
        <v>1</v>
      </c>
      <c r="AC7" s="1959">
        <f>D7/J7</f>
        <v>1</v>
      </c>
    </row>
    <row r="8" spans="1:29" s="108" customFormat="1" ht="15.75" thickBot="1">
      <c r="A8" s="362" t="s">
        <v>1681</v>
      </c>
      <c r="B8" s="363"/>
      <c r="C8" s="368" t="s">
        <v>3544</v>
      </c>
      <c r="D8" s="365">
        <v>100</v>
      </c>
      <c r="E8" s="368" t="s">
        <v>3544</v>
      </c>
      <c r="F8" s="367">
        <f>SUMIF(62:62,E8,63:63)-SUMIF(62:62,C8,63:63)+100</f>
        <v>100</v>
      </c>
      <c r="G8" s="368" t="s">
        <v>3544</v>
      </c>
      <c r="H8" s="365">
        <f>SUMIF(62:62,G8,63:63)-SUMIF(62:62,C8,63:63)+100</f>
        <v>100</v>
      </c>
      <c r="I8" s="368" t="s">
        <v>3544</v>
      </c>
      <c r="J8" s="365">
        <f>SUMIF(62:62,I8,63:63)-SUMIF(62:62,C8,63:63)+100</f>
        <v>100</v>
      </c>
      <c r="K8" s="560"/>
      <c r="L8" s="2717"/>
      <c r="M8" s="2718"/>
      <c r="N8" s="2718"/>
      <c r="O8" s="2718"/>
      <c r="P8" s="3676" t="s">
        <v>1683</v>
      </c>
      <c r="Q8" s="3643"/>
      <c r="R8" s="701" t="s">
        <v>14</v>
      </c>
      <c r="S8" s="702">
        <f t="shared" si="0"/>
        <v>100</v>
      </c>
      <c r="T8" s="701" t="s">
        <v>14</v>
      </c>
      <c r="U8" s="702">
        <f t="shared" si="1"/>
        <v>100</v>
      </c>
      <c r="V8" s="701" t="s">
        <v>14</v>
      </c>
      <c r="W8" s="702">
        <f t="shared" si="2"/>
        <v>100</v>
      </c>
      <c r="X8" s="703"/>
      <c r="Y8" s="3642" t="s">
        <v>1683</v>
      </c>
      <c r="Z8" s="3643"/>
      <c r="AA8" s="704">
        <f t="shared" ref="AA8:AA47" si="3">D8/F8</f>
        <v>1</v>
      </c>
      <c r="AB8" s="704">
        <f t="shared" ref="AB8:AB47" si="4">D8/H8</f>
        <v>1</v>
      </c>
      <c r="AC8" s="1959">
        <f t="shared" ref="AC8:AC47" si="5">D8/J8</f>
        <v>1</v>
      </c>
    </row>
    <row r="9" spans="1:29" s="108" customFormat="1" ht="15">
      <c r="A9" s="369" t="s">
        <v>1684</v>
      </c>
      <c r="B9" s="63" t="s">
        <v>1685</v>
      </c>
      <c r="C9" s="3527" t="s">
        <v>3545</v>
      </c>
      <c r="D9" s="126">
        <v>100</v>
      </c>
      <c r="E9" s="373" t="s">
        <v>21</v>
      </c>
      <c r="F9" s="126">
        <f>SUMIF(64:64,E9,65:65)-SUMIF(64:64,C9,65:65)+100</f>
        <v>105</v>
      </c>
      <c r="G9" s="373" t="s">
        <v>21</v>
      </c>
      <c r="H9" s="126">
        <f>SUMIF(64:64,G9,65:65)-SUMIF(64:64,C9,65:65)+100</f>
        <v>105</v>
      </c>
      <c r="I9" s="373" t="s">
        <v>21</v>
      </c>
      <c r="J9" s="126">
        <f>SUMIF(64:64,I9,65:65)-SUMIF(64:64,C9,65:65)+100</f>
        <v>105</v>
      </c>
      <c r="K9" s="560"/>
      <c r="L9" s="2717"/>
      <c r="M9" s="2718"/>
      <c r="N9" s="2718"/>
      <c r="O9" s="2718"/>
      <c r="P9" s="3657" t="s">
        <v>1686</v>
      </c>
      <c r="Q9" s="3451" t="str">
        <f t="shared" ref="Q9:Q15" si="6">B9</f>
        <v>用途</v>
      </c>
      <c r="R9" s="701" t="s">
        <v>14</v>
      </c>
      <c r="S9" s="702">
        <f t="shared" si="0"/>
        <v>105</v>
      </c>
      <c r="T9" s="701" t="s">
        <v>14</v>
      </c>
      <c r="U9" s="702">
        <f t="shared" si="1"/>
        <v>105</v>
      </c>
      <c r="V9" s="701" t="s">
        <v>14</v>
      </c>
      <c r="W9" s="702">
        <f t="shared" si="2"/>
        <v>105</v>
      </c>
      <c r="X9" s="703"/>
      <c r="Y9" s="3658" t="s">
        <v>1687</v>
      </c>
      <c r="Z9" s="3450" t="str">
        <f t="shared" ref="Z9:Z15" si="7">Q9</f>
        <v>用途</v>
      </c>
      <c r="AA9" s="704">
        <f t="shared" si="3"/>
        <v>0.95238095238095233</v>
      </c>
      <c r="AB9" s="704">
        <f t="shared" si="4"/>
        <v>0.95238095238095233</v>
      </c>
      <c r="AC9" s="1959">
        <f t="shared" si="5"/>
        <v>0.95238095238095233</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57"/>
      <c r="Q10" s="3451" t="str">
        <f t="shared" si="6"/>
        <v>土地使用年限（年）</v>
      </c>
      <c r="R10" s="701" t="s">
        <v>14</v>
      </c>
      <c r="S10" s="702">
        <f t="shared" si="0"/>
        <v>100</v>
      </c>
      <c r="T10" s="701" t="s">
        <v>14</v>
      </c>
      <c r="U10" s="702">
        <f t="shared" si="1"/>
        <v>100</v>
      </c>
      <c r="V10" s="701" t="s">
        <v>14</v>
      </c>
      <c r="W10" s="702">
        <f t="shared" si="2"/>
        <v>100</v>
      </c>
      <c r="X10" s="703"/>
      <c r="Y10" s="3658"/>
      <c r="Z10" s="3450"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57"/>
      <c r="Q11" s="3451" t="str">
        <f t="shared" si="6"/>
        <v>容积率</v>
      </c>
      <c r="R11" s="701" t="s">
        <v>14</v>
      </c>
      <c r="S11" s="702">
        <f t="shared" si="0"/>
        <v>100</v>
      </c>
      <c r="T11" s="701" t="s">
        <v>14</v>
      </c>
      <c r="U11" s="702">
        <f t="shared" si="1"/>
        <v>100</v>
      </c>
      <c r="V11" s="701" t="s">
        <v>14</v>
      </c>
      <c r="W11" s="702">
        <f t="shared" si="2"/>
        <v>100</v>
      </c>
      <c r="X11" s="703"/>
      <c r="Y11" s="3658"/>
      <c r="Z11" s="3450"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57"/>
      <c r="Q12" s="3451">
        <f t="shared" si="6"/>
        <v>111</v>
      </c>
      <c r="R12" s="701" t="s">
        <v>14</v>
      </c>
      <c r="S12" s="702">
        <f t="shared" si="0"/>
        <v>100</v>
      </c>
      <c r="T12" s="701" t="s">
        <v>14</v>
      </c>
      <c r="U12" s="702">
        <f t="shared" si="1"/>
        <v>100</v>
      </c>
      <c r="V12" s="701" t="s">
        <v>14</v>
      </c>
      <c r="W12" s="702">
        <f t="shared" si="2"/>
        <v>100</v>
      </c>
      <c r="X12" s="703"/>
      <c r="Y12" s="3658"/>
      <c r="Z12" s="3450">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57"/>
      <c r="Q13" s="3451">
        <f t="shared" si="6"/>
        <v>111</v>
      </c>
      <c r="R13" s="701" t="s">
        <v>14</v>
      </c>
      <c r="S13" s="702">
        <f t="shared" si="0"/>
        <v>100</v>
      </c>
      <c r="T13" s="701" t="s">
        <v>14</v>
      </c>
      <c r="U13" s="702">
        <f t="shared" si="1"/>
        <v>100</v>
      </c>
      <c r="V13" s="701" t="s">
        <v>14</v>
      </c>
      <c r="W13" s="702">
        <f t="shared" si="2"/>
        <v>100</v>
      </c>
      <c r="X13" s="703"/>
      <c r="Y13" s="3658"/>
      <c r="Z13" s="3450">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57"/>
      <c r="Q14" s="3451">
        <f t="shared" si="6"/>
        <v>111</v>
      </c>
      <c r="R14" s="701" t="s">
        <v>14</v>
      </c>
      <c r="S14" s="702">
        <f t="shared" si="0"/>
        <v>100</v>
      </c>
      <c r="T14" s="701" t="s">
        <v>14</v>
      </c>
      <c r="U14" s="702">
        <f t="shared" si="1"/>
        <v>100</v>
      </c>
      <c r="V14" s="701" t="s">
        <v>14</v>
      </c>
      <c r="W14" s="702">
        <f t="shared" si="2"/>
        <v>100</v>
      </c>
      <c r="X14" s="703"/>
      <c r="Y14" s="3658"/>
      <c r="Z14" s="3450">
        <f t="shared" si="7"/>
        <v>111</v>
      </c>
      <c r="AA14" s="704">
        <f t="shared" si="3"/>
        <v>1</v>
      </c>
      <c r="AB14" s="704">
        <f t="shared" si="4"/>
        <v>1</v>
      </c>
      <c r="AC14" s="1959">
        <f t="shared" si="5"/>
        <v>1</v>
      </c>
    </row>
    <row r="15" spans="1:29" ht="71.25">
      <c r="A15" s="391" t="s">
        <v>1690</v>
      </c>
      <c r="B15" s="577" t="s">
        <v>1811</v>
      </c>
      <c r="C15" s="1961" t="str">
        <f>估价对象房地状况!C5</f>
        <v>估价对象位于望京商圈，周边有利星行、悠乐汇等办公项目，入驻率高，办公集聚程度较好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8" t="s">
        <v>1691</v>
      </c>
      <c r="Q15" s="3453" t="str">
        <f t="shared" si="6"/>
        <v>办公集聚程度</v>
      </c>
      <c r="R15" s="705" t="s">
        <v>14</v>
      </c>
      <c r="S15" s="706">
        <f t="shared" si="0"/>
        <v>100</v>
      </c>
      <c r="T15" s="705" t="s">
        <v>14</v>
      </c>
      <c r="U15" s="706">
        <f t="shared" si="1"/>
        <v>100</v>
      </c>
      <c r="V15" s="705" t="s">
        <v>14</v>
      </c>
      <c r="W15" s="706">
        <f t="shared" si="2"/>
        <v>100</v>
      </c>
      <c r="X15" s="3455"/>
      <c r="Y15" s="3680" t="s">
        <v>1691</v>
      </c>
      <c r="Z15" s="3456" t="str">
        <f t="shared" si="7"/>
        <v>办公集聚程度</v>
      </c>
      <c r="AA15" s="3454">
        <f t="shared" si="3"/>
        <v>1</v>
      </c>
      <c r="AB15" s="3454">
        <f t="shared" si="4"/>
        <v>1</v>
      </c>
      <c r="AC15" s="1962">
        <f t="shared" si="5"/>
        <v>1</v>
      </c>
    </row>
    <row r="16" spans="1:29" ht="15">
      <c r="A16" s="379"/>
      <c r="B16" s="578"/>
      <c r="C16" s="1904"/>
      <c r="D16" s="399"/>
      <c r="E16" s="398"/>
      <c r="F16" s="399"/>
      <c r="G16" s="1904"/>
      <c r="H16" s="401"/>
      <c r="I16" s="398"/>
      <c r="J16" s="399"/>
      <c r="K16" s="564"/>
      <c r="L16" s="2722"/>
      <c r="M16" s="2716"/>
      <c r="N16" s="2716"/>
      <c r="O16" s="2716"/>
      <c r="P16" s="3679"/>
      <c r="Q16" s="3453"/>
      <c r="R16" s="705"/>
      <c r="S16" s="706"/>
      <c r="T16" s="705"/>
      <c r="U16" s="706"/>
      <c r="V16" s="705"/>
      <c r="W16" s="706"/>
      <c r="X16" s="3455"/>
      <c r="Y16" s="3681"/>
      <c r="Z16" s="3456"/>
      <c r="AA16" s="3454">
        <v>1</v>
      </c>
      <c r="AB16" s="3454">
        <v>1</v>
      </c>
      <c r="AC16" s="1962">
        <v>1</v>
      </c>
    </row>
    <row r="17" spans="1:29" ht="142.5">
      <c r="A17" s="379"/>
      <c r="B17" s="579" t="s">
        <v>1259</v>
      </c>
      <c r="C17" s="1963" t="str">
        <f>估价对象房地状况!C6</f>
        <v>估价对象周边有132路、404路、421路、451路、593路等多条公交线路，距离地铁14号线阜通站约200米，周边道路网线较密集，通达度较好。综合评价交通便捷度较好。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79"/>
      <c r="Q17" s="3453" t="str">
        <f>B17</f>
        <v>交通便捷度</v>
      </c>
      <c r="R17" s="705" t="s">
        <v>14</v>
      </c>
      <c r="S17" s="706">
        <f>F17</f>
        <v>100</v>
      </c>
      <c r="T17" s="705" t="s">
        <v>14</v>
      </c>
      <c r="U17" s="706">
        <f>H17</f>
        <v>100</v>
      </c>
      <c r="V17" s="705" t="s">
        <v>14</v>
      </c>
      <c r="W17" s="706">
        <f>J17</f>
        <v>100</v>
      </c>
      <c r="X17" s="3455"/>
      <c r="Y17" s="3681"/>
      <c r="Z17" s="3456" t="str">
        <f>Q17</f>
        <v>交通便捷度</v>
      </c>
      <c r="AA17" s="3454">
        <f t="shared" si="3"/>
        <v>1</v>
      </c>
      <c r="AB17" s="3454">
        <f t="shared" si="4"/>
        <v>1</v>
      </c>
      <c r="AC17" s="1962">
        <f t="shared" si="5"/>
        <v>1</v>
      </c>
    </row>
    <row r="18" spans="1:29" ht="15">
      <c r="A18" s="379"/>
      <c r="B18" s="580"/>
      <c r="C18" s="1964"/>
      <c r="D18" s="401"/>
      <c r="E18" s="1902"/>
      <c r="F18" s="401"/>
      <c r="G18" s="1903"/>
      <c r="H18" s="399"/>
      <c r="I18" s="1903"/>
      <c r="J18" s="399"/>
      <c r="K18" s="564"/>
      <c r="L18" s="2722"/>
      <c r="M18" s="2716"/>
      <c r="N18" s="2716"/>
      <c r="O18" s="2716"/>
      <c r="P18" s="3679"/>
      <c r="Q18" s="3453"/>
      <c r="R18" s="705"/>
      <c r="S18" s="706"/>
      <c r="T18" s="705"/>
      <c r="U18" s="706"/>
      <c r="V18" s="705"/>
      <c r="W18" s="706"/>
      <c r="X18" s="3455"/>
      <c r="Y18" s="3681"/>
      <c r="Z18" s="3456"/>
      <c r="AA18" s="3454">
        <v>1</v>
      </c>
      <c r="AB18" s="3454">
        <v>1</v>
      </c>
      <c r="AC18" s="1962">
        <v>1</v>
      </c>
    </row>
    <row r="19" spans="1:29" ht="313.5">
      <c r="A19" s="379"/>
      <c r="B19" s="579" t="s">
        <v>1812</v>
      </c>
      <c r="C19" s="1963" t="str">
        <f>估价对象房地状况!C7</f>
        <v>周边1公里内的公共服务配套设施较齐备，有购物场所（凯德MALL、新世界百货、物美大卖场、京客隆等）、医院（中国中医科学院望京医院、北京明德医院、南湖东园社区卫生服务站等）、银行（中国光大银行、广发银行、友利银行等）、学校（中央美术学院、首师大附属实验学校（南校区）、陈经伦中学分校（南湖东园校区）、南湖中园小学、望京新城幼儿园等）等公共服务配套设施。</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79"/>
      <c r="Q19" s="3453" t="str">
        <f>B19</f>
        <v>公共配套设施</v>
      </c>
      <c r="R19" s="705" t="s">
        <v>14</v>
      </c>
      <c r="S19" s="706">
        <f>F19</f>
        <v>100</v>
      </c>
      <c r="T19" s="705" t="s">
        <v>14</v>
      </c>
      <c r="U19" s="706">
        <f>H19</f>
        <v>100</v>
      </c>
      <c r="V19" s="705" t="s">
        <v>14</v>
      </c>
      <c r="W19" s="706">
        <f>J19</f>
        <v>100</v>
      </c>
      <c r="X19" s="3455"/>
      <c r="Y19" s="3681"/>
      <c r="Z19" s="3456" t="str">
        <f>Q19</f>
        <v>公共配套设施</v>
      </c>
      <c r="AA19" s="3454">
        <f t="shared" si="3"/>
        <v>1</v>
      </c>
      <c r="AB19" s="3454">
        <f t="shared" si="4"/>
        <v>1</v>
      </c>
      <c r="AC19" s="1962">
        <f t="shared" si="5"/>
        <v>1</v>
      </c>
    </row>
    <row r="20" spans="1:29" ht="15">
      <c r="A20" s="379"/>
      <c r="B20" s="580"/>
      <c r="C20" s="1904"/>
      <c r="D20" s="399"/>
      <c r="E20" s="1897"/>
      <c r="F20" s="399"/>
      <c r="G20" s="1898"/>
      <c r="H20" s="399"/>
      <c r="I20" s="1898"/>
      <c r="J20" s="399"/>
      <c r="K20" s="564"/>
      <c r="L20" s="2722"/>
      <c r="M20" s="2716"/>
      <c r="N20" s="2716"/>
      <c r="O20" s="2716"/>
      <c r="P20" s="3679"/>
      <c r="Q20" s="3453"/>
      <c r="R20" s="705"/>
      <c r="S20" s="706"/>
      <c r="T20" s="705"/>
      <c r="U20" s="706"/>
      <c r="V20" s="705"/>
      <c r="W20" s="706"/>
      <c r="X20" s="3455"/>
      <c r="Y20" s="3681"/>
      <c r="Z20" s="3456"/>
      <c r="AA20" s="3454">
        <v>1</v>
      </c>
      <c r="AB20" s="3454">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79"/>
      <c r="Q21" s="3453" t="str">
        <f>B21</f>
        <v>基础设施水平</v>
      </c>
      <c r="R21" s="705" t="s">
        <v>14</v>
      </c>
      <c r="S21" s="706">
        <f>F21</f>
        <v>100</v>
      </c>
      <c r="T21" s="705" t="s">
        <v>14</v>
      </c>
      <c r="U21" s="706">
        <f>H21</f>
        <v>100</v>
      </c>
      <c r="V21" s="705" t="s">
        <v>14</v>
      </c>
      <c r="W21" s="706">
        <f>J21</f>
        <v>100</v>
      </c>
      <c r="X21" s="3455"/>
      <c r="Y21" s="3681"/>
      <c r="Z21" s="3456" t="str">
        <f>Q21</f>
        <v>基础设施水平</v>
      </c>
      <c r="AA21" s="3454">
        <f t="shared" ref="AA21" si="8">D21/F21</f>
        <v>1</v>
      </c>
      <c r="AB21" s="3454">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79"/>
      <c r="Q22" s="3453"/>
      <c r="R22" s="705"/>
      <c r="S22" s="706"/>
      <c r="T22" s="705"/>
      <c r="U22" s="706"/>
      <c r="V22" s="705"/>
      <c r="W22" s="706"/>
      <c r="X22" s="3455"/>
      <c r="Y22" s="3681"/>
      <c r="Z22" s="3456"/>
      <c r="AA22" s="3454">
        <v>1</v>
      </c>
      <c r="AB22" s="3454">
        <v>1</v>
      </c>
      <c r="AC22" s="1962">
        <v>1</v>
      </c>
    </row>
    <row r="23" spans="1:29" ht="85.5">
      <c r="A23" s="379"/>
      <c r="B23" s="579" t="s">
        <v>1814</v>
      </c>
      <c r="C23" s="1963" t="str">
        <f>估价对象房地状况!C9</f>
        <v>估价对象周边有望京文化体育公园、望京文化广场等自然人文场所，综合评价环境状况一般。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79"/>
      <c r="Q23" s="3453" t="str">
        <f>B23</f>
        <v>环境质量</v>
      </c>
      <c r="R23" s="705" t="s">
        <v>14</v>
      </c>
      <c r="S23" s="706">
        <f>F23</f>
        <v>100</v>
      </c>
      <c r="T23" s="705" t="s">
        <v>14</v>
      </c>
      <c r="U23" s="706">
        <f>H23</f>
        <v>100</v>
      </c>
      <c r="V23" s="705" t="s">
        <v>14</v>
      </c>
      <c r="W23" s="706">
        <f>J23</f>
        <v>100</v>
      </c>
      <c r="X23" s="3455"/>
      <c r="Y23" s="3681"/>
      <c r="Z23" s="3456" t="str">
        <f>Q23</f>
        <v>环境质量</v>
      </c>
      <c r="AA23" s="3454">
        <f t="shared" si="3"/>
        <v>1</v>
      </c>
      <c r="AB23" s="3454">
        <f t="shared" si="4"/>
        <v>1</v>
      </c>
      <c r="AC23" s="1962">
        <f t="shared" si="5"/>
        <v>1</v>
      </c>
    </row>
    <row r="24" spans="1:29" ht="15">
      <c r="A24" s="379"/>
      <c r="B24" s="581"/>
      <c r="C24" s="1904"/>
      <c r="D24" s="399"/>
      <c r="E24" s="1897"/>
      <c r="F24" s="399"/>
      <c r="G24" s="1898"/>
      <c r="H24" s="399"/>
      <c r="I24" s="1898"/>
      <c r="J24" s="399"/>
      <c r="K24" s="564"/>
      <c r="L24" s="2722"/>
      <c r="M24" s="2716"/>
      <c r="N24" s="2716"/>
      <c r="O24" s="2716"/>
      <c r="P24" s="3679"/>
      <c r="Q24" s="3453"/>
      <c r="R24" s="705"/>
      <c r="S24" s="706"/>
      <c r="T24" s="705"/>
      <c r="U24" s="706"/>
      <c r="V24" s="705"/>
      <c r="W24" s="706"/>
      <c r="X24" s="3455"/>
      <c r="Y24" s="3681"/>
      <c r="Z24" s="3456"/>
      <c r="AA24" s="3454">
        <v>1</v>
      </c>
      <c r="AB24" s="3454">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79"/>
      <c r="Q25" s="3453" t="str">
        <f>B25</f>
        <v>毗邻道路的类型与等级</v>
      </c>
      <c r="R25" s="705" t="s">
        <v>14</v>
      </c>
      <c r="S25" s="706">
        <f>F25</f>
        <v>100</v>
      </c>
      <c r="T25" s="705" t="s">
        <v>14</v>
      </c>
      <c r="U25" s="706">
        <f>H25</f>
        <v>100</v>
      </c>
      <c r="V25" s="705" t="s">
        <v>14</v>
      </c>
      <c r="W25" s="706">
        <f>J25</f>
        <v>100</v>
      </c>
      <c r="X25" s="3455"/>
      <c r="Y25" s="3681"/>
      <c r="Z25" s="3456" t="str">
        <f>Q25</f>
        <v>毗邻道路的类型与等级</v>
      </c>
      <c r="AA25" s="3454">
        <f t="shared" si="3"/>
        <v>1</v>
      </c>
      <c r="AB25" s="3454">
        <f t="shared" si="4"/>
        <v>1</v>
      </c>
      <c r="AC25" s="1962">
        <f t="shared" si="5"/>
        <v>1</v>
      </c>
    </row>
    <row r="26" spans="1:29" ht="15">
      <c r="A26" s="358"/>
      <c r="B26" s="580"/>
      <c r="C26" s="582"/>
      <c r="D26" s="386"/>
      <c r="E26" s="565"/>
      <c r="F26" s="386"/>
      <c r="G26" s="582"/>
      <c r="H26" s="386"/>
      <c r="I26" s="565"/>
      <c r="J26" s="386"/>
      <c r="K26" s="564"/>
      <c r="L26" s="2722"/>
      <c r="M26" s="2716"/>
      <c r="N26" s="2716"/>
      <c r="O26" s="2716"/>
      <c r="P26" s="3679"/>
      <c r="Q26" s="3453"/>
      <c r="R26" s="705"/>
      <c r="S26" s="706"/>
      <c r="T26" s="705"/>
      <c r="U26" s="706"/>
      <c r="V26" s="705"/>
      <c r="W26" s="706"/>
      <c r="X26" s="3455"/>
      <c r="Y26" s="3681"/>
      <c r="Z26" s="3456"/>
      <c r="AA26" s="3454">
        <v>1</v>
      </c>
      <c r="AB26" s="3454">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79"/>
      <c r="Q27" s="3453" t="str">
        <f t="shared" ref="Q27:Q47" si="11">B27</f>
        <v>楼层</v>
      </c>
      <c r="R27" s="705" t="s">
        <v>14</v>
      </c>
      <c r="S27" s="706">
        <f>F27</f>
        <v>100</v>
      </c>
      <c r="T27" s="705" t="s">
        <v>14</v>
      </c>
      <c r="U27" s="706">
        <f>H27</f>
        <v>100</v>
      </c>
      <c r="V27" s="705" t="s">
        <v>14</v>
      </c>
      <c r="W27" s="706">
        <f>J27</f>
        <v>100</v>
      </c>
      <c r="X27" s="3455"/>
      <c r="Y27" s="3681"/>
      <c r="Z27" s="3456" t="str">
        <f>Q27</f>
        <v>楼层</v>
      </c>
      <c r="AA27" s="3454">
        <f t="shared" si="3"/>
        <v>1</v>
      </c>
      <c r="AB27" s="3454">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9"/>
      <c r="Q28" s="3451" t="str">
        <f t="shared" si="11"/>
        <v>朝向</v>
      </c>
      <c r="R28" s="701" t="s">
        <v>14</v>
      </c>
      <c r="S28" s="702">
        <f>F28</f>
        <v>100</v>
      </c>
      <c r="T28" s="701" t="s">
        <v>14</v>
      </c>
      <c r="U28" s="702">
        <f>H28</f>
        <v>100</v>
      </c>
      <c r="V28" s="701" t="s">
        <v>14</v>
      </c>
      <c r="W28" s="702">
        <f>J28</f>
        <v>100</v>
      </c>
      <c r="X28" s="703"/>
      <c r="Y28" s="3681"/>
      <c r="Z28" s="3450" t="str">
        <f>Q28</f>
        <v>朝向</v>
      </c>
      <c r="AA28" s="3454">
        <f>D28/F28</f>
        <v>1</v>
      </c>
      <c r="AB28" s="3454">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79"/>
      <c r="Q29" s="3453">
        <f t="shared" si="11"/>
        <v>111</v>
      </c>
      <c r="R29" s="705" t="s">
        <v>14</v>
      </c>
      <c r="S29" s="706">
        <f t="shared" ref="S29:S47" si="12">F29</f>
        <v>100</v>
      </c>
      <c r="T29" s="705" t="s">
        <v>14</v>
      </c>
      <c r="U29" s="706">
        <f t="shared" ref="U29:U47" si="13">H29</f>
        <v>100</v>
      </c>
      <c r="V29" s="705" t="s">
        <v>14</v>
      </c>
      <c r="W29" s="706">
        <f t="shared" ref="W29:W47" si="14">J29</f>
        <v>100</v>
      </c>
      <c r="X29" s="3455"/>
      <c r="Y29" s="3681"/>
      <c r="Z29" s="3456">
        <f t="shared" ref="Z29:Z47" si="15">Q29</f>
        <v>111</v>
      </c>
      <c r="AA29" s="3454">
        <f t="shared" si="3"/>
        <v>1</v>
      </c>
      <c r="AB29" s="3454">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9"/>
      <c r="Q30" s="3453">
        <f t="shared" si="11"/>
        <v>111</v>
      </c>
      <c r="R30" s="705" t="s">
        <v>14</v>
      </c>
      <c r="S30" s="706">
        <f t="shared" si="12"/>
        <v>100</v>
      </c>
      <c r="T30" s="705" t="s">
        <v>14</v>
      </c>
      <c r="U30" s="706">
        <f t="shared" si="13"/>
        <v>100</v>
      </c>
      <c r="V30" s="705" t="s">
        <v>14</v>
      </c>
      <c r="W30" s="706">
        <f t="shared" si="14"/>
        <v>100</v>
      </c>
      <c r="X30" s="3455"/>
      <c r="Y30" s="3681"/>
      <c r="Z30" s="3456">
        <f t="shared" si="15"/>
        <v>111</v>
      </c>
      <c r="AA30" s="3454">
        <f t="shared" si="3"/>
        <v>1</v>
      </c>
      <c r="AB30" s="3454">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9"/>
      <c r="Q31" s="3453">
        <f t="shared" si="11"/>
        <v>111</v>
      </c>
      <c r="R31" s="705" t="s">
        <v>14</v>
      </c>
      <c r="S31" s="706">
        <f t="shared" si="12"/>
        <v>100</v>
      </c>
      <c r="T31" s="705" t="s">
        <v>14</v>
      </c>
      <c r="U31" s="706">
        <f t="shared" si="13"/>
        <v>100</v>
      </c>
      <c r="V31" s="705" t="s">
        <v>14</v>
      </c>
      <c r="W31" s="706">
        <f t="shared" si="14"/>
        <v>100</v>
      </c>
      <c r="X31" s="3455"/>
      <c r="Y31" s="3681"/>
      <c r="Z31" s="3456">
        <f t="shared" si="15"/>
        <v>111</v>
      </c>
      <c r="AA31" s="3454">
        <f t="shared" si="3"/>
        <v>1</v>
      </c>
      <c r="AB31" s="3454">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9"/>
      <c r="Q32" s="3453">
        <f t="shared" si="11"/>
        <v>111</v>
      </c>
      <c r="R32" s="705" t="s">
        <v>14</v>
      </c>
      <c r="S32" s="706">
        <f t="shared" si="12"/>
        <v>100</v>
      </c>
      <c r="T32" s="705" t="s">
        <v>14</v>
      </c>
      <c r="U32" s="706">
        <f t="shared" si="13"/>
        <v>100</v>
      </c>
      <c r="V32" s="705" t="s">
        <v>14</v>
      </c>
      <c r="W32" s="706">
        <f t="shared" si="14"/>
        <v>100</v>
      </c>
      <c r="X32" s="3455"/>
      <c r="Y32" s="3681"/>
      <c r="Z32" s="3456">
        <f t="shared" si="15"/>
        <v>111</v>
      </c>
      <c r="AA32" s="3454">
        <f t="shared" si="3"/>
        <v>1</v>
      </c>
      <c r="AB32" s="3454">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82" t="s">
        <v>1696</v>
      </c>
      <c r="Q33" s="3453" t="str">
        <f t="shared" si="11"/>
        <v>建筑类型</v>
      </c>
      <c r="R33" s="705" t="s">
        <v>14</v>
      </c>
      <c r="S33" s="706">
        <f t="shared" si="12"/>
        <v>100</v>
      </c>
      <c r="T33" s="705" t="s">
        <v>14</v>
      </c>
      <c r="U33" s="706">
        <f t="shared" si="13"/>
        <v>100</v>
      </c>
      <c r="V33" s="705" t="s">
        <v>14</v>
      </c>
      <c r="W33" s="706">
        <f t="shared" si="14"/>
        <v>100</v>
      </c>
      <c r="X33" s="3455"/>
      <c r="Y33" s="3685" t="s">
        <v>1696</v>
      </c>
      <c r="Z33" s="3456" t="str">
        <f t="shared" si="15"/>
        <v>建筑类型</v>
      </c>
      <c r="AA33" s="3454">
        <f t="shared" si="3"/>
        <v>1</v>
      </c>
      <c r="AB33" s="3454">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83"/>
      <c r="Q34" s="707" t="str">
        <f t="shared" si="11"/>
        <v>项目建筑规模</v>
      </c>
      <c r="R34" s="708" t="s">
        <v>14</v>
      </c>
      <c r="S34" s="709" t="e">
        <f t="shared" si="12"/>
        <v>#N/A</v>
      </c>
      <c r="T34" s="708" t="s">
        <v>14</v>
      </c>
      <c r="U34" s="709" t="e">
        <f t="shared" si="13"/>
        <v>#N/A</v>
      </c>
      <c r="V34" s="708" t="s">
        <v>14</v>
      </c>
      <c r="W34" s="709" t="e">
        <f t="shared" si="14"/>
        <v>#N/A</v>
      </c>
      <c r="X34" s="710"/>
      <c r="Y34" s="3685"/>
      <c r="Z34" s="711" t="str">
        <f t="shared" si="15"/>
        <v>项目建筑规模</v>
      </c>
      <c r="AA34" s="3454" t="e">
        <f t="shared" si="3"/>
        <v>#N/A</v>
      </c>
      <c r="AB34" s="3454"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83"/>
      <c r="Q35" s="3453" t="str">
        <f t="shared" si="11"/>
        <v>建筑结构</v>
      </c>
      <c r="R35" s="705" t="s">
        <v>14</v>
      </c>
      <c r="S35" s="706">
        <f t="shared" si="12"/>
        <v>100</v>
      </c>
      <c r="T35" s="705" t="s">
        <v>14</v>
      </c>
      <c r="U35" s="706">
        <f t="shared" si="13"/>
        <v>100</v>
      </c>
      <c r="V35" s="705" t="s">
        <v>14</v>
      </c>
      <c r="W35" s="706">
        <f t="shared" si="14"/>
        <v>100</v>
      </c>
      <c r="X35" s="3455"/>
      <c r="Y35" s="3685"/>
      <c r="Z35" s="3456" t="str">
        <f t="shared" si="15"/>
        <v>建筑结构</v>
      </c>
      <c r="AA35" s="3454">
        <f t="shared" si="3"/>
        <v>1</v>
      </c>
      <c r="AB35" s="3454">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83"/>
      <c r="Q36" s="3453" t="str">
        <f t="shared" si="11"/>
        <v>公共部分装修</v>
      </c>
      <c r="R36" s="705" t="s">
        <v>14</v>
      </c>
      <c r="S36" s="706">
        <f t="shared" si="12"/>
        <v>100</v>
      </c>
      <c r="T36" s="705" t="s">
        <v>14</v>
      </c>
      <c r="U36" s="706">
        <f t="shared" si="13"/>
        <v>100</v>
      </c>
      <c r="V36" s="705" t="s">
        <v>14</v>
      </c>
      <c r="W36" s="706">
        <f t="shared" si="14"/>
        <v>100</v>
      </c>
      <c r="X36" s="3455"/>
      <c r="Y36" s="3685"/>
      <c r="Z36" s="3456" t="str">
        <f t="shared" si="15"/>
        <v>公共部分装修</v>
      </c>
      <c r="AA36" s="3454">
        <f t="shared" si="3"/>
        <v>1</v>
      </c>
      <c r="AB36" s="3454">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83"/>
      <c r="Q37" s="3453" t="str">
        <f t="shared" si="11"/>
        <v>成新度</v>
      </c>
      <c r="R37" s="705" t="s">
        <v>14</v>
      </c>
      <c r="S37" s="706" t="e">
        <f t="shared" si="12"/>
        <v>#N/A</v>
      </c>
      <c r="T37" s="705" t="s">
        <v>14</v>
      </c>
      <c r="U37" s="706" t="e">
        <f t="shared" si="13"/>
        <v>#N/A</v>
      </c>
      <c r="V37" s="705" t="s">
        <v>14</v>
      </c>
      <c r="W37" s="706" t="e">
        <f t="shared" si="14"/>
        <v>#N/A</v>
      </c>
      <c r="X37" s="3455"/>
      <c r="Y37" s="3685"/>
      <c r="Z37" s="3456" t="str">
        <f t="shared" si="15"/>
        <v>成新度</v>
      </c>
      <c r="AA37" s="3454" t="e">
        <f t="shared" si="3"/>
        <v>#N/A</v>
      </c>
      <c r="AB37" s="3454"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83"/>
      <c r="Q38" s="3451" t="str">
        <f t="shared" si="11"/>
        <v>写字楼等级</v>
      </c>
      <c r="R38" s="701" t="s">
        <v>14</v>
      </c>
      <c r="S38" s="702">
        <f t="shared" si="12"/>
        <v>100</v>
      </c>
      <c r="T38" s="701" t="s">
        <v>14</v>
      </c>
      <c r="U38" s="702">
        <f t="shared" si="13"/>
        <v>100</v>
      </c>
      <c r="V38" s="701" t="s">
        <v>14</v>
      </c>
      <c r="W38" s="702">
        <f t="shared" si="14"/>
        <v>100</v>
      </c>
      <c r="X38" s="703"/>
      <c r="Y38" s="3685"/>
      <c r="Z38" s="3450"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83" t="s">
        <v>1696</v>
      </c>
      <c r="Q39" s="3453" t="str">
        <f t="shared" si="11"/>
        <v>物业管理</v>
      </c>
      <c r="R39" s="705" t="s">
        <v>14</v>
      </c>
      <c r="S39" s="706">
        <f t="shared" si="12"/>
        <v>100</v>
      </c>
      <c r="T39" s="705" t="s">
        <v>14</v>
      </c>
      <c r="U39" s="706">
        <f t="shared" si="13"/>
        <v>100</v>
      </c>
      <c r="V39" s="705" t="s">
        <v>14</v>
      </c>
      <c r="W39" s="706">
        <f t="shared" si="14"/>
        <v>100</v>
      </c>
      <c r="X39" s="3455"/>
      <c r="Y39" s="3685" t="s">
        <v>1696</v>
      </c>
      <c r="Z39" s="3456" t="str">
        <f t="shared" si="15"/>
        <v>物业管理</v>
      </c>
      <c r="AA39" s="3454">
        <f t="shared" si="3"/>
        <v>1</v>
      </c>
      <c r="AB39" s="3454">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83"/>
      <c r="Q40" s="3453" t="str">
        <f t="shared" si="11"/>
        <v>市政基础设施</v>
      </c>
      <c r="R40" s="705" t="s">
        <v>14</v>
      </c>
      <c r="S40" s="706">
        <f t="shared" si="12"/>
        <v>100</v>
      </c>
      <c r="T40" s="705" t="s">
        <v>14</v>
      </c>
      <c r="U40" s="706">
        <f t="shared" si="13"/>
        <v>100</v>
      </c>
      <c r="V40" s="705" t="s">
        <v>14</v>
      </c>
      <c r="W40" s="706">
        <f t="shared" si="14"/>
        <v>100</v>
      </c>
      <c r="X40" s="3455"/>
      <c r="Y40" s="3685"/>
      <c r="Z40" s="3456" t="str">
        <f t="shared" si="15"/>
        <v>市政基础设施</v>
      </c>
      <c r="AA40" s="3454">
        <f t="shared" si="3"/>
        <v>1</v>
      </c>
      <c r="AB40" s="3454">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83"/>
      <c r="Q41" s="3453" t="str">
        <f t="shared" si="11"/>
        <v>层高</v>
      </c>
      <c r="R41" s="705" t="s">
        <v>14</v>
      </c>
      <c r="S41" s="706">
        <f t="shared" si="12"/>
        <v>100</v>
      </c>
      <c r="T41" s="705" t="s">
        <v>14</v>
      </c>
      <c r="U41" s="706">
        <f t="shared" si="13"/>
        <v>100</v>
      </c>
      <c r="V41" s="705" t="s">
        <v>14</v>
      </c>
      <c r="W41" s="706">
        <f t="shared" si="14"/>
        <v>100</v>
      </c>
      <c r="X41" s="3455"/>
      <c r="Y41" s="3685"/>
      <c r="Z41" s="3456" t="str">
        <f t="shared" si="15"/>
        <v>层高</v>
      </c>
      <c r="AA41" s="3454">
        <f t="shared" si="3"/>
        <v>1</v>
      </c>
      <c r="AB41" s="3454">
        <f t="shared" si="4"/>
        <v>1</v>
      </c>
      <c r="AC41" s="1962">
        <f t="shared" si="5"/>
        <v>1</v>
      </c>
    </row>
    <row r="42" spans="1:29" s="422" customFormat="1" ht="15">
      <c r="A42" s="419"/>
      <c r="B42" s="34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83"/>
      <c r="Q42" s="707" t="str">
        <f t="shared" si="11"/>
        <v>单套建筑面积</v>
      </c>
      <c r="R42" s="708" t="s">
        <v>14</v>
      </c>
      <c r="S42" s="709">
        <f t="shared" si="12"/>
        <v>100</v>
      </c>
      <c r="T42" s="708" t="s">
        <v>14</v>
      </c>
      <c r="U42" s="709">
        <f t="shared" si="13"/>
        <v>100</v>
      </c>
      <c r="V42" s="708" t="s">
        <v>14</v>
      </c>
      <c r="W42" s="709">
        <f t="shared" si="14"/>
        <v>100</v>
      </c>
      <c r="X42" s="710"/>
      <c r="Y42" s="3685"/>
      <c r="Z42" s="711" t="str">
        <f t="shared" si="15"/>
        <v>单套建筑面积</v>
      </c>
      <c r="AA42" s="3454">
        <f t="shared" si="3"/>
        <v>1</v>
      </c>
      <c r="AB42" s="3454">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83"/>
      <c r="Q43" s="3453" t="str">
        <f t="shared" si="11"/>
        <v>内部装修</v>
      </c>
      <c r="R43" s="705" t="s">
        <v>14</v>
      </c>
      <c r="S43" s="706">
        <f t="shared" si="12"/>
        <v>100</v>
      </c>
      <c r="T43" s="705" t="s">
        <v>14</v>
      </c>
      <c r="U43" s="706">
        <f t="shared" si="13"/>
        <v>100</v>
      </c>
      <c r="V43" s="705" t="s">
        <v>14</v>
      </c>
      <c r="W43" s="706">
        <f t="shared" si="14"/>
        <v>100</v>
      </c>
      <c r="X43" s="3455"/>
      <c r="Y43" s="3685"/>
      <c r="Z43" s="3456" t="str">
        <f t="shared" si="15"/>
        <v>内部装修</v>
      </c>
      <c r="AA43" s="3454">
        <f t="shared" si="3"/>
        <v>1</v>
      </c>
      <c r="AB43" s="3454">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83"/>
      <c r="Q44" s="3453" t="str">
        <f t="shared" si="11"/>
        <v>内部装修维护情况</v>
      </c>
      <c r="R44" s="705" t="s">
        <v>14</v>
      </c>
      <c r="S44" s="706">
        <f t="shared" si="12"/>
        <v>100</v>
      </c>
      <c r="T44" s="705" t="s">
        <v>14</v>
      </c>
      <c r="U44" s="706">
        <f t="shared" si="13"/>
        <v>100</v>
      </c>
      <c r="V44" s="705" t="s">
        <v>14</v>
      </c>
      <c r="W44" s="706">
        <f t="shared" si="14"/>
        <v>100</v>
      </c>
      <c r="X44" s="3455"/>
      <c r="Y44" s="3685"/>
      <c r="Z44" s="3456" t="str">
        <f t="shared" si="15"/>
        <v>内部装修维护情况</v>
      </c>
      <c r="AA44" s="3454">
        <f t="shared" si="3"/>
        <v>1</v>
      </c>
      <c r="AB44" s="3454">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83"/>
      <c r="Q45" s="3451">
        <f t="shared" si="11"/>
        <v>111</v>
      </c>
      <c r="R45" s="701" t="s">
        <v>14</v>
      </c>
      <c r="S45" s="702">
        <f t="shared" si="12"/>
        <v>100</v>
      </c>
      <c r="T45" s="701" t="s">
        <v>14</v>
      </c>
      <c r="U45" s="702">
        <f t="shared" si="13"/>
        <v>100</v>
      </c>
      <c r="V45" s="701" t="s">
        <v>14</v>
      </c>
      <c r="W45" s="702">
        <f t="shared" si="14"/>
        <v>100</v>
      </c>
      <c r="X45" s="703"/>
      <c r="Y45" s="3685"/>
      <c r="Z45" s="3450">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83"/>
      <c r="Q46" s="3453">
        <f t="shared" si="11"/>
        <v>111</v>
      </c>
      <c r="R46" s="705" t="s">
        <v>14</v>
      </c>
      <c r="S46" s="706">
        <f t="shared" si="12"/>
        <v>100</v>
      </c>
      <c r="T46" s="705" t="s">
        <v>14</v>
      </c>
      <c r="U46" s="706">
        <f t="shared" si="13"/>
        <v>100</v>
      </c>
      <c r="V46" s="705" t="s">
        <v>14</v>
      </c>
      <c r="W46" s="706">
        <f t="shared" si="14"/>
        <v>100</v>
      </c>
      <c r="X46" s="3455"/>
      <c r="Y46" s="3685"/>
      <c r="Z46" s="3456">
        <f t="shared" si="15"/>
        <v>111</v>
      </c>
      <c r="AA46" s="3454">
        <f t="shared" si="3"/>
        <v>1</v>
      </c>
      <c r="AB46" s="3454">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84"/>
      <c r="Q47" s="3453">
        <f t="shared" si="11"/>
        <v>111</v>
      </c>
      <c r="R47" s="705" t="s">
        <v>14</v>
      </c>
      <c r="S47" s="706">
        <f t="shared" si="12"/>
        <v>100</v>
      </c>
      <c r="T47" s="705" t="s">
        <v>14</v>
      </c>
      <c r="U47" s="706">
        <f t="shared" si="13"/>
        <v>100</v>
      </c>
      <c r="V47" s="705" t="s">
        <v>14</v>
      </c>
      <c r="W47" s="706">
        <f t="shared" si="14"/>
        <v>100</v>
      </c>
      <c r="X47" s="3455"/>
      <c r="Y47" s="3686"/>
      <c r="Z47" s="3456">
        <f t="shared" si="15"/>
        <v>111</v>
      </c>
      <c r="AA47" s="3454">
        <f t="shared" si="3"/>
        <v>1</v>
      </c>
      <c r="AB47" s="3454">
        <f t="shared" si="4"/>
        <v>1</v>
      </c>
      <c r="AC47" s="1962">
        <f t="shared" si="5"/>
        <v>1</v>
      </c>
    </row>
    <row r="48" spans="1:29" ht="15">
      <c r="A48" s="430" t="s">
        <v>1708</v>
      </c>
      <c r="B48" s="431"/>
      <c r="C48" s="1154" t="s">
        <v>0</v>
      </c>
      <c r="D48" s="1155"/>
      <c r="E48" s="1156">
        <v>5.74</v>
      </c>
      <c r="F48" s="1157"/>
      <c r="G48" s="1158"/>
      <c r="H48" s="1159"/>
      <c r="I48" s="1156"/>
      <c r="J48" s="436"/>
      <c r="K48" s="714"/>
      <c r="L48" s="2724"/>
      <c r="M48" s="2716"/>
      <c r="N48" s="2716"/>
      <c r="O48" s="2716"/>
      <c r="P48" s="3657" t="str">
        <f>A48</f>
        <v>成交单价（元/平方米）</v>
      </c>
      <c r="Q48" s="3687"/>
      <c r="R48" s="3688">
        <f>E48</f>
        <v>5.74</v>
      </c>
      <c r="S48" s="3688"/>
      <c r="T48" s="3688">
        <f>G48</f>
        <v>0</v>
      </c>
      <c r="U48" s="3688"/>
      <c r="V48" s="3688">
        <f>I48</f>
        <v>0</v>
      </c>
      <c r="W48" s="3688"/>
      <c r="X48" s="397"/>
      <c r="Y48" s="712"/>
      <c r="Z48" s="397"/>
      <c r="AA48" s="397"/>
      <c r="AB48" s="397"/>
      <c r="AC48" s="578"/>
    </row>
    <row r="49" spans="1:29" ht="15.75" thickBot="1">
      <c r="A49" s="437" t="s">
        <v>1709</v>
      </c>
      <c r="B49" s="438"/>
      <c r="C49" s="1160" t="e">
        <f>R50</f>
        <v>#N/A</v>
      </c>
      <c r="D49" s="2317" t="s">
        <v>2136</v>
      </c>
      <c r="E49" s="1161" t="e">
        <f>R49</f>
        <v>#N/A</v>
      </c>
      <c r="F49" s="2318"/>
      <c r="G49" s="1160" t="e">
        <f>T49</f>
        <v>#N/A</v>
      </c>
      <c r="H49" s="2318"/>
      <c r="I49" s="1161" t="e">
        <f>V49</f>
        <v>#N/A</v>
      </c>
      <c r="J49" s="2318"/>
      <c r="K49" s="2320">
        <f>F49+H49+J49</f>
        <v>0</v>
      </c>
      <c r="L49" s="2724"/>
      <c r="M49" s="2716"/>
      <c r="N49" s="2716"/>
      <c r="O49" s="2716"/>
      <c r="P49" s="3657" t="str">
        <f>A49</f>
        <v>比较价值（元/平方米）</v>
      </c>
      <c r="Q49" s="3687"/>
      <c r="R49" s="3688" t="e">
        <f>IF(F1="售价",ROUND(PRODUCT(R48,AA7:AA47),0),ROUND(PRODUCT(R48,AA7:AA47),1))</f>
        <v>#N/A</v>
      </c>
      <c r="S49" s="3688"/>
      <c r="T49" s="3688" t="e">
        <f>IF(F1="售价",ROUND(PRODUCT(T48,AB7:AB47),0),ROUND(PRODUCT(T48,AB7:AB47),1))</f>
        <v>#N/A</v>
      </c>
      <c r="U49" s="3688"/>
      <c r="V49" s="3688" t="e">
        <f>IF(F1="售价",ROUND(PRODUCT(V48,AC7:AC47),0),ROUND(PRODUCT(V48,AC7:AC47),1))</f>
        <v>#N/A</v>
      </c>
      <c r="W49" s="3688"/>
      <c r="X49" s="397"/>
      <c r="Y49" s="397"/>
      <c r="Z49" s="397"/>
      <c r="AA49" s="397"/>
      <c r="AB49" s="397"/>
      <c r="AC49" s="578"/>
    </row>
    <row r="50" spans="1:29" ht="15.75" thickBot="1">
      <c r="A50" s="441" t="s">
        <v>1710</v>
      </c>
      <c r="B50" s="442"/>
      <c r="C50" s="1163" t="e">
        <f>R50</f>
        <v>#N/A</v>
      </c>
      <c r="D50" s="1163"/>
      <c r="E50" s="1163"/>
      <c r="F50" s="1163"/>
      <c r="G50" s="1163"/>
      <c r="H50" s="1163"/>
      <c r="I50" s="1163"/>
      <c r="J50" s="443"/>
      <c r="K50" s="715"/>
      <c r="L50" s="2724"/>
      <c r="M50" s="2716"/>
      <c r="N50" s="2716"/>
      <c r="O50" s="2716"/>
      <c r="P50" s="3689" t="str">
        <f>A50</f>
        <v>估价对象XX用房的比较价值（楼面单价，元/平方米）</v>
      </c>
      <c r="Q50" s="3690"/>
      <c r="R50" s="3691" t="e">
        <f>IF(F1="售价",ROUND(IF(D49="简单平均",AVERAGE(R49:V49),R49*F49+T49*H49+V49*J49),0),ROUND(IF(D49="简单平均",AVERAGE(R49:V49),R49*F49+T49*H49+V49*J49),1))</f>
        <v>#N/A</v>
      </c>
      <c r="S50" s="3691"/>
      <c r="T50" s="3691"/>
      <c r="U50" s="3691"/>
      <c r="V50" s="3691"/>
      <c r="W50" s="3691"/>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1711</v>
      </c>
      <c r="D53" s="447"/>
      <c r="E53" s="448" t="e">
        <f>IF(E48&lt;E49,E49/E48-1,E48/E49-1)</f>
        <v>#N/A</v>
      </c>
      <c r="F53" s="449" t="e">
        <f>IF(OR(E53&gt;=0.3,E53&lt;=-0.3),"超过30%","")</f>
        <v>#N/A</v>
      </c>
      <c r="G53" s="448" t="e">
        <f>IF(G48&lt;G49,G49/G48-1,G48/G49-1)</f>
        <v>#N/A</v>
      </c>
      <c r="H53" s="449" t="e">
        <f>IF(OR(G53&gt;=0.3,G53&lt;=-0.3),"超过30%","")</f>
        <v>#N/A</v>
      </c>
      <c r="I53" s="448" t="e">
        <f>IF(I48&lt;I49,I49/I48-1,I48/I49-1)</f>
        <v>#N/A</v>
      </c>
      <c r="J53" s="449" t="e">
        <f>IF(OR(I53&gt;=0.3,I53&lt;=-0.3),"超过30%","")</f>
        <v>#N/A</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1712</v>
      </c>
      <c r="D54" s="450"/>
      <c r="E54" s="448" t="e">
        <f>IF(E49&lt;G49,G49/E49-1,E49/G49-1)</f>
        <v>#N/A</v>
      </c>
      <c r="F54" s="449" t="e">
        <f>IF(OR(E54&gt;=0.2,E54&lt;=-0.2),"超过20%","")</f>
        <v>#N/A</v>
      </c>
      <c r="G54" s="448" t="e">
        <f>IF(G49&lt;I49,I49/G49-1,G49/I49-1)</f>
        <v>#N/A</v>
      </c>
      <c r="H54" s="449" t="e">
        <f>IF(OR(G54&gt;=0.2,G54&lt;=-0.2),"超过20%","")</f>
        <v>#N/A</v>
      </c>
      <c r="I54" s="448" t="e">
        <f>IF(I49&lt;E49,E49/I49-1,I49/E49-1)</f>
        <v>#N/A</v>
      </c>
      <c r="J54" s="449" t="e">
        <f>IF(OR(I54&gt;=0.2,I54&lt;=-0.2),"超过20%","")</f>
        <v>#N/A</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1713</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1714</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2023-4</v>
      </c>
      <c r="D59" s="1185">
        <f>EDATE(C59,-1)</f>
        <v>44986</v>
      </c>
      <c r="E59" s="1185">
        <f>EDATE(D59,-1)</f>
        <v>44958</v>
      </c>
      <c r="F59" s="1185">
        <f t="shared" ref="F59:O59" si="16">EDATE(E59,-1)</f>
        <v>44927</v>
      </c>
      <c r="G59" s="1185">
        <f t="shared" si="16"/>
        <v>44896</v>
      </c>
      <c r="H59" s="1185">
        <f t="shared" si="16"/>
        <v>44866</v>
      </c>
      <c r="I59" s="1185">
        <f t="shared" si="16"/>
        <v>44835</v>
      </c>
      <c r="J59" s="1185">
        <f t="shared" si="16"/>
        <v>44805</v>
      </c>
      <c r="K59" s="1185">
        <f t="shared" si="16"/>
        <v>44774</v>
      </c>
      <c r="L59" s="1185">
        <f t="shared" si="16"/>
        <v>44743</v>
      </c>
      <c r="M59" s="1185">
        <f t="shared" si="16"/>
        <v>44713</v>
      </c>
      <c r="N59" s="1185">
        <f t="shared" si="16"/>
        <v>44682</v>
      </c>
      <c r="O59" s="1185">
        <f t="shared" si="16"/>
        <v>44652</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v>100</v>
      </c>
      <c r="E60" s="461">
        <v>100</v>
      </c>
      <c r="F60" s="461">
        <v>100</v>
      </c>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1718</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商业</v>
      </c>
      <c r="D64" s="3528" t="s">
        <v>2811</v>
      </c>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v>105</v>
      </c>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E1" xr:uid="{88B18E5A-B305-405C-BF09-FAB06BE52719}">
      <formula1>"项目模式,单套模式"</formula1>
    </dataValidation>
    <dataValidation type="list" allowBlank="1" showInputMessage="1" showErrorMessage="1" sqref="D49" xr:uid="{A5DF6453-9905-484A-A285-85CE08AC0778}">
      <formula1>"简单平均,加权平均"</formula1>
    </dataValidation>
    <dataValidation type="list" allowBlank="1" showInputMessage="1" showErrorMessage="1" sqref="F2" xr:uid="{6E37EDE3-4CB6-448F-93BC-E03AB8B02E97}">
      <formula1>估价方法</formula1>
    </dataValidation>
    <dataValidation type="list" allowBlank="1" showInputMessage="1" showErrorMessage="1" sqref="C2" xr:uid="{5338650B-1DD1-4556-A331-B7A203908241}">
      <formula1>"需扣减承租人权益,——"</formula1>
    </dataValidation>
    <dataValidation type="list" allowBlank="1" showInputMessage="1" showErrorMessage="1" sqref="F1" xr:uid="{FCA549F2-22C1-4B3E-BCA4-57569DF99D7C}">
      <formula1>"售价,租金"</formula1>
    </dataValidation>
    <dataValidation type="list" allowBlank="1" showInputMessage="1" showErrorMessage="1" sqref="C22 E22 G22 I22" xr:uid="{D38EF9FF-4E22-40EF-8BAE-B69E51F31348}">
      <formula1>基础设施水平</formula1>
    </dataValidation>
    <dataValidation type="list" allowBlank="1" showInputMessage="1" showErrorMessage="1" sqref="C8 E8 G8 I8" xr:uid="{52CB2307-C41A-4C5F-9CAD-1E975261D5B6}">
      <formula1>办公交易情况</formula1>
    </dataValidation>
    <dataValidation type="list" allowBlank="1" showInputMessage="1" showErrorMessage="1" sqref="C43 E43 G43 I43" xr:uid="{65C49E0B-0D50-4AE3-B270-2B95E4059D57}">
      <formula1>办公内部装修</formula1>
    </dataValidation>
    <dataValidation type="list" allowBlank="1" showInputMessage="1" showErrorMessage="1" sqref="C41 E41 G41 I41" xr:uid="{ACF3A9A8-BC2F-4736-884E-00B1E5DBF070}">
      <formula1>办公层高</formula1>
    </dataValidation>
    <dataValidation type="list" allowBlank="1" showInputMessage="1" showErrorMessage="1" sqref="C40 E40 G40 I40" xr:uid="{FD1DFD2B-7277-4944-8573-249C14D33F18}">
      <formula1>办公基础设施水平</formula1>
    </dataValidation>
    <dataValidation type="list" allowBlank="1" showInputMessage="1" showErrorMessage="1" sqref="C39 E39 G39 I39" xr:uid="{C10218B8-D674-4EAA-ACEF-9DD7E083CD45}">
      <formula1>办公物业管理</formula1>
    </dataValidation>
    <dataValidation type="list" allowBlank="1" showInputMessage="1" showErrorMessage="1" sqref="C38 E38 G38 I38" xr:uid="{9F39ACB9-D15A-44D0-80EE-01F975D7F1C7}">
      <formula1>写字楼等级</formula1>
    </dataValidation>
    <dataValidation type="list" allowBlank="1" showInputMessage="1" showErrorMessage="1" sqref="C36 E36 G36 I36" xr:uid="{40904F70-3B78-4BD2-9167-3150B4ACA72E}">
      <formula1>办公公共部分装修</formula1>
    </dataValidation>
    <dataValidation type="list" allowBlank="1" showInputMessage="1" showErrorMessage="1" sqref="C33 E33 G33 I33" xr:uid="{E98A2E28-DEFD-4CEE-A2FD-37BDA9DA4C43}">
      <formula1>办公建筑类型</formula1>
    </dataValidation>
    <dataValidation type="list" allowBlank="1" showInputMessage="1" showErrorMessage="1" sqref="C27 E27 G27 I27" xr:uid="{B80DDF0E-F416-4886-B549-DF11FC64554D}">
      <formula1>办公楼层</formula1>
    </dataValidation>
    <dataValidation type="list" allowBlank="1" showInputMessage="1" showErrorMessage="1" sqref="C28 E28 G28 I28" xr:uid="{3ACFF5EF-4642-42E3-9DE4-47AAB5397B03}">
      <formula1>办公朝向</formula1>
    </dataValidation>
    <dataValidation type="list" allowBlank="1" showInputMessage="1" showErrorMessage="1" sqref="G26 C26 E26 I26" xr:uid="{8A355629-91E0-478B-B2BF-B6178BDB0694}">
      <formula1>办公道路级别</formula1>
    </dataValidation>
    <dataValidation type="list" allowBlank="1" showInputMessage="1" showErrorMessage="1" sqref="C16 E16 G16 I16" xr:uid="{7A9529C2-BCAC-4E83-AE81-F86E023B0F3E}">
      <formula1>办公集聚程度</formula1>
    </dataValidation>
    <dataValidation type="list" allowBlank="1" showInputMessage="1" showErrorMessage="1" sqref="E9 G9 I9" xr:uid="{727FCC81-C70A-4796-AB28-E9E30B81D91D}">
      <formula1>办公用途</formula1>
    </dataValidation>
    <dataValidation type="list" allowBlank="1" showInputMessage="1" showErrorMessage="1" sqref="D1" xr:uid="{FE84829F-1C52-4F02-B00F-1CFE348D283A}">
      <formula1>项目类型</formula1>
    </dataValidation>
    <dataValidation type="list" allowBlank="1" showInputMessage="1" showErrorMessage="1" sqref="C44 E44 G44 I44" xr:uid="{ED138609-5447-4A9F-B596-3B95CDC9B268}">
      <formula1>内部装修维护情况</formula1>
    </dataValidation>
    <dataValidation type="list" allowBlank="1" showInputMessage="1" showErrorMessage="1" sqref="E20 I20 G20 C20" xr:uid="{F13E39F5-BB61-46E7-AEB2-A12F51C51ECF}">
      <formula1>公共配套设施</formula1>
    </dataValidation>
    <dataValidation type="list" allowBlank="1" showInputMessage="1" showErrorMessage="1" sqref="E18 G18 I18 C18" xr:uid="{0C1AB6B5-90F9-42D3-9064-4F4B02A72618}">
      <formula1>交通便捷度</formula1>
    </dataValidation>
    <dataValidation type="list" allowBlank="1" showInputMessage="1" showErrorMessage="1" sqref="E24 G24 I24 C24" xr:uid="{37D3D8EA-6E4E-48F0-B5AC-B09755139251}">
      <formula1>环境</formula1>
    </dataValidation>
    <dataValidation type="list" allowBlank="1" showInputMessage="1" showErrorMessage="1" sqref="C35 E35 G35 I35" xr:uid="{D5C2A237-3A87-471B-AB38-F7BAABBFFB0B}">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B24" zoomScale="90" zoomScaleNormal="70" zoomScaleSheetLayoutView="90" workbookViewId="0">
      <selection activeCell="C51" sqref="C5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t="s">
        <v>3535</v>
      </c>
      <c r="C1" s="1859" t="s">
        <v>1563</v>
      </c>
      <c r="D1" s="198"/>
      <c r="E1" s="198"/>
      <c r="F1" s="198"/>
      <c r="G1" s="1126">
        <f>MATCH(B1,'数据-取费表'!A6:A16,0)+5</f>
        <v>6</v>
      </c>
      <c r="H1" s="1061" t="str">
        <f>IF(ISERROR(FIND("住宅",B1)),"非住宅","住宅")</f>
        <v>非住宅</v>
      </c>
    </row>
    <row r="2" spans="1:8" s="200" customFormat="1" ht="18" customHeight="1">
      <c r="A2" s="201" t="s">
        <v>1462</v>
      </c>
      <c r="B2" s="3424">
        <f ca="1">ROUND(IF(D2="——",C52/10000,C52/10000-E2),4)</f>
        <v>22702.998299999999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24504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147350359</v>
      </c>
      <c r="D5" s="211" t="s">
        <v>1469</v>
      </c>
      <c r="E5" s="212" t="s">
        <v>1470</v>
      </c>
      <c r="F5" s="212" t="s">
        <v>1471</v>
      </c>
      <c r="G5" s="213"/>
    </row>
    <row r="6" spans="1:8" s="214" customFormat="1" ht="13.5" customHeight="1">
      <c r="A6" s="778" t="s">
        <v>1472</v>
      </c>
      <c r="B6" s="215" t="s">
        <v>1473</v>
      </c>
      <c r="C6" s="216">
        <f>ROUND(基准地价修正!C33*基准地价修正!D33,0)</f>
        <v>141191011</v>
      </c>
      <c r="D6" s="217"/>
      <c r="E6" s="218"/>
      <c r="F6" s="218"/>
      <c r="G6" s="219"/>
    </row>
    <row r="7" spans="1:8" s="214" customFormat="1" ht="13.5" customHeight="1">
      <c r="A7" s="778" t="s">
        <v>1474</v>
      </c>
      <c r="B7" s="215" t="s">
        <v>1475</v>
      </c>
      <c r="C7" s="220">
        <f>ROUND(C6*F7,0)</f>
        <v>4306326</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1853022</v>
      </c>
      <c r="D8" s="222"/>
      <c r="E8" s="220"/>
      <c r="F8" s="221"/>
      <c r="G8" s="1856" t="s">
        <v>3538</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1853022</v>
      </c>
      <c r="D10" s="845">
        <f ca="1">IF(B1="",'数据-汇总表'!E6,IF(INDIRECT("'数据-取费表'!c"&amp;$G$1)="住宅",INDIRECT("'数据-取费表'!s"&amp;$G$1),INDIRECT("'数据-取费表'!k"&amp;$G$1)+INDIRECT("'数据-取费表'!s"&amp;$G$1)))</f>
        <v>9265.11</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9265.11</v>
      </c>
      <c r="E19" s="211">
        <f>'数据-取费表'!B31</f>
        <v>200</v>
      </c>
      <c r="F19" s="231"/>
      <c r="G19" s="1856" t="s">
        <v>3539</v>
      </c>
    </row>
    <row r="20" spans="1:7" s="214" customFormat="1" ht="13.5" customHeight="1">
      <c r="A20" s="255" t="s">
        <v>1574</v>
      </c>
      <c r="B20" s="210" t="s">
        <v>1575</v>
      </c>
      <c r="C20" s="232">
        <f ca="1">ROUND((C5+C19)*F20,0)</f>
        <v>1473504</v>
      </c>
      <c r="D20" s="232"/>
      <c r="E20" s="232"/>
      <c r="F20" s="233">
        <f>'数据-取费表'!B37</f>
        <v>0.01</v>
      </c>
      <c r="G20" s="234" t="s">
        <v>1576</v>
      </c>
    </row>
    <row r="21" spans="1:7" s="214" customFormat="1" ht="13.5" customHeight="1">
      <c r="A21" s="255" t="s">
        <v>1577</v>
      </c>
      <c r="B21" s="210" t="s">
        <v>1578</v>
      </c>
      <c r="C21" s="235">
        <f>F21</f>
        <v>0.01</v>
      </c>
      <c r="D21" s="236" t="s">
        <v>1579</v>
      </c>
      <c r="E21" s="232"/>
      <c r="F21" s="233">
        <f>'数据-取费表'!B38</f>
        <v>0.01</v>
      </c>
      <c r="G21" s="234" t="s">
        <v>1580</v>
      </c>
    </row>
    <row r="22" spans="1:7" s="214" customFormat="1" ht="13.5" customHeight="1">
      <c r="A22" s="255" t="s">
        <v>1581</v>
      </c>
      <c r="B22" s="210" t="s">
        <v>1582</v>
      </c>
      <c r="C22" s="1127">
        <f ca="1">ROUND(SUM(C23:C25),0)</f>
        <v>6441790</v>
      </c>
      <c r="D22" s="235">
        <f ca="1">C26</f>
        <v>2.0000000000000001E-4</v>
      </c>
      <c r="E22" s="236" t="s">
        <v>1579</v>
      </c>
      <c r="F22" s="237">
        <f ca="1">'数据-取费表'!B40</f>
        <v>4.3499999999999997E-2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6409741</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32049</v>
      </c>
      <c r="D25" s="238"/>
      <c r="E25" s="241"/>
      <c r="F25" s="239"/>
      <c r="G25" s="242" t="s">
        <v>1588</v>
      </c>
    </row>
    <row r="26" spans="1:7" s="214" customFormat="1">
      <c r="A26" s="780" t="s">
        <v>350</v>
      </c>
      <c r="B26" s="215" t="s">
        <v>1511</v>
      </c>
      <c r="C26" s="238">
        <f ca="1">ROUND(IF('数据-取费表'!B22&lt;=1,F21*F22*'数据-取费表'!B22/2,F21*(POWER((1+F22),'数据-取费表'!B22/2)-1)),4)</f>
        <v>2.0000000000000001E-4</v>
      </c>
      <c r="D26" s="238"/>
      <c r="E26" s="241"/>
      <c r="F26" s="239"/>
      <c r="G26" s="243"/>
    </row>
    <row r="27" spans="1:7" s="214" customFormat="1" ht="24.75">
      <c r="A27" s="255" t="s">
        <v>1512</v>
      </c>
      <c r="B27" s="244" t="s">
        <v>1513</v>
      </c>
      <c r="C27" s="245">
        <f ca="1">C28</f>
        <v>22323579</v>
      </c>
      <c r="D27" s="235">
        <f ca="1">C29</f>
        <v>1.5E-3</v>
      </c>
      <c r="E27" s="236" t="s">
        <v>1514</v>
      </c>
      <c r="F27" s="246">
        <f ca="1">IF(B1="",'数据-取费表'!Q16,INDIRECT("'数据-取费表'!q"&amp;$G$1))</f>
        <v>0.15</v>
      </c>
      <c r="G27" s="247" t="s">
        <v>1515</v>
      </c>
    </row>
    <row r="28" spans="1:7" s="214" customFormat="1" ht="13.5" customHeight="1">
      <c r="A28" s="780" t="s">
        <v>346</v>
      </c>
      <c r="B28" s="248" t="s">
        <v>1516</v>
      </c>
      <c r="C28" s="249">
        <f ca="1">ROUND((C5+C19+C20)*F27,0)</f>
        <v>22323579</v>
      </c>
      <c r="D28" s="235"/>
      <c r="E28" s="236"/>
      <c r="F28" s="246"/>
      <c r="G28" s="247"/>
    </row>
    <row r="29" spans="1:7" s="214" customFormat="1" ht="13.5" customHeight="1">
      <c r="A29" s="780" t="s">
        <v>347</v>
      </c>
      <c r="B29" s="248" t="s">
        <v>1517</v>
      </c>
      <c r="C29" s="238">
        <f ca="1">ROUND(C21*F27,4)</f>
        <v>1.5E-3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189935007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35740162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32427885</v>
      </c>
      <c r="D34" s="217"/>
      <c r="E34" s="220"/>
      <c r="F34" s="257"/>
      <c r="G34" s="219"/>
    </row>
    <row r="35" spans="1:7" ht="13.5" customHeight="1">
      <c r="A35" s="780" t="s">
        <v>351</v>
      </c>
      <c r="B35" s="215" t="s">
        <v>1527</v>
      </c>
      <c r="C35" s="220">
        <f ca="1">ROUND(C34*F35,0)</f>
        <v>972837</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1853022</v>
      </c>
      <c r="D37" s="217">
        <f ca="1">D19</f>
        <v>9265.11</v>
      </c>
      <c r="E37" s="249">
        <f>'数据-取费表'!B35</f>
        <v>200</v>
      </c>
      <c r="F37" s="259"/>
      <c r="G37" s="261"/>
    </row>
    <row r="38" spans="1:7" ht="13.5" customHeight="1">
      <c r="A38" s="780" t="s">
        <v>354</v>
      </c>
      <c r="B38" s="215" t="s">
        <v>1533</v>
      </c>
      <c r="C38" s="220">
        <f ca="1">ROUND(C34*F38,0)</f>
        <v>486418</v>
      </c>
      <c r="D38" s="220"/>
      <c r="E38" s="220"/>
      <c r="F38" s="259">
        <f>'数据-取费表'!B36</f>
        <v>1.4999999999999999E-2</v>
      </c>
      <c r="G38" s="219" t="s">
        <v>1528</v>
      </c>
    </row>
    <row r="39" spans="1:7" s="214" customFormat="1" ht="13.5" customHeight="1">
      <c r="A39" s="255" t="s">
        <v>1534</v>
      </c>
      <c r="B39" s="210" t="s">
        <v>1535</v>
      </c>
      <c r="C39" s="232">
        <f ca="1">ROUND(C33*F20,0)</f>
        <v>357402</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785122</v>
      </c>
      <c r="D41" s="235">
        <f ca="1">C44</f>
        <v>2.0000000000000001E-4</v>
      </c>
      <c r="E41" s="236" t="s">
        <v>1539</v>
      </c>
      <c r="F41" s="237">
        <f ca="1">F22</f>
        <v>4.3499999999999997E-2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777349</v>
      </c>
      <c r="D42" s="238"/>
      <c r="E42" s="238"/>
      <c r="F42" s="239"/>
      <c r="G42" s="3826" t="s">
        <v>1591</v>
      </c>
    </row>
    <row r="43" spans="1:7" ht="13.5" customHeight="1">
      <c r="A43" s="780" t="s">
        <v>347</v>
      </c>
      <c r="B43" s="215" t="s">
        <v>1545</v>
      </c>
      <c r="C43" s="238">
        <f ca="1">ROUND(IF('数据-取费表'!B22&lt;=1,C39*F22*'数据-取费表'!B20/2,C39*(POWER((1+F22),'数据-取费表'!B20/2)-1)),0)</f>
        <v>7773</v>
      </c>
      <c r="D43" s="238"/>
      <c r="E43" s="238"/>
      <c r="F43" s="239"/>
      <c r="G43" s="3827"/>
    </row>
    <row r="44" spans="1:7" ht="13.5" customHeight="1">
      <c r="A44" s="780" t="s">
        <v>348</v>
      </c>
      <c r="B44" s="215" t="s">
        <v>1546</v>
      </c>
      <c r="C44" s="238">
        <f ca="1">ROUND(IF('数据-取费表'!B22&lt;=1,C40*F22*'数据-取费表'!B20/2,C40*(POWER((1+F22),'数据-取费表'!B20/2)-1)),4)</f>
        <v>2.0000000000000001E-4</v>
      </c>
      <c r="D44" s="238"/>
      <c r="E44" s="238"/>
      <c r="F44" s="239"/>
      <c r="G44" s="3828"/>
    </row>
    <row r="45" spans="1:7" s="214" customFormat="1" ht="13.5" customHeight="1">
      <c r="A45" s="255" t="s">
        <v>1547</v>
      </c>
      <c r="B45" s="244" t="s">
        <v>1513</v>
      </c>
      <c r="C45" s="245">
        <f ca="1">C46</f>
        <v>5414635</v>
      </c>
      <c r="D45" s="235">
        <f ca="1">C47</f>
        <v>1.5E-3</v>
      </c>
      <c r="E45" s="236" t="s">
        <v>1539</v>
      </c>
      <c r="F45" s="246">
        <f ca="1">F27</f>
        <v>0.15</v>
      </c>
      <c r="G45" s="247" t="s">
        <v>1548</v>
      </c>
    </row>
    <row r="46" spans="1:7" s="214" customFormat="1" ht="13.5" customHeight="1">
      <c r="A46" s="780" t="s">
        <v>346</v>
      </c>
      <c r="B46" s="248" t="s">
        <v>1549</v>
      </c>
      <c r="C46" s="249">
        <f ca="1">ROUND((C33+C39)*F27,0)</f>
        <v>5414635</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45237776</v>
      </c>
      <c r="D49" s="232"/>
      <c r="E49" s="232"/>
      <c r="F49" s="264"/>
      <c r="G49" s="234" t="s">
        <v>1554</v>
      </c>
    </row>
    <row r="50" spans="1:7" s="258" customFormat="1">
      <c r="A50" s="255" t="s">
        <v>1555</v>
      </c>
      <c r="B50" s="210" t="s">
        <v>1556</v>
      </c>
      <c r="C50" s="232"/>
      <c r="D50" s="232"/>
      <c r="E50" s="232"/>
      <c r="F50" s="264">
        <f>IF('数据-取费表'!B24=0,'数据-取费表'!N16,1)</f>
        <v>0.82</v>
      </c>
      <c r="G50" s="247"/>
    </row>
    <row r="51" spans="1:7" ht="16.5" customHeight="1">
      <c r="A51" s="255" t="s">
        <v>1558</v>
      </c>
      <c r="B51" s="210" t="s">
        <v>1593</v>
      </c>
      <c r="C51" s="232">
        <f ca="1">ROUND(C49*F50,0)</f>
        <v>37094976</v>
      </c>
      <c r="D51" s="232"/>
      <c r="E51" s="232"/>
      <c r="F51" s="264"/>
      <c r="G51" s="234" t="s">
        <v>1560</v>
      </c>
    </row>
    <row r="52" spans="1:7" s="208" customFormat="1" ht="16.5" thickBot="1">
      <c r="A52" s="265" t="s">
        <v>1561</v>
      </c>
      <c r="B52" s="266"/>
      <c r="C52" s="267">
        <f ca="1">C31+C51</f>
        <v>227029983</v>
      </c>
      <c r="D52" s="266"/>
      <c r="E52" s="266"/>
      <c r="F52" s="266"/>
      <c r="G52" s="268"/>
    </row>
    <row r="55" spans="1:7" ht="15">
      <c r="B55" s="270" t="s">
        <v>1562</v>
      </c>
      <c r="C55" s="271"/>
    </row>
    <row r="56" spans="1:7">
      <c r="B56" s="273" t="s">
        <v>802</v>
      </c>
      <c r="C56" s="275">
        <f ca="1">1-C57</f>
        <v>0.83699999999999997</v>
      </c>
    </row>
    <row r="57" spans="1:7">
      <c r="B57" s="273" t="s">
        <v>803</v>
      </c>
      <c r="C57" s="274">
        <f ca="1">ROUND(C51/C52,3)</f>
        <v>0.16300000000000001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9265.11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62" t="s">
        <v>1770</v>
      </c>
      <c r="D4" s="3663"/>
      <c r="E4" s="3664" t="s">
        <v>1771</v>
      </c>
      <c r="F4" s="3665"/>
      <c r="G4" s="3662" t="s">
        <v>1772</v>
      </c>
      <c r="H4" s="3663"/>
      <c r="I4" s="3662" t="s">
        <v>1773</v>
      </c>
      <c r="J4" s="3663"/>
      <c r="K4" s="559" t="s">
        <v>1774</v>
      </c>
      <c r="L4" s="913"/>
      <c r="M4" s="914"/>
      <c r="N4" s="914"/>
      <c r="O4" s="914"/>
      <c r="P4" s="3859" t="s">
        <v>1775</v>
      </c>
      <c r="Q4" s="3860"/>
      <c r="R4" s="3856" t="s">
        <v>1771</v>
      </c>
      <c r="S4" s="3857"/>
      <c r="T4" s="3856" t="s">
        <v>1772</v>
      </c>
      <c r="U4" s="3857"/>
      <c r="V4" s="3675" t="s">
        <v>1773</v>
      </c>
      <c r="W4" s="3675"/>
      <c r="X4" s="1355"/>
      <c r="Y4" s="3856" t="s">
        <v>1775</v>
      </c>
      <c r="Z4" s="3857"/>
      <c r="AA4" s="3855" t="s">
        <v>1771</v>
      </c>
      <c r="AB4" s="3640" t="s">
        <v>1772</v>
      </c>
      <c r="AC4" s="3855" t="s">
        <v>1773</v>
      </c>
    </row>
    <row r="5" spans="1:29" ht="15">
      <c r="A5" s="358"/>
      <c r="B5" s="359"/>
      <c r="C5" s="3650" t="s">
        <v>1673</v>
      </c>
      <c r="D5" s="3651"/>
      <c r="E5" s="3858" t="s">
        <v>1674</v>
      </c>
      <c r="F5" s="3649"/>
      <c r="G5" s="3650" t="s">
        <v>1675</v>
      </c>
      <c r="H5" s="3651"/>
      <c r="I5" s="3650" t="s">
        <v>1676</v>
      </c>
      <c r="J5" s="3651"/>
      <c r="K5" s="559"/>
      <c r="L5" s="913"/>
      <c r="M5" s="914"/>
      <c r="N5" s="914"/>
      <c r="O5" s="914"/>
      <c r="P5" s="3861"/>
      <c r="Q5" s="3669"/>
      <c r="R5" s="3646"/>
      <c r="S5" s="3647"/>
      <c r="T5" s="3646"/>
      <c r="U5" s="3647"/>
      <c r="V5" s="3675"/>
      <c r="W5" s="3675"/>
      <c r="X5" s="1355"/>
      <c r="Y5" s="3646"/>
      <c r="Z5" s="3647"/>
      <c r="AA5" s="3640"/>
      <c r="AB5" s="3640"/>
      <c r="AC5" s="3640"/>
    </row>
    <row r="6" spans="1:29" ht="15.75" thickBot="1">
      <c r="A6" s="360"/>
      <c r="B6" s="361"/>
      <c r="C6" s="3652" t="s">
        <v>1677</v>
      </c>
      <c r="D6" s="3653"/>
      <c r="E6" s="3655" t="s">
        <v>1677</v>
      </c>
      <c r="F6" s="3656"/>
      <c r="G6" s="3652" t="s">
        <v>1677</v>
      </c>
      <c r="H6" s="3653"/>
      <c r="I6" s="3652" t="s">
        <v>1677</v>
      </c>
      <c r="J6" s="3653"/>
      <c r="K6" s="559" t="s">
        <v>1678</v>
      </c>
      <c r="L6" s="913"/>
      <c r="M6" s="914"/>
      <c r="N6" s="914"/>
      <c r="O6" s="914"/>
      <c r="P6" s="3862"/>
      <c r="Q6" s="3671"/>
      <c r="R6" s="3646"/>
      <c r="S6" s="3647"/>
      <c r="T6" s="3672"/>
      <c r="U6" s="3673"/>
      <c r="V6" s="3675"/>
      <c r="W6" s="3675"/>
      <c r="X6" s="1355"/>
      <c r="Y6" s="3672"/>
      <c r="Z6" s="3673"/>
      <c r="AA6" s="3641"/>
      <c r="AB6" s="3641"/>
      <c r="AC6" s="3641"/>
    </row>
    <row r="7" spans="1:29" s="108" customFormat="1" ht="15.75" thickBot="1">
      <c r="A7" s="362" t="s">
        <v>1679</v>
      </c>
      <c r="B7" s="363"/>
      <c r="C7" s="364">
        <f>'数据-取费表'!B2</f>
        <v>45033</v>
      </c>
      <c r="D7" s="365">
        <v>100</v>
      </c>
      <c r="E7" s="366"/>
      <c r="F7" s="367">
        <f>SUMIF(52:52,YEAR(E7)&amp;"-"&amp;MONTH(E7),53:53)</f>
        <v>0</v>
      </c>
      <c r="G7" s="366"/>
      <c r="H7" s="365">
        <f>SUMIF(52:52,YEAR(G7)&amp;"-"&amp;MONTH(G7),53:53)</f>
        <v>0</v>
      </c>
      <c r="I7" s="366"/>
      <c r="J7" s="365">
        <f>SUMIF(52:52,YEAR(I7)&amp;"-"&amp;MONTH(I7),53:53)</f>
        <v>0</v>
      </c>
      <c r="K7" s="560"/>
      <c r="L7" s="915"/>
      <c r="M7" s="916"/>
      <c r="N7" s="916"/>
      <c r="O7" s="916"/>
      <c r="P7" s="3642" t="s">
        <v>1680</v>
      </c>
      <c r="Q7" s="3677"/>
      <c r="R7" s="701" t="s">
        <v>14</v>
      </c>
      <c r="S7" s="702">
        <f t="shared" ref="S7:S15" si="0">F7</f>
        <v>0</v>
      </c>
      <c r="T7" s="701" t="s">
        <v>14</v>
      </c>
      <c r="U7" s="702">
        <f t="shared" ref="U7:U15" si="1">H7</f>
        <v>0</v>
      </c>
      <c r="V7" s="701" t="s">
        <v>14</v>
      </c>
      <c r="W7" s="702">
        <f t="shared" ref="W7:W15" si="2">J7</f>
        <v>0</v>
      </c>
      <c r="X7" s="703"/>
      <c r="Y7" s="3642" t="s">
        <v>1680</v>
      </c>
      <c r="Z7" s="3643"/>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42" t="s">
        <v>1683</v>
      </c>
      <c r="Q8" s="3643"/>
      <c r="R8" s="701" t="s">
        <v>14</v>
      </c>
      <c r="S8" s="702">
        <f t="shared" si="0"/>
        <v>100</v>
      </c>
      <c r="T8" s="701" t="s">
        <v>14</v>
      </c>
      <c r="U8" s="702">
        <f t="shared" si="1"/>
        <v>100</v>
      </c>
      <c r="V8" s="701" t="s">
        <v>14</v>
      </c>
      <c r="W8" s="702">
        <f t="shared" si="2"/>
        <v>100</v>
      </c>
      <c r="X8" s="703"/>
      <c r="Y8" s="3642" t="s">
        <v>1683</v>
      </c>
      <c r="Z8" s="3643"/>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7" t="s">
        <v>1686</v>
      </c>
      <c r="Q9" s="1343" t="str">
        <f t="shared" ref="Q9:Q15" si="6">B9</f>
        <v>用途</v>
      </c>
      <c r="R9" s="701" t="s">
        <v>14</v>
      </c>
      <c r="S9" s="702">
        <f t="shared" si="0"/>
        <v>100</v>
      </c>
      <c r="T9" s="701" t="s">
        <v>14</v>
      </c>
      <c r="U9" s="702">
        <f t="shared" si="1"/>
        <v>100</v>
      </c>
      <c r="V9" s="701" t="s">
        <v>14</v>
      </c>
      <c r="W9" s="702">
        <f t="shared" si="2"/>
        <v>100</v>
      </c>
      <c r="X9" s="703"/>
      <c r="Y9" s="365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87"/>
      <c r="Q10" s="1343" t="str">
        <f t="shared" si="6"/>
        <v>土地使用年限（年）</v>
      </c>
      <c r="R10" s="701" t="s">
        <v>14</v>
      </c>
      <c r="S10" s="702">
        <f t="shared" si="0"/>
        <v>100</v>
      </c>
      <c r="T10" s="701" t="s">
        <v>14</v>
      </c>
      <c r="U10" s="702">
        <f t="shared" si="1"/>
        <v>100</v>
      </c>
      <c r="V10" s="701" t="s">
        <v>14</v>
      </c>
      <c r="W10" s="702">
        <f t="shared" si="2"/>
        <v>100</v>
      </c>
      <c r="X10" s="703"/>
      <c r="Y10" s="365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7"/>
      <c r="Q11" s="1343" t="str">
        <f t="shared" si="6"/>
        <v>容积率</v>
      </c>
      <c r="R11" s="701" t="s">
        <v>14</v>
      </c>
      <c r="S11" s="702">
        <f t="shared" si="0"/>
        <v>100</v>
      </c>
      <c r="T11" s="701" t="s">
        <v>14</v>
      </c>
      <c r="U11" s="702">
        <f t="shared" si="1"/>
        <v>100</v>
      </c>
      <c r="V11" s="701" t="s">
        <v>14</v>
      </c>
      <c r="W11" s="702">
        <f t="shared" si="2"/>
        <v>100</v>
      </c>
      <c r="X11" s="703"/>
      <c r="Y11" s="365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87"/>
      <c r="Q12" s="1343">
        <f t="shared" si="6"/>
        <v>111</v>
      </c>
      <c r="R12" s="701" t="s">
        <v>14</v>
      </c>
      <c r="S12" s="702">
        <f t="shared" si="0"/>
        <v>100</v>
      </c>
      <c r="T12" s="701" t="s">
        <v>14</v>
      </c>
      <c r="U12" s="702">
        <f t="shared" si="1"/>
        <v>100</v>
      </c>
      <c r="V12" s="701" t="s">
        <v>14</v>
      </c>
      <c r="W12" s="702">
        <f t="shared" si="2"/>
        <v>100</v>
      </c>
      <c r="X12" s="703"/>
      <c r="Y12" s="365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87"/>
      <c r="Q13" s="1343">
        <f t="shared" si="6"/>
        <v>111</v>
      </c>
      <c r="R13" s="701" t="s">
        <v>14</v>
      </c>
      <c r="S13" s="702">
        <f t="shared" si="0"/>
        <v>100</v>
      </c>
      <c r="T13" s="701" t="s">
        <v>14</v>
      </c>
      <c r="U13" s="702">
        <f t="shared" si="1"/>
        <v>100</v>
      </c>
      <c r="V13" s="701" t="s">
        <v>14</v>
      </c>
      <c r="W13" s="702">
        <f t="shared" si="2"/>
        <v>100</v>
      </c>
      <c r="X13" s="703"/>
      <c r="Y13" s="365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87"/>
      <c r="Q14" s="1343">
        <f t="shared" si="6"/>
        <v>111</v>
      </c>
      <c r="R14" s="701" t="s">
        <v>14</v>
      </c>
      <c r="S14" s="702">
        <f t="shared" si="0"/>
        <v>100</v>
      </c>
      <c r="T14" s="701" t="s">
        <v>14</v>
      </c>
      <c r="U14" s="702">
        <f t="shared" si="1"/>
        <v>100</v>
      </c>
      <c r="V14" s="701" t="s">
        <v>14</v>
      </c>
      <c r="W14" s="702">
        <f t="shared" si="2"/>
        <v>100</v>
      </c>
      <c r="X14" s="703"/>
      <c r="Y14" s="3658"/>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0" t="s">
        <v>1691</v>
      </c>
      <c r="Q15" s="1352" t="str">
        <f t="shared" si="6"/>
        <v>产业集聚程度</v>
      </c>
      <c r="R15" s="705" t="s">
        <v>14</v>
      </c>
      <c r="S15" s="706">
        <f t="shared" si="0"/>
        <v>100</v>
      </c>
      <c r="T15" s="705" t="s">
        <v>14</v>
      </c>
      <c r="U15" s="706">
        <f t="shared" si="1"/>
        <v>100</v>
      </c>
      <c r="V15" s="705" t="s">
        <v>14</v>
      </c>
      <c r="W15" s="706">
        <f t="shared" si="2"/>
        <v>100</v>
      </c>
      <c r="X15" s="1355"/>
      <c r="Y15" s="3680"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1"/>
      <c r="Q16" s="1352"/>
      <c r="R16" s="705"/>
      <c r="S16" s="706"/>
      <c r="T16" s="705"/>
      <c r="U16" s="706"/>
      <c r="V16" s="705"/>
      <c r="W16" s="706"/>
      <c r="X16" s="1355"/>
      <c r="Y16" s="3681"/>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1"/>
      <c r="Q17" s="1352" t="str">
        <f>B17</f>
        <v>交通便捷度</v>
      </c>
      <c r="R17" s="705" t="s">
        <v>14</v>
      </c>
      <c r="S17" s="706">
        <f>F17</f>
        <v>100</v>
      </c>
      <c r="T17" s="705" t="s">
        <v>14</v>
      </c>
      <c r="U17" s="706">
        <f>H17</f>
        <v>100</v>
      </c>
      <c r="V17" s="705" t="s">
        <v>14</v>
      </c>
      <c r="W17" s="706">
        <f>J17</f>
        <v>100</v>
      </c>
      <c r="X17" s="1355"/>
      <c r="Y17" s="368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81"/>
      <c r="Q18" s="1352"/>
      <c r="R18" s="705"/>
      <c r="S18" s="706"/>
      <c r="T18" s="705"/>
      <c r="U18" s="706"/>
      <c r="V18" s="705"/>
      <c r="W18" s="706"/>
      <c r="X18" s="1355"/>
      <c r="Y18" s="3681"/>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1"/>
      <c r="Q19" s="1352" t="str">
        <f>B19</f>
        <v>公共配套设施</v>
      </c>
      <c r="R19" s="705" t="s">
        <v>14</v>
      </c>
      <c r="S19" s="706">
        <f>F19</f>
        <v>100</v>
      </c>
      <c r="T19" s="705" t="s">
        <v>14</v>
      </c>
      <c r="U19" s="706">
        <f>H19</f>
        <v>100</v>
      </c>
      <c r="V19" s="705" t="s">
        <v>14</v>
      </c>
      <c r="W19" s="706">
        <f>J19</f>
        <v>100</v>
      </c>
      <c r="X19" s="1355"/>
      <c r="Y19" s="368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81"/>
      <c r="Q20" s="1352"/>
      <c r="R20" s="705"/>
      <c r="S20" s="706"/>
      <c r="T20" s="705"/>
      <c r="U20" s="706"/>
      <c r="V20" s="705"/>
      <c r="W20" s="706"/>
      <c r="X20" s="1355"/>
      <c r="Y20" s="3681"/>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1"/>
      <c r="Q21" s="1352" t="str">
        <f>B21</f>
        <v>基础设施水平</v>
      </c>
      <c r="R21" s="705" t="s">
        <v>14</v>
      </c>
      <c r="S21" s="706">
        <f>F21</f>
        <v>100</v>
      </c>
      <c r="T21" s="705" t="s">
        <v>14</v>
      </c>
      <c r="U21" s="706">
        <f>H21</f>
        <v>100</v>
      </c>
      <c r="V21" s="705" t="s">
        <v>14</v>
      </c>
      <c r="W21" s="706">
        <f>J21</f>
        <v>100</v>
      </c>
      <c r="X21" s="1355"/>
      <c r="Y21" s="368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81"/>
      <c r="Q22" s="1352"/>
      <c r="R22" s="705"/>
      <c r="S22" s="706"/>
      <c r="T22" s="705"/>
      <c r="U22" s="706"/>
      <c r="V22" s="705"/>
      <c r="W22" s="706"/>
      <c r="X22" s="1355"/>
      <c r="Y22" s="3681"/>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1"/>
      <c r="Q23" s="1352" t="str">
        <f>B23</f>
        <v>环境质量</v>
      </c>
      <c r="R23" s="705" t="s">
        <v>14</v>
      </c>
      <c r="S23" s="706">
        <f>F23</f>
        <v>100</v>
      </c>
      <c r="T23" s="705" t="s">
        <v>14</v>
      </c>
      <c r="U23" s="706">
        <f>H23</f>
        <v>100</v>
      </c>
      <c r="V23" s="705" t="s">
        <v>14</v>
      </c>
      <c r="W23" s="706">
        <f>J23</f>
        <v>100</v>
      </c>
      <c r="X23" s="1355"/>
      <c r="Y23" s="3681"/>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81"/>
      <c r="Q24" s="1352"/>
      <c r="R24" s="705"/>
      <c r="S24" s="706"/>
      <c r="T24" s="705"/>
      <c r="U24" s="706"/>
      <c r="V24" s="705"/>
      <c r="W24" s="706"/>
      <c r="X24" s="1355"/>
      <c r="Y24" s="368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1"/>
      <c r="Q25" s="1352">
        <f>B25</f>
        <v>111</v>
      </c>
      <c r="R25" s="705" t="s">
        <v>14</v>
      </c>
      <c r="S25" s="706">
        <f>F25</f>
        <v>100</v>
      </c>
      <c r="T25" s="705" t="s">
        <v>14</v>
      </c>
      <c r="U25" s="706">
        <f>H25</f>
        <v>100</v>
      </c>
      <c r="V25" s="705" t="s">
        <v>14</v>
      </c>
      <c r="W25" s="706">
        <f>J25</f>
        <v>100</v>
      </c>
      <c r="X25" s="1355"/>
      <c r="Y25" s="368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1"/>
      <c r="Q26" s="1352">
        <f t="shared" ref="Q26:Q40" si="11">B26</f>
        <v>111</v>
      </c>
      <c r="R26" s="705" t="s">
        <v>14</v>
      </c>
      <c r="S26" s="706">
        <f>F26</f>
        <v>100</v>
      </c>
      <c r="T26" s="705" t="s">
        <v>14</v>
      </c>
      <c r="U26" s="706">
        <f>H26</f>
        <v>100</v>
      </c>
      <c r="V26" s="705" t="s">
        <v>14</v>
      </c>
      <c r="W26" s="706">
        <f>J26</f>
        <v>100</v>
      </c>
      <c r="X26" s="1355"/>
      <c r="Y26" s="368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1"/>
      <c r="Q27" s="1343">
        <f t="shared" si="11"/>
        <v>111</v>
      </c>
      <c r="R27" s="701" t="s">
        <v>14</v>
      </c>
      <c r="S27" s="702">
        <f>F27</f>
        <v>100</v>
      </c>
      <c r="T27" s="701" t="s">
        <v>14</v>
      </c>
      <c r="U27" s="702">
        <f>H27</f>
        <v>100</v>
      </c>
      <c r="V27" s="701" t="s">
        <v>14</v>
      </c>
      <c r="W27" s="702">
        <f>J27</f>
        <v>100</v>
      </c>
      <c r="X27" s="703"/>
      <c r="Y27" s="3681"/>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1"/>
      <c r="Q28" s="1352">
        <f t="shared" si="11"/>
        <v>111</v>
      </c>
      <c r="R28" s="705" t="s">
        <v>14</v>
      </c>
      <c r="S28" s="706">
        <f t="shared" ref="S28:S40" si="12">F28</f>
        <v>100</v>
      </c>
      <c r="T28" s="705" t="s">
        <v>14</v>
      </c>
      <c r="U28" s="706">
        <f t="shared" ref="U28:U40" si="13">H28</f>
        <v>100</v>
      </c>
      <c r="V28" s="705" t="s">
        <v>14</v>
      </c>
      <c r="W28" s="706">
        <f t="shared" ref="W28:W40" si="14">J28</f>
        <v>100</v>
      </c>
      <c r="X28" s="1355"/>
      <c r="Y28" s="3681"/>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866" t="s">
        <v>1696</v>
      </c>
      <c r="Q29" s="1352" t="str">
        <f t="shared" si="11"/>
        <v>建筑类型</v>
      </c>
      <c r="R29" s="705" t="s">
        <v>14</v>
      </c>
      <c r="S29" s="706">
        <f t="shared" si="12"/>
        <v>100</v>
      </c>
      <c r="T29" s="705" t="s">
        <v>14</v>
      </c>
      <c r="U29" s="706">
        <f t="shared" si="13"/>
        <v>100</v>
      </c>
      <c r="V29" s="705" t="s">
        <v>14</v>
      </c>
      <c r="W29" s="706">
        <f t="shared" si="14"/>
        <v>100</v>
      </c>
      <c r="X29" s="1355"/>
      <c r="Y29" s="3685"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85"/>
      <c r="Q30" s="707" t="str">
        <f t="shared" si="11"/>
        <v>项目建筑规模</v>
      </c>
      <c r="R30" s="708" t="s">
        <v>14</v>
      </c>
      <c r="S30" s="709" t="e">
        <f t="shared" si="12"/>
        <v>#N/A</v>
      </c>
      <c r="T30" s="708" t="s">
        <v>14</v>
      </c>
      <c r="U30" s="709" t="e">
        <f t="shared" si="13"/>
        <v>#N/A</v>
      </c>
      <c r="V30" s="708" t="s">
        <v>14</v>
      </c>
      <c r="W30" s="709" t="e">
        <f t="shared" si="14"/>
        <v>#N/A</v>
      </c>
      <c r="X30" s="710"/>
      <c r="Y30" s="3685"/>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85"/>
      <c r="Q31" s="1352" t="str">
        <f t="shared" si="11"/>
        <v>建筑结构</v>
      </c>
      <c r="R31" s="705" t="s">
        <v>14</v>
      </c>
      <c r="S31" s="706">
        <f t="shared" si="12"/>
        <v>100</v>
      </c>
      <c r="T31" s="705" t="s">
        <v>14</v>
      </c>
      <c r="U31" s="706">
        <f t="shared" si="13"/>
        <v>100</v>
      </c>
      <c r="V31" s="705" t="s">
        <v>14</v>
      </c>
      <c r="W31" s="706">
        <f t="shared" si="14"/>
        <v>100</v>
      </c>
      <c r="X31" s="1355"/>
      <c r="Y31" s="3685"/>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85"/>
      <c r="Q32" s="1352" t="str">
        <f t="shared" si="11"/>
        <v>公共部分装修</v>
      </c>
      <c r="R32" s="705" t="s">
        <v>14</v>
      </c>
      <c r="S32" s="706">
        <f t="shared" si="12"/>
        <v>100</v>
      </c>
      <c r="T32" s="705" t="s">
        <v>14</v>
      </c>
      <c r="U32" s="706">
        <f t="shared" si="13"/>
        <v>100</v>
      </c>
      <c r="V32" s="705" t="s">
        <v>14</v>
      </c>
      <c r="W32" s="706">
        <f t="shared" si="14"/>
        <v>100</v>
      </c>
      <c r="X32" s="1355"/>
      <c r="Y32" s="3685"/>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85"/>
      <c r="Q33" s="1352" t="str">
        <f t="shared" si="11"/>
        <v>成新度</v>
      </c>
      <c r="R33" s="705" t="s">
        <v>14</v>
      </c>
      <c r="S33" s="706" t="e">
        <f t="shared" si="12"/>
        <v>#N/A</v>
      </c>
      <c r="T33" s="705" t="s">
        <v>14</v>
      </c>
      <c r="U33" s="706" t="e">
        <f t="shared" si="13"/>
        <v>#N/A</v>
      </c>
      <c r="V33" s="705" t="s">
        <v>14</v>
      </c>
      <c r="W33" s="706" t="e">
        <f t="shared" si="14"/>
        <v>#N/A</v>
      </c>
      <c r="X33" s="1355"/>
      <c r="Y33" s="3685"/>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85"/>
      <c r="Q34" s="1343" t="str">
        <f t="shared" si="11"/>
        <v>物业管理</v>
      </c>
      <c r="R34" s="701" t="s">
        <v>14</v>
      </c>
      <c r="S34" s="702">
        <f t="shared" si="12"/>
        <v>100</v>
      </c>
      <c r="T34" s="701" t="s">
        <v>14</v>
      </c>
      <c r="U34" s="702">
        <f t="shared" si="13"/>
        <v>100</v>
      </c>
      <c r="V34" s="701" t="s">
        <v>14</v>
      </c>
      <c r="W34" s="702">
        <f t="shared" si="14"/>
        <v>100</v>
      </c>
      <c r="X34" s="703"/>
      <c r="Y34" s="3685"/>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85" t="s">
        <v>1696</v>
      </c>
      <c r="Q35" s="1352" t="str">
        <f t="shared" si="11"/>
        <v>市政基础设施</v>
      </c>
      <c r="R35" s="705" t="s">
        <v>14</v>
      </c>
      <c r="S35" s="706">
        <f t="shared" si="12"/>
        <v>100</v>
      </c>
      <c r="T35" s="705" t="s">
        <v>14</v>
      </c>
      <c r="U35" s="706">
        <f t="shared" si="13"/>
        <v>100</v>
      </c>
      <c r="V35" s="705" t="s">
        <v>14</v>
      </c>
      <c r="W35" s="706">
        <f t="shared" si="14"/>
        <v>100</v>
      </c>
      <c r="X35" s="1355"/>
      <c r="Y35" s="3685"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85"/>
      <c r="Q36" s="1352" t="str">
        <f t="shared" si="11"/>
        <v>内部装修</v>
      </c>
      <c r="R36" s="705" t="s">
        <v>14</v>
      </c>
      <c r="S36" s="706">
        <f t="shared" si="12"/>
        <v>100</v>
      </c>
      <c r="T36" s="705" t="s">
        <v>14</v>
      </c>
      <c r="U36" s="706">
        <f t="shared" si="13"/>
        <v>100</v>
      </c>
      <c r="V36" s="705" t="s">
        <v>14</v>
      </c>
      <c r="W36" s="706">
        <f t="shared" si="14"/>
        <v>100</v>
      </c>
      <c r="X36" s="1355"/>
      <c r="Y36" s="3685"/>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85"/>
      <c r="Q37" s="1352" t="str">
        <f t="shared" si="11"/>
        <v>内部装修状况</v>
      </c>
      <c r="R37" s="705" t="s">
        <v>14</v>
      </c>
      <c r="S37" s="706">
        <f t="shared" si="12"/>
        <v>100</v>
      </c>
      <c r="T37" s="705" t="s">
        <v>14</v>
      </c>
      <c r="U37" s="706">
        <f t="shared" si="13"/>
        <v>100</v>
      </c>
      <c r="V37" s="705" t="s">
        <v>14</v>
      </c>
      <c r="W37" s="706">
        <f t="shared" si="14"/>
        <v>100</v>
      </c>
      <c r="X37" s="1355"/>
      <c r="Y37" s="3685"/>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85"/>
      <c r="Q38" s="707">
        <f t="shared" si="11"/>
        <v>111</v>
      </c>
      <c r="R38" s="708" t="s">
        <v>14</v>
      </c>
      <c r="S38" s="709">
        <f t="shared" si="12"/>
        <v>100</v>
      </c>
      <c r="T38" s="708" t="s">
        <v>14</v>
      </c>
      <c r="U38" s="709">
        <f t="shared" si="13"/>
        <v>100</v>
      </c>
      <c r="V38" s="708" t="s">
        <v>14</v>
      </c>
      <c r="W38" s="709">
        <f t="shared" si="14"/>
        <v>100</v>
      </c>
      <c r="X38" s="710"/>
      <c r="Y38" s="3685"/>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85"/>
      <c r="Q39" s="1352">
        <f t="shared" si="11"/>
        <v>111</v>
      </c>
      <c r="R39" s="705" t="s">
        <v>14</v>
      </c>
      <c r="S39" s="706">
        <f t="shared" si="12"/>
        <v>100</v>
      </c>
      <c r="T39" s="705" t="s">
        <v>14</v>
      </c>
      <c r="U39" s="706">
        <f t="shared" si="13"/>
        <v>100</v>
      </c>
      <c r="V39" s="705" t="s">
        <v>14</v>
      </c>
      <c r="W39" s="706">
        <f t="shared" si="14"/>
        <v>100</v>
      </c>
      <c r="X39" s="1355"/>
      <c r="Y39" s="3685"/>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6"/>
      <c r="Q40" s="1352">
        <f t="shared" si="11"/>
        <v>111</v>
      </c>
      <c r="R40" s="705" t="s">
        <v>14</v>
      </c>
      <c r="S40" s="706">
        <f t="shared" si="12"/>
        <v>100</v>
      </c>
      <c r="T40" s="705" t="s">
        <v>14</v>
      </c>
      <c r="U40" s="706">
        <f t="shared" si="13"/>
        <v>100</v>
      </c>
      <c r="V40" s="705" t="s">
        <v>14</v>
      </c>
      <c r="W40" s="706">
        <f t="shared" si="14"/>
        <v>100</v>
      </c>
      <c r="X40" s="1355"/>
      <c r="Y40" s="3686"/>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87" t="str">
        <f>A41</f>
        <v>成交单价（元/平方米）</v>
      </c>
      <c r="Q41" s="3687"/>
      <c r="R41" s="3688">
        <f>E41</f>
        <v>0</v>
      </c>
      <c r="S41" s="3688"/>
      <c r="T41" s="3688">
        <f>G41</f>
        <v>0</v>
      </c>
      <c r="U41" s="3688"/>
      <c r="V41" s="3688">
        <f>I41</f>
        <v>0</v>
      </c>
      <c r="W41" s="3688"/>
      <c r="X41" s="690"/>
      <c r="Y41" s="712"/>
      <c r="Z41" s="690"/>
      <c r="AA41" s="690"/>
      <c r="AB41" s="690"/>
      <c r="AC41" s="690"/>
    </row>
    <row r="42" spans="1:29" ht="15.75" thickBot="1">
      <c r="A42" s="437" t="s">
        <v>1793</v>
      </c>
      <c r="B42" s="438"/>
      <c r="C42" s="1160" t="e">
        <f>R43</f>
        <v>#DIV/0!</v>
      </c>
      <c r="D42" s="2317" t="s">
        <v>2136</v>
      </c>
      <c r="E42" s="1161" t="e">
        <f>R42</f>
        <v>#DIV/0!</v>
      </c>
      <c r="F42" s="2318"/>
      <c r="G42" s="1160" t="e">
        <f>T42</f>
        <v>#DIV/0!</v>
      </c>
      <c r="H42" s="2318"/>
      <c r="I42" s="1161" t="e">
        <f>V42</f>
        <v>#DIV/0!</v>
      </c>
      <c r="J42" s="2318"/>
      <c r="K42" s="2320">
        <f>F42+H42+J42</f>
        <v>0</v>
      </c>
      <c r="L42" s="926"/>
      <c r="M42" s="927"/>
      <c r="N42" s="914"/>
      <c r="O42" s="927"/>
      <c r="P42" s="3687" t="str">
        <f>A42</f>
        <v>比较价值（元/平方米）</v>
      </c>
      <c r="Q42" s="3687"/>
      <c r="R42" s="3688" t="e">
        <f>IF(F1="售价",ROUND(PRODUCT(R41,AA7:AA40),0),ROUND(PRODUCT(R41,AA7:AA40),1))</f>
        <v>#DIV/0!</v>
      </c>
      <c r="S42" s="3688"/>
      <c r="T42" s="3688" t="e">
        <f>IF(F1="售价",ROUND(PRODUCT(T41,AB7:AB40),0),ROUND(PRODUCT(T41,AB7:AB40),1))</f>
        <v>#DIV/0!</v>
      </c>
      <c r="U42" s="3688"/>
      <c r="V42" s="3688" t="e">
        <f>IF(F1="售价",ROUND(PRODUCT(V41,AC7:AC40),0),ROUND(PRODUCT(V41,AC7:AC40),1))</f>
        <v>#DIV/0!</v>
      </c>
      <c r="W42" s="3688"/>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863" t="str">
        <f>A43</f>
        <v>估价对象XX用房的比较价值（楼面单价，元/平方米）</v>
      </c>
      <c r="Q43" s="3864"/>
      <c r="R43" s="3865" t="e">
        <f>IF(F1="售价",ROUND(IF(D42="简单平均",AVERAGE(R42:V42),R42*F42+T42*H42+V42*J42),0),ROUND(IF(D42="简单平均",AVERAGE(R42:V42),R42*F42+T42*H42+V42*J42),1))</f>
        <v>#DIV/0!</v>
      </c>
      <c r="S43" s="3865"/>
      <c r="T43" s="3865"/>
      <c r="U43" s="3865"/>
      <c r="V43" s="3865"/>
      <c r="W43" s="3865"/>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2023-4</v>
      </c>
      <c r="D52" s="1185">
        <f>EDATE(C52,-1)</f>
        <v>44986</v>
      </c>
      <c r="E52" s="1185">
        <f t="shared" ref="E52:O52" si="16">EDATE(D52,-1)</f>
        <v>44958</v>
      </c>
      <c r="F52" s="1185">
        <f t="shared" si="16"/>
        <v>44927</v>
      </c>
      <c r="G52" s="1185">
        <f t="shared" si="16"/>
        <v>44896</v>
      </c>
      <c r="H52" s="1185">
        <f t="shared" si="16"/>
        <v>44866</v>
      </c>
      <c r="I52" s="1185">
        <f t="shared" si="16"/>
        <v>44835</v>
      </c>
      <c r="J52" s="1185">
        <f t="shared" si="16"/>
        <v>44805</v>
      </c>
      <c r="K52" s="1185">
        <f t="shared" si="16"/>
        <v>44774</v>
      </c>
      <c r="L52" s="1185">
        <f t="shared" si="16"/>
        <v>44743</v>
      </c>
      <c r="M52" s="1185">
        <f t="shared" si="16"/>
        <v>44713</v>
      </c>
      <c r="N52" s="1185">
        <f t="shared" si="16"/>
        <v>44682</v>
      </c>
      <c r="O52" s="1185">
        <f t="shared" si="16"/>
        <v>44652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3334</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62" t="s">
        <v>1770</v>
      </c>
      <c r="D4" s="3663"/>
      <c r="E4" s="3664" t="s">
        <v>1771</v>
      </c>
      <c r="F4" s="3665"/>
      <c r="G4" s="3662" t="s">
        <v>1772</v>
      </c>
      <c r="H4" s="3663"/>
      <c r="I4" s="3662" t="s">
        <v>1773</v>
      </c>
      <c r="J4" s="3663"/>
      <c r="K4" s="559" t="s">
        <v>1774</v>
      </c>
      <c r="L4" s="2715"/>
      <c r="M4" s="2716"/>
      <c r="N4" s="2716"/>
      <c r="O4" s="2716"/>
      <c r="P4" s="3859" t="s">
        <v>1775</v>
      </c>
      <c r="Q4" s="3860"/>
      <c r="R4" s="3856" t="s">
        <v>1771</v>
      </c>
      <c r="S4" s="3857"/>
      <c r="T4" s="3856" t="s">
        <v>1772</v>
      </c>
      <c r="U4" s="3857"/>
      <c r="V4" s="3675" t="s">
        <v>1773</v>
      </c>
      <c r="W4" s="3675"/>
      <c r="X4" s="1355"/>
      <c r="Y4" s="3856" t="s">
        <v>1775</v>
      </c>
      <c r="Z4" s="3857"/>
      <c r="AA4" s="3855" t="s">
        <v>1771</v>
      </c>
      <c r="AB4" s="3640" t="s">
        <v>1772</v>
      </c>
      <c r="AC4" s="3855" t="s">
        <v>1773</v>
      </c>
    </row>
    <row r="5" spans="1:29" ht="15">
      <c r="A5" s="358"/>
      <c r="B5" s="359"/>
      <c r="C5" s="3650" t="s">
        <v>1673</v>
      </c>
      <c r="D5" s="3651"/>
      <c r="E5" s="3858" t="s">
        <v>1674</v>
      </c>
      <c r="F5" s="3649"/>
      <c r="G5" s="3650" t="s">
        <v>1675</v>
      </c>
      <c r="H5" s="3651"/>
      <c r="I5" s="3650" t="s">
        <v>1676</v>
      </c>
      <c r="J5" s="3651"/>
      <c r="K5" s="559"/>
      <c r="L5" s="2715"/>
      <c r="M5" s="2716"/>
      <c r="N5" s="2716"/>
      <c r="O5" s="2716"/>
      <c r="P5" s="3861"/>
      <c r="Q5" s="3669"/>
      <c r="R5" s="3646"/>
      <c r="S5" s="3647"/>
      <c r="T5" s="3646"/>
      <c r="U5" s="3647"/>
      <c r="V5" s="3675"/>
      <c r="W5" s="3675"/>
      <c r="X5" s="1355"/>
      <c r="Y5" s="3646"/>
      <c r="Z5" s="3647"/>
      <c r="AA5" s="3640"/>
      <c r="AB5" s="3640"/>
      <c r="AC5" s="3640"/>
    </row>
    <row r="6" spans="1:29" ht="15.75" thickBot="1">
      <c r="A6" s="360"/>
      <c r="B6" s="361"/>
      <c r="C6" s="3652" t="s">
        <v>1677</v>
      </c>
      <c r="D6" s="3653"/>
      <c r="E6" s="3655" t="s">
        <v>1677</v>
      </c>
      <c r="F6" s="3656"/>
      <c r="G6" s="3652" t="s">
        <v>1677</v>
      </c>
      <c r="H6" s="3653"/>
      <c r="I6" s="3652" t="s">
        <v>1677</v>
      </c>
      <c r="J6" s="3653"/>
      <c r="K6" s="559" t="s">
        <v>1678</v>
      </c>
      <c r="L6" s="2715"/>
      <c r="M6" s="2716"/>
      <c r="N6" s="2716"/>
      <c r="O6" s="2716"/>
      <c r="P6" s="3862"/>
      <c r="Q6" s="3671"/>
      <c r="R6" s="3646"/>
      <c r="S6" s="3647"/>
      <c r="T6" s="3672"/>
      <c r="U6" s="3673"/>
      <c r="V6" s="3675"/>
      <c r="W6" s="3675"/>
      <c r="X6" s="1355"/>
      <c r="Y6" s="3672"/>
      <c r="Z6" s="3673"/>
      <c r="AA6" s="3641"/>
      <c r="AB6" s="3641"/>
      <c r="AC6" s="3641"/>
    </row>
    <row r="7" spans="1:29" s="108" customFormat="1" ht="15.75" thickBot="1">
      <c r="A7" s="362" t="s">
        <v>1679</v>
      </c>
      <c r="B7" s="363"/>
      <c r="C7" s="364">
        <f>'数据-取费表'!B2</f>
        <v>45033</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42" t="s">
        <v>1680</v>
      </c>
      <c r="Q7" s="3677"/>
      <c r="R7" s="701" t="s">
        <v>14</v>
      </c>
      <c r="S7" s="702">
        <f t="shared" ref="S7:S14" si="0">F7</f>
        <v>0</v>
      </c>
      <c r="T7" s="701" t="s">
        <v>14</v>
      </c>
      <c r="U7" s="702">
        <f t="shared" ref="U7:U14" si="1">H7</f>
        <v>0</v>
      </c>
      <c r="V7" s="701" t="s">
        <v>14</v>
      </c>
      <c r="W7" s="702">
        <f t="shared" ref="W7:W14" si="2">J7</f>
        <v>0</v>
      </c>
      <c r="X7" s="703"/>
      <c r="Y7" s="3642" t="s">
        <v>1680</v>
      </c>
      <c r="Z7" s="3643"/>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42" t="s">
        <v>1683</v>
      </c>
      <c r="Q8" s="3643"/>
      <c r="R8" s="701" t="s">
        <v>14</v>
      </c>
      <c r="S8" s="702">
        <f t="shared" si="0"/>
        <v>100</v>
      </c>
      <c r="T8" s="701" t="s">
        <v>14</v>
      </c>
      <c r="U8" s="702">
        <f t="shared" si="1"/>
        <v>100</v>
      </c>
      <c r="V8" s="701" t="s">
        <v>14</v>
      </c>
      <c r="W8" s="702">
        <f t="shared" si="2"/>
        <v>100</v>
      </c>
      <c r="X8" s="703"/>
      <c r="Y8" s="3642" t="s">
        <v>1683</v>
      </c>
      <c r="Z8" s="3643"/>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87" t="s">
        <v>1686</v>
      </c>
      <c r="Q9" s="1343" t="str">
        <f t="shared" ref="Q9:Q14" si="6">B9</f>
        <v>用途</v>
      </c>
      <c r="R9" s="701" t="s">
        <v>14</v>
      </c>
      <c r="S9" s="702">
        <f t="shared" si="0"/>
        <v>100</v>
      </c>
      <c r="T9" s="701" t="s">
        <v>14</v>
      </c>
      <c r="U9" s="702">
        <f t="shared" si="1"/>
        <v>100</v>
      </c>
      <c r="V9" s="701" t="s">
        <v>14</v>
      </c>
      <c r="W9" s="702">
        <f t="shared" si="2"/>
        <v>100</v>
      </c>
      <c r="X9" s="703"/>
      <c r="Y9" s="3658"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87"/>
      <c r="Q10" s="1343" t="str">
        <f t="shared" si="6"/>
        <v>土地使用年限（年）</v>
      </c>
      <c r="R10" s="701" t="s">
        <v>14</v>
      </c>
      <c r="S10" s="702">
        <f t="shared" si="0"/>
        <v>100</v>
      </c>
      <c r="T10" s="701" t="s">
        <v>14</v>
      </c>
      <c r="U10" s="702">
        <f t="shared" si="1"/>
        <v>100</v>
      </c>
      <c r="V10" s="701" t="s">
        <v>14</v>
      </c>
      <c r="W10" s="702">
        <f t="shared" si="2"/>
        <v>100</v>
      </c>
      <c r="X10" s="703"/>
      <c r="Y10" s="365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87"/>
      <c r="Q11" s="1343">
        <f t="shared" si="6"/>
        <v>111</v>
      </c>
      <c r="R11" s="701" t="s">
        <v>14</v>
      </c>
      <c r="S11" s="702">
        <f t="shared" si="0"/>
        <v>100</v>
      </c>
      <c r="T11" s="701" t="s">
        <v>14</v>
      </c>
      <c r="U11" s="702">
        <f t="shared" si="1"/>
        <v>100</v>
      </c>
      <c r="V11" s="701" t="s">
        <v>14</v>
      </c>
      <c r="W11" s="702">
        <f t="shared" si="2"/>
        <v>100</v>
      </c>
      <c r="X11" s="703"/>
      <c r="Y11" s="365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87"/>
      <c r="Q12" s="1343">
        <f t="shared" si="6"/>
        <v>111</v>
      </c>
      <c r="R12" s="701" t="s">
        <v>14</v>
      </c>
      <c r="S12" s="702">
        <f t="shared" si="0"/>
        <v>100</v>
      </c>
      <c r="T12" s="701" t="s">
        <v>14</v>
      </c>
      <c r="U12" s="702">
        <f t="shared" si="1"/>
        <v>100</v>
      </c>
      <c r="V12" s="701" t="s">
        <v>14</v>
      </c>
      <c r="W12" s="702">
        <f t="shared" si="2"/>
        <v>100</v>
      </c>
      <c r="X12" s="703"/>
      <c r="Y12" s="365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87"/>
      <c r="Q13" s="1343">
        <f t="shared" si="6"/>
        <v>111</v>
      </c>
      <c r="R13" s="701" t="s">
        <v>14</v>
      </c>
      <c r="S13" s="702">
        <f t="shared" si="0"/>
        <v>100</v>
      </c>
      <c r="T13" s="701" t="s">
        <v>14</v>
      </c>
      <c r="U13" s="702">
        <f t="shared" si="1"/>
        <v>100</v>
      </c>
      <c r="V13" s="701" t="s">
        <v>14</v>
      </c>
      <c r="W13" s="702">
        <f t="shared" si="2"/>
        <v>100</v>
      </c>
      <c r="X13" s="703"/>
      <c r="Y13" s="3658"/>
      <c r="Z13" s="52">
        <f t="shared" si="7"/>
        <v>111</v>
      </c>
      <c r="AA13" s="704">
        <f t="shared" si="3"/>
        <v>1</v>
      </c>
      <c r="AB13" s="704">
        <f t="shared" si="4"/>
        <v>1</v>
      </c>
      <c r="AC13" s="704">
        <f t="shared" si="5"/>
        <v>1</v>
      </c>
    </row>
    <row r="14" spans="1:29" ht="156.75">
      <c r="A14" s="355" t="s">
        <v>1690</v>
      </c>
      <c r="B14" s="577" t="s">
        <v>1833</v>
      </c>
      <c r="C14" s="1971" t="str">
        <f>IF(B1="工业",估价对象房地状况!G4,估价对象房地状况!C6)</f>
        <v>估价对象周边有132路、404路、421路、451路、593路等多条公交线路，距离地铁14号线阜通站约200米，周边道路网线较密集，通达度较好。综合评价交通便捷度较好。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80" t="s">
        <v>1691</v>
      </c>
      <c r="Q14" s="1352" t="str">
        <f t="shared" si="6"/>
        <v>交通便捷度</v>
      </c>
      <c r="R14" s="705" t="s">
        <v>14</v>
      </c>
      <c r="S14" s="706">
        <f t="shared" si="0"/>
        <v>100</v>
      </c>
      <c r="T14" s="705" t="s">
        <v>14</v>
      </c>
      <c r="U14" s="706">
        <f t="shared" si="1"/>
        <v>100</v>
      </c>
      <c r="V14" s="705" t="s">
        <v>14</v>
      </c>
      <c r="W14" s="706">
        <f t="shared" si="2"/>
        <v>100</v>
      </c>
      <c r="X14" s="1355"/>
      <c r="Y14" s="3680"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81"/>
      <c r="Q15" s="1352"/>
      <c r="R15" s="705"/>
      <c r="S15" s="706"/>
      <c r="T15" s="705"/>
      <c r="U15" s="706"/>
      <c r="V15" s="705"/>
      <c r="W15" s="706"/>
      <c r="X15" s="1355"/>
      <c r="Y15" s="3681"/>
      <c r="Z15" s="1356"/>
      <c r="AA15" s="1353">
        <v>1</v>
      </c>
      <c r="AB15" s="1353">
        <v>1</v>
      </c>
      <c r="AC15" s="1353">
        <v>1</v>
      </c>
    </row>
    <row r="16" spans="1:29" ht="370.5">
      <c r="A16" s="358"/>
      <c r="B16" s="579" t="s">
        <v>1812</v>
      </c>
      <c r="C16" s="1900" t="str">
        <f>IF(B1="工业",估价对象房地状况!G5,估价对象房地状况!C7)</f>
        <v>周边1公里内的公共服务配套设施较齐备，有购物场所（凯德MALL、新世界百货、物美大卖场、京客隆等）、医院（中国中医科学院望京医院、北京明德医院、南湖东园社区卫生服务站等）、银行（中国光大银行、广发银行、友利银行等）、学校（中央美术学院、首师大附属实验学校（南校区）、陈经伦中学分校（南湖东园校区）、南湖中园小学、望京新城幼儿园等）等公共服务配套设施。</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81"/>
      <c r="Q16" s="1352" t="str">
        <f>B16</f>
        <v>公共配套设施</v>
      </c>
      <c r="R16" s="705" t="s">
        <v>14</v>
      </c>
      <c r="S16" s="706">
        <f>F16</f>
        <v>100</v>
      </c>
      <c r="T16" s="705" t="s">
        <v>14</v>
      </c>
      <c r="U16" s="706">
        <f>H16</f>
        <v>100</v>
      </c>
      <c r="V16" s="705" t="s">
        <v>14</v>
      </c>
      <c r="W16" s="706">
        <f>J16</f>
        <v>100</v>
      </c>
      <c r="X16" s="1355"/>
      <c r="Y16" s="3681"/>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81"/>
      <c r="Q17" s="1352"/>
      <c r="R17" s="705"/>
      <c r="S17" s="706"/>
      <c r="T17" s="705"/>
      <c r="U17" s="706"/>
      <c r="V17" s="705"/>
      <c r="W17" s="706"/>
      <c r="X17" s="1355"/>
      <c r="Y17" s="3681"/>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81"/>
      <c r="Q18" s="1352" t="str">
        <f>B18</f>
        <v>基础设施水平</v>
      </c>
      <c r="R18" s="705" t="s">
        <v>14</v>
      </c>
      <c r="S18" s="706">
        <f>F18</f>
        <v>100</v>
      </c>
      <c r="T18" s="705" t="s">
        <v>14</v>
      </c>
      <c r="U18" s="706">
        <f>H18</f>
        <v>100</v>
      </c>
      <c r="V18" s="705" t="s">
        <v>14</v>
      </c>
      <c r="W18" s="706">
        <f>J18</f>
        <v>100</v>
      </c>
      <c r="X18" s="1355"/>
      <c r="Y18" s="3681"/>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81"/>
      <c r="Q19" s="1352"/>
      <c r="R19" s="705"/>
      <c r="S19" s="706"/>
      <c r="T19" s="705"/>
      <c r="U19" s="706"/>
      <c r="V19" s="705"/>
      <c r="W19" s="706"/>
      <c r="X19" s="1355"/>
      <c r="Y19" s="3681"/>
      <c r="Z19" s="1356"/>
      <c r="AA19" s="1353">
        <v>1</v>
      </c>
      <c r="AB19" s="1353">
        <v>1</v>
      </c>
      <c r="AC19" s="1353">
        <v>1</v>
      </c>
    </row>
    <row r="20" spans="1:29" ht="85.5">
      <c r="A20" s="358"/>
      <c r="B20" s="579" t="s">
        <v>1834</v>
      </c>
      <c r="C20" s="1900" t="str">
        <f>IF(B1="工业",估价对象房地状况!G7,估价对象房地状况!C9)</f>
        <v>估价对象周边有望京文化体育公园、望京文化广场等自然人文场所，综合评价环境状况一般。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81"/>
      <c r="Q20" s="1352" t="str">
        <f>B20</f>
        <v>自然及人文环境</v>
      </c>
      <c r="R20" s="705" t="s">
        <v>14</v>
      </c>
      <c r="S20" s="706">
        <f>F20</f>
        <v>100</v>
      </c>
      <c r="T20" s="705" t="s">
        <v>14</v>
      </c>
      <c r="U20" s="706">
        <f>H20</f>
        <v>100</v>
      </c>
      <c r="V20" s="705" t="s">
        <v>14</v>
      </c>
      <c r="W20" s="706">
        <f>J20</f>
        <v>100</v>
      </c>
      <c r="X20" s="1355"/>
      <c r="Y20" s="368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81"/>
      <c r="Q21" s="1352"/>
      <c r="R21" s="705"/>
      <c r="S21" s="706"/>
      <c r="T21" s="705"/>
      <c r="U21" s="706"/>
      <c r="V21" s="705"/>
      <c r="W21" s="706"/>
      <c r="X21" s="1355"/>
      <c r="Y21" s="3681"/>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81"/>
      <c r="Q22" s="1352" t="str">
        <f>B22</f>
        <v>楼层</v>
      </c>
      <c r="R22" s="705" t="s">
        <v>14</v>
      </c>
      <c r="S22" s="706">
        <f>F22</f>
        <v>100</v>
      </c>
      <c r="T22" s="705" t="s">
        <v>14</v>
      </c>
      <c r="U22" s="706">
        <f>H22</f>
        <v>100</v>
      </c>
      <c r="V22" s="705" t="s">
        <v>14</v>
      </c>
      <c r="W22" s="706">
        <f>J22</f>
        <v>100</v>
      </c>
      <c r="X22" s="1355"/>
      <c r="Y22" s="368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81"/>
      <c r="Q23" s="1352">
        <f>B23</f>
        <v>111</v>
      </c>
      <c r="R23" s="705" t="s">
        <v>14</v>
      </c>
      <c r="S23" s="706">
        <f>F23</f>
        <v>100</v>
      </c>
      <c r="T23" s="705" t="s">
        <v>14</v>
      </c>
      <c r="U23" s="706">
        <f>H23</f>
        <v>100</v>
      </c>
      <c r="V23" s="705" t="s">
        <v>14</v>
      </c>
      <c r="W23" s="706">
        <f>J23</f>
        <v>100</v>
      </c>
      <c r="X23" s="1355"/>
      <c r="Y23" s="368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81"/>
      <c r="Q24" s="1352">
        <f t="shared" ref="Q24:Q36" si="11">B24</f>
        <v>111</v>
      </c>
      <c r="R24" s="705" t="s">
        <v>14</v>
      </c>
      <c r="S24" s="706">
        <f>F24</f>
        <v>100</v>
      </c>
      <c r="T24" s="705" t="s">
        <v>14</v>
      </c>
      <c r="U24" s="706">
        <f>H24</f>
        <v>100</v>
      </c>
      <c r="V24" s="705" t="s">
        <v>14</v>
      </c>
      <c r="W24" s="706">
        <f>J24</f>
        <v>100</v>
      </c>
      <c r="X24" s="1355"/>
      <c r="Y24" s="3681"/>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81"/>
      <c r="Q25" s="1343">
        <f t="shared" si="11"/>
        <v>111</v>
      </c>
      <c r="R25" s="701" t="s">
        <v>14</v>
      </c>
      <c r="S25" s="702">
        <f>F25</f>
        <v>100</v>
      </c>
      <c r="T25" s="701" t="s">
        <v>14</v>
      </c>
      <c r="U25" s="702">
        <f>H25</f>
        <v>100</v>
      </c>
      <c r="V25" s="701" t="s">
        <v>14</v>
      </c>
      <c r="W25" s="702">
        <f>J25</f>
        <v>100</v>
      </c>
      <c r="X25" s="703"/>
      <c r="Y25" s="3681"/>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866"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85"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85"/>
      <c r="Q27" s="707" t="str">
        <f t="shared" si="11"/>
        <v>项目停车位配比</v>
      </c>
      <c r="R27" s="708" t="s">
        <v>14</v>
      </c>
      <c r="S27" s="709">
        <f t="shared" si="12"/>
        <v>100</v>
      </c>
      <c r="T27" s="708" t="s">
        <v>14</v>
      </c>
      <c r="U27" s="709">
        <f t="shared" si="13"/>
        <v>100</v>
      </c>
      <c r="V27" s="708" t="s">
        <v>14</v>
      </c>
      <c r="W27" s="709">
        <f t="shared" si="14"/>
        <v>100</v>
      </c>
      <c r="X27" s="710"/>
      <c r="Y27" s="3685"/>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85"/>
      <c r="Q28" s="1352" t="str">
        <f t="shared" si="11"/>
        <v>公共部分装修</v>
      </c>
      <c r="R28" s="705" t="s">
        <v>14</v>
      </c>
      <c r="S28" s="706">
        <f t="shared" si="12"/>
        <v>100</v>
      </c>
      <c r="T28" s="705" t="s">
        <v>14</v>
      </c>
      <c r="U28" s="706">
        <f t="shared" si="13"/>
        <v>100</v>
      </c>
      <c r="V28" s="705" t="s">
        <v>14</v>
      </c>
      <c r="W28" s="706">
        <f t="shared" si="14"/>
        <v>100</v>
      </c>
      <c r="X28" s="1355"/>
      <c r="Y28" s="3685"/>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85"/>
      <c r="Q29" s="1352" t="str">
        <f t="shared" si="11"/>
        <v>成新率</v>
      </c>
      <c r="R29" s="705" t="s">
        <v>14</v>
      </c>
      <c r="S29" s="706" t="e">
        <f t="shared" si="12"/>
        <v>#N/A</v>
      </c>
      <c r="T29" s="705" t="s">
        <v>14</v>
      </c>
      <c r="U29" s="706" t="e">
        <f t="shared" si="13"/>
        <v>#N/A</v>
      </c>
      <c r="V29" s="705" t="s">
        <v>14</v>
      </c>
      <c r="W29" s="706" t="e">
        <f t="shared" si="14"/>
        <v>#N/A</v>
      </c>
      <c r="X29" s="1355"/>
      <c r="Y29" s="3685"/>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85"/>
      <c r="Q30" s="1352" t="str">
        <f t="shared" si="11"/>
        <v>物业等级</v>
      </c>
      <c r="R30" s="705" t="s">
        <v>14</v>
      </c>
      <c r="S30" s="706">
        <f t="shared" si="12"/>
        <v>100</v>
      </c>
      <c r="T30" s="705" t="s">
        <v>14</v>
      </c>
      <c r="U30" s="706">
        <f t="shared" si="13"/>
        <v>100</v>
      </c>
      <c r="V30" s="705" t="s">
        <v>14</v>
      </c>
      <c r="W30" s="706">
        <f t="shared" si="14"/>
        <v>100</v>
      </c>
      <c r="X30" s="1355"/>
      <c r="Y30" s="3685"/>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85"/>
      <c r="Q31" s="1343" t="str">
        <f t="shared" si="11"/>
        <v>停车位面积</v>
      </c>
      <c r="R31" s="701" t="s">
        <v>14</v>
      </c>
      <c r="S31" s="702" t="e">
        <f t="shared" si="12"/>
        <v>#N/A</v>
      </c>
      <c r="T31" s="701" t="s">
        <v>14</v>
      </c>
      <c r="U31" s="702" t="e">
        <f t="shared" si="13"/>
        <v>#N/A</v>
      </c>
      <c r="V31" s="701" t="s">
        <v>14</v>
      </c>
      <c r="W31" s="702" t="e">
        <f t="shared" si="14"/>
        <v>#N/A</v>
      </c>
      <c r="X31" s="703"/>
      <c r="Y31" s="3685"/>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85" t="s">
        <v>1696</v>
      </c>
      <c r="Q32" s="1352" t="str">
        <f t="shared" si="11"/>
        <v>车位类型</v>
      </c>
      <c r="R32" s="705" t="s">
        <v>14</v>
      </c>
      <c r="S32" s="706">
        <f t="shared" si="12"/>
        <v>100</v>
      </c>
      <c r="T32" s="705" t="s">
        <v>14</v>
      </c>
      <c r="U32" s="706">
        <f t="shared" si="13"/>
        <v>100</v>
      </c>
      <c r="V32" s="705" t="s">
        <v>14</v>
      </c>
      <c r="W32" s="706">
        <f t="shared" si="14"/>
        <v>100</v>
      </c>
      <c r="X32" s="1355"/>
      <c r="Y32" s="3685"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85"/>
      <c r="Q33" s="1352" t="str">
        <f t="shared" si="11"/>
        <v>是否直接入户</v>
      </c>
      <c r="R33" s="705" t="s">
        <v>14</v>
      </c>
      <c r="S33" s="706">
        <f t="shared" si="12"/>
        <v>100</v>
      </c>
      <c r="T33" s="705" t="s">
        <v>14</v>
      </c>
      <c r="U33" s="706">
        <f t="shared" si="13"/>
        <v>100</v>
      </c>
      <c r="V33" s="705" t="s">
        <v>14</v>
      </c>
      <c r="W33" s="706">
        <f t="shared" si="14"/>
        <v>100</v>
      </c>
      <c r="X33" s="1355"/>
      <c r="Y33" s="3685"/>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85"/>
      <c r="Q34" s="1352">
        <f t="shared" si="11"/>
        <v>111</v>
      </c>
      <c r="R34" s="705" t="s">
        <v>14</v>
      </c>
      <c r="S34" s="706">
        <f t="shared" si="12"/>
        <v>100</v>
      </c>
      <c r="T34" s="705" t="s">
        <v>14</v>
      </c>
      <c r="U34" s="706">
        <f t="shared" si="13"/>
        <v>100</v>
      </c>
      <c r="V34" s="705" t="s">
        <v>14</v>
      </c>
      <c r="W34" s="706">
        <f t="shared" si="14"/>
        <v>100</v>
      </c>
      <c r="X34" s="1355"/>
      <c r="Y34" s="3685"/>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85"/>
      <c r="Q35" s="707">
        <f t="shared" si="11"/>
        <v>111</v>
      </c>
      <c r="R35" s="708" t="s">
        <v>14</v>
      </c>
      <c r="S35" s="709">
        <f t="shared" si="12"/>
        <v>100</v>
      </c>
      <c r="T35" s="708" t="s">
        <v>14</v>
      </c>
      <c r="U35" s="709">
        <f t="shared" si="13"/>
        <v>100</v>
      </c>
      <c r="V35" s="708" t="s">
        <v>14</v>
      </c>
      <c r="W35" s="709">
        <f t="shared" si="14"/>
        <v>100</v>
      </c>
      <c r="X35" s="710"/>
      <c r="Y35" s="3685"/>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85"/>
      <c r="Q36" s="1352">
        <f t="shared" si="11"/>
        <v>111</v>
      </c>
      <c r="R36" s="705" t="s">
        <v>14</v>
      </c>
      <c r="S36" s="706">
        <f t="shared" si="12"/>
        <v>100</v>
      </c>
      <c r="T36" s="705" t="s">
        <v>14</v>
      </c>
      <c r="U36" s="706">
        <f t="shared" si="13"/>
        <v>100</v>
      </c>
      <c r="V36" s="705" t="s">
        <v>14</v>
      </c>
      <c r="W36" s="706">
        <f t="shared" si="14"/>
        <v>100</v>
      </c>
      <c r="X36" s="1355"/>
      <c r="Y36" s="3685"/>
      <c r="Z36" s="1356">
        <f t="shared" si="15"/>
        <v>111</v>
      </c>
      <c r="AA36" s="1353">
        <f t="shared" si="3"/>
        <v>1</v>
      </c>
      <c r="AB36" s="1353">
        <f t="shared" si="4"/>
        <v>1</v>
      </c>
      <c r="AC36" s="1353">
        <f t="shared" si="5"/>
        <v>1</v>
      </c>
    </row>
    <row r="37" spans="1:29" ht="15">
      <c r="A37" s="430" t="s">
        <v>1844</v>
      </c>
      <c r="B37" s="1973" t="s">
        <v>3354</v>
      </c>
      <c r="C37" s="1154" t="s">
        <v>0</v>
      </c>
      <c r="D37" s="1155"/>
      <c r="E37" s="1156"/>
      <c r="F37" s="1157"/>
      <c r="G37" s="1158"/>
      <c r="H37" s="1159"/>
      <c r="I37" s="1156"/>
      <c r="J37" s="1159"/>
      <c r="K37" s="568"/>
      <c r="L37" s="2724"/>
      <c r="M37" s="2725"/>
      <c r="N37" s="2716"/>
      <c r="O37" s="2725"/>
      <c r="P37" s="3687" t="str">
        <f>A37</f>
        <v>成交单价</v>
      </c>
      <c r="Q37" s="3687"/>
      <c r="R37" s="3688">
        <f>E37</f>
        <v>0</v>
      </c>
      <c r="S37" s="3688"/>
      <c r="T37" s="3688">
        <f>G37</f>
        <v>0</v>
      </c>
      <c r="U37" s="3688"/>
      <c r="V37" s="3688">
        <f>I37</f>
        <v>0</v>
      </c>
      <c r="W37" s="3688"/>
      <c r="X37" s="690"/>
      <c r="Y37" s="712"/>
      <c r="Z37" s="690"/>
      <c r="AA37" s="690"/>
      <c r="AB37" s="690"/>
      <c r="AC37" s="690"/>
    </row>
    <row r="38" spans="1:29" ht="15.75" thickBot="1">
      <c r="A38" s="437" t="s">
        <v>1845</v>
      </c>
      <c r="B38" s="438" t="str">
        <f>B37</f>
        <v>元/平方米</v>
      </c>
      <c r="C38" s="1160" t="e">
        <f>R39</f>
        <v>#DIV/0!</v>
      </c>
      <c r="D38" s="2317" t="s">
        <v>2136</v>
      </c>
      <c r="E38" s="1161" t="e">
        <f>R38</f>
        <v>#DIV/0!</v>
      </c>
      <c r="F38" s="2318"/>
      <c r="G38" s="1160" t="e">
        <f>T38</f>
        <v>#DIV/0!</v>
      </c>
      <c r="H38" s="2318"/>
      <c r="I38" s="1161" t="e">
        <f>V38</f>
        <v>#DIV/0!</v>
      </c>
      <c r="J38" s="2318"/>
      <c r="K38" s="2320">
        <f>F38+H38+J38</f>
        <v>0</v>
      </c>
      <c r="L38" s="2724"/>
      <c r="M38" s="2725"/>
      <c r="N38" s="2725"/>
      <c r="O38" s="2725"/>
      <c r="P38" s="3687" t="str">
        <f>A38</f>
        <v>比较价值（元/平方米）</v>
      </c>
      <c r="Q38" s="3687"/>
      <c r="R38" s="3688" t="e">
        <f>IF(F1="售价",ROUND(PRODUCT(R37,AA7:AA36),0),ROUND(PRODUCT(R37,AA7:AA36),1))</f>
        <v>#DIV/0!</v>
      </c>
      <c r="S38" s="3688"/>
      <c r="T38" s="3688" t="e">
        <f>IF(F1="售价",ROUND(PRODUCT(T37,AB7:AB36),0),ROUND(PRODUCT(T37,AB7:AB36),1))</f>
        <v>#DIV/0!</v>
      </c>
      <c r="U38" s="3688"/>
      <c r="V38" s="3688" t="e">
        <f>IF(F1="售价",ROUND(PRODUCT(V37,AC7:AC36),0),ROUND(PRODUCT(V37,AC7:AC36),1))</f>
        <v>#DIV/0!</v>
      </c>
      <c r="W38" s="3688"/>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863" t="str">
        <f>A39</f>
        <v>估价对象XX用房的比较价值（楼面单价，元/平方米）</v>
      </c>
      <c r="Q39" s="3864"/>
      <c r="R39" s="3867" t="e">
        <f>IF(F1="售价",ROUND(IF(D38="简单平均",AVERAGE(R38:W38),R38*F38+T38*H38+V38*J38),0),ROUND(IF(D38="简单平均",AVERAGE(R38:V38),R38*F38+T38*H38+V38*J38),1))</f>
        <v>#DIV/0!</v>
      </c>
      <c r="S39" s="3867"/>
      <c r="T39" s="3867"/>
      <c r="U39" s="3867"/>
      <c r="V39" s="3867"/>
      <c r="W39" s="3867"/>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2023-4</v>
      </c>
      <c r="D48" s="1185">
        <f>EDATE(C48,-1)</f>
        <v>44986</v>
      </c>
      <c r="E48" s="1185">
        <f t="shared" ref="E48:O48" si="16">EDATE(D48,-1)</f>
        <v>44958</v>
      </c>
      <c r="F48" s="1185">
        <f t="shared" si="16"/>
        <v>44927</v>
      </c>
      <c r="G48" s="1185">
        <f t="shared" si="16"/>
        <v>44896</v>
      </c>
      <c r="H48" s="1185">
        <f t="shared" si="16"/>
        <v>44866</v>
      </c>
      <c r="I48" s="1185">
        <f t="shared" si="16"/>
        <v>44835</v>
      </c>
      <c r="J48" s="1185">
        <f t="shared" si="16"/>
        <v>44805</v>
      </c>
      <c r="K48" s="1185">
        <f t="shared" si="16"/>
        <v>44774</v>
      </c>
      <c r="L48" s="1185">
        <f t="shared" si="16"/>
        <v>44743</v>
      </c>
      <c r="M48" s="1185">
        <f t="shared" si="16"/>
        <v>44713</v>
      </c>
      <c r="N48" s="1185">
        <f t="shared" si="16"/>
        <v>44682</v>
      </c>
      <c r="O48" s="1185">
        <f t="shared" si="16"/>
        <v>44652</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3335</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62" t="s">
        <v>1770</v>
      </c>
      <c r="D4" s="3663"/>
      <c r="E4" s="3664" t="s">
        <v>1771</v>
      </c>
      <c r="F4" s="3665"/>
      <c r="G4" s="3662" t="s">
        <v>1772</v>
      </c>
      <c r="H4" s="3663"/>
      <c r="I4" s="3662" t="s">
        <v>1773</v>
      </c>
      <c r="J4" s="3663"/>
      <c r="K4" s="559" t="s">
        <v>1774</v>
      </c>
      <c r="L4" s="2715"/>
      <c r="M4" s="2716"/>
      <c r="N4" s="2716"/>
      <c r="O4" s="2716"/>
      <c r="P4" s="3859" t="s">
        <v>1775</v>
      </c>
      <c r="Q4" s="3860"/>
      <c r="R4" s="3856" t="s">
        <v>1771</v>
      </c>
      <c r="S4" s="3857"/>
      <c r="T4" s="3856" t="s">
        <v>1772</v>
      </c>
      <c r="U4" s="3857"/>
      <c r="V4" s="3675" t="s">
        <v>1773</v>
      </c>
      <c r="W4" s="3675"/>
      <c r="X4" s="1355"/>
      <c r="Y4" s="3856" t="s">
        <v>1775</v>
      </c>
      <c r="Z4" s="3857"/>
      <c r="AA4" s="3855" t="s">
        <v>1771</v>
      </c>
      <c r="AB4" s="3640" t="s">
        <v>1772</v>
      </c>
      <c r="AC4" s="3855" t="s">
        <v>1773</v>
      </c>
    </row>
    <row r="5" spans="1:29" ht="15">
      <c r="A5" s="358"/>
      <c r="B5" s="359"/>
      <c r="C5" s="3650" t="s">
        <v>1673</v>
      </c>
      <c r="D5" s="3651"/>
      <c r="E5" s="3858" t="s">
        <v>1674</v>
      </c>
      <c r="F5" s="3649"/>
      <c r="G5" s="3650" t="s">
        <v>1675</v>
      </c>
      <c r="H5" s="3651"/>
      <c r="I5" s="3650" t="s">
        <v>1676</v>
      </c>
      <c r="J5" s="3651"/>
      <c r="K5" s="559"/>
      <c r="L5" s="2715"/>
      <c r="M5" s="2716"/>
      <c r="N5" s="2716"/>
      <c r="O5" s="2716"/>
      <c r="P5" s="3861"/>
      <c r="Q5" s="3669"/>
      <c r="R5" s="3646"/>
      <c r="S5" s="3647"/>
      <c r="T5" s="3646"/>
      <c r="U5" s="3647"/>
      <c r="V5" s="3675"/>
      <c r="W5" s="3675"/>
      <c r="X5" s="1355"/>
      <c r="Y5" s="3646"/>
      <c r="Z5" s="3647"/>
      <c r="AA5" s="3640"/>
      <c r="AB5" s="3640"/>
      <c r="AC5" s="3640"/>
    </row>
    <row r="6" spans="1:29" ht="15.75" thickBot="1">
      <c r="A6" s="360"/>
      <c r="B6" s="361"/>
      <c r="C6" s="3652" t="s">
        <v>1677</v>
      </c>
      <c r="D6" s="3653"/>
      <c r="E6" s="3655" t="s">
        <v>1677</v>
      </c>
      <c r="F6" s="3656"/>
      <c r="G6" s="3652" t="s">
        <v>1677</v>
      </c>
      <c r="H6" s="3653"/>
      <c r="I6" s="3652" t="s">
        <v>1677</v>
      </c>
      <c r="J6" s="3653"/>
      <c r="K6" s="559" t="s">
        <v>1678</v>
      </c>
      <c r="L6" s="2715"/>
      <c r="M6" s="2716"/>
      <c r="N6" s="2716"/>
      <c r="O6" s="2716"/>
      <c r="P6" s="3862"/>
      <c r="Q6" s="3671"/>
      <c r="R6" s="3646"/>
      <c r="S6" s="3647"/>
      <c r="T6" s="3672"/>
      <c r="U6" s="3673"/>
      <c r="V6" s="3675"/>
      <c r="W6" s="3675"/>
      <c r="X6" s="1355"/>
      <c r="Y6" s="3672"/>
      <c r="Z6" s="3673"/>
      <c r="AA6" s="3641"/>
      <c r="AB6" s="3641"/>
      <c r="AC6" s="3641"/>
    </row>
    <row r="7" spans="1:29" s="108" customFormat="1" ht="15.75" thickBot="1">
      <c r="A7" s="362" t="s">
        <v>1679</v>
      </c>
      <c r="B7" s="363"/>
      <c r="C7" s="364">
        <f>'数据-取费表'!B2</f>
        <v>45033</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42" t="s">
        <v>1680</v>
      </c>
      <c r="Q7" s="3677"/>
      <c r="R7" s="701" t="s">
        <v>14</v>
      </c>
      <c r="S7" s="702">
        <f t="shared" ref="S7:S14" si="0">F7</f>
        <v>0</v>
      </c>
      <c r="T7" s="701" t="s">
        <v>14</v>
      </c>
      <c r="U7" s="702">
        <f t="shared" ref="U7:U14" si="1">H7</f>
        <v>0</v>
      </c>
      <c r="V7" s="701" t="s">
        <v>14</v>
      </c>
      <c r="W7" s="702">
        <f t="shared" ref="W7:W14" si="2">J7</f>
        <v>0</v>
      </c>
      <c r="X7" s="703"/>
      <c r="Y7" s="3642" t="s">
        <v>1680</v>
      </c>
      <c r="Z7" s="3643"/>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42" t="s">
        <v>1683</v>
      </c>
      <c r="Q8" s="3643"/>
      <c r="R8" s="701" t="s">
        <v>14</v>
      </c>
      <c r="S8" s="702">
        <f t="shared" si="0"/>
        <v>100</v>
      </c>
      <c r="T8" s="701" t="s">
        <v>14</v>
      </c>
      <c r="U8" s="702">
        <f t="shared" si="1"/>
        <v>100</v>
      </c>
      <c r="V8" s="701" t="s">
        <v>14</v>
      </c>
      <c r="W8" s="702">
        <f t="shared" si="2"/>
        <v>100</v>
      </c>
      <c r="X8" s="703"/>
      <c r="Y8" s="3642" t="s">
        <v>1683</v>
      </c>
      <c r="Z8" s="3643"/>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87" t="s">
        <v>1686</v>
      </c>
      <c r="Q9" s="1343" t="str">
        <f t="shared" ref="Q9:Q14" si="6">B9</f>
        <v>用途</v>
      </c>
      <c r="R9" s="701" t="s">
        <v>14</v>
      </c>
      <c r="S9" s="702">
        <f t="shared" si="0"/>
        <v>100</v>
      </c>
      <c r="T9" s="701" t="s">
        <v>14</v>
      </c>
      <c r="U9" s="702">
        <f t="shared" si="1"/>
        <v>100</v>
      </c>
      <c r="V9" s="701" t="s">
        <v>14</v>
      </c>
      <c r="W9" s="702">
        <f t="shared" si="2"/>
        <v>100</v>
      </c>
      <c r="X9" s="703"/>
      <c r="Y9" s="3658"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87"/>
      <c r="Q10" s="1343" t="str">
        <f t="shared" si="6"/>
        <v>土地使用年限（年）</v>
      </c>
      <c r="R10" s="701" t="s">
        <v>14</v>
      </c>
      <c r="S10" s="702">
        <f t="shared" si="0"/>
        <v>100</v>
      </c>
      <c r="T10" s="701" t="s">
        <v>14</v>
      </c>
      <c r="U10" s="702">
        <f t="shared" si="1"/>
        <v>100</v>
      </c>
      <c r="V10" s="701" t="s">
        <v>14</v>
      </c>
      <c r="W10" s="702">
        <f t="shared" si="2"/>
        <v>100</v>
      </c>
      <c r="X10" s="703"/>
      <c r="Y10" s="365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87"/>
      <c r="Q11" s="1343">
        <f t="shared" si="6"/>
        <v>111</v>
      </c>
      <c r="R11" s="701" t="s">
        <v>14</v>
      </c>
      <c r="S11" s="702">
        <f t="shared" si="0"/>
        <v>100</v>
      </c>
      <c r="T11" s="701" t="s">
        <v>14</v>
      </c>
      <c r="U11" s="702">
        <f t="shared" si="1"/>
        <v>100</v>
      </c>
      <c r="V11" s="701" t="s">
        <v>14</v>
      </c>
      <c r="W11" s="702">
        <f t="shared" si="2"/>
        <v>100</v>
      </c>
      <c r="X11" s="703"/>
      <c r="Y11" s="365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87"/>
      <c r="Q12" s="1343">
        <f t="shared" si="6"/>
        <v>111</v>
      </c>
      <c r="R12" s="701" t="s">
        <v>14</v>
      </c>
      <c r="S12" s="702">
        <f t="shared" si="0"/>
        <v>100</v>
      </c>
      <c r="T12" s="701" t="s">
        <v>14</v>
      </c>
      <c r="U12" s="702">
        <f t="shared" si="1"/>
        <v>100</v>
      </c>
      <c r="V12" s="701" t="s">
        <v>14</v>
      </c>
      <c r="W12" s="702">
        <f t="shared" si="2"/>
        <v>100</v>
      </c>
      <c r="X12" s="703"/>
      <c r="Y12" s="365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87"/>
      <c r="Q13" s="1343">
        <f t="shared" si="6"/>
        <v>111</v>
      </c>
      <c r="R13" s="701" t="s">
        <v>14</v>
      </c>
      <c r="S13" s="702">
        <f t="shared" si="0"/>
        <v>100</v>
      </c>
      <c r="T13" s="701" t="s">
        <v>14</v>
      </c>
      <c r="U13" s="702">
        <f t="shared" si="1"/>
        <v>100</v>
      </c>
      <c r="V13" s="701" t="s">
        <v>14</v>
      </c>
      <c r="W13" s="702">
        <f t="shared" si="2"/>
        <v>100</v>
      </c>
      <c r="X13" s="703"/>
      <c r="Y13" s="3658"/>
      <c r="Z13" s="52">
        <f t="shared" si="7"/>
        <v>111</v>
      </c>
      <c r="AA13" s="704">
        <f t="shared" si="3"/>
        <v>1</v>
      </c>
      <c r="AB13" s="704">
        <f t="shared" si="4"/>
        <v>1</v>
      </c>
      <c r="AC13" s="704">
        <f t="shared" si="5"/>
        <v>1</v>
      </c>
    </row>
    <row r="14" spans="1:29" ht="156.75">
      <c r="A14" s="391" t="s">
        <v>1690</v>
      </c>
      <c r="B14" s="61" t="s">
        <v>1833</v>
      </c>
      <c r="C14" s="1971" t="str">
        <f>IF(B1="工业",估价对象房地状况!G4,估价对象房地状况!C6)</f>
        <v>估价对象周边有132路、404路、421路、451路、593路等多条公交线路，距离地铁14号线阜通站约200米，周边道路网线较密集，通达度较好。综合评价交通便捷度较好。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80" t="s">
        <v>1691</v>
      </c>
      <c r="Q14" s="1352" t="str">
        <f t="shared" si="6"/>
        <v>交通便捷度</v>
      </c>
      <c r="R14" s="705" t="s">
        <v>14</v>
      </c>
      <c r="S14" s="706">
        <f t="shared" si="0"/>
        <v>100</v>
      </c>
      <c r="T14" s="705" t="s">
        <v>14</v>
      </c>
      <c r="U14" s="706">
        <f t="shared" si="1"/>
        <v>100</v>
      </c>
      <c r="V14" s="705" t="s">
        <v>14</v>
      </c>
      <c r="W14" s="706">
        <f t="shared" si="2"/>
        <v>100</v>
      </c>
      <c r="X14" s="1355"/>
      <c r="Y14" s="3680"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81"/>
      <c r="Q15" s="1352"/>
      <c r="R15" s="705"/>
      <c r="S15" s="706"/>
      <c r="T15" s="705"/>
      <c r="U15" s="706"/>
      <c r="V15" s="705"/>
      <c r="W15" s="706"/>
      <c r="X15" s="1355"/>
      <c r="Y15" s="3681"/>
      <c r="Z15" s="1356"/>
      <c r="AA15" s="1353">
        <v>1</v>
      </c>
      <c r="AB15" s="1353">
        <v>1</v>
      </c>
      <c r="AC15" s="1353">
        <v>1</v>
      </c>
    </row>
    <row r="16" spans="1:29" ht="370.5">
      <c r="A16" s="379"/>
      <c r="B16" s="402" t="s">
        <v>1812</v>
      </c>
      <c r="C16" s="1900" t="str">
        <f>IF(B1="工业",估价对象房地状况!G5,估价对象房地状况!C7)</f>
        <v>周边1公里内的公共服务配套设施较齐备，有购物场所（凯德MALL、新世界百货、物美大卖场、京客隆等）、医院（中国中医科学院望京医院、北京明德医院、南湖东园社区卫生服务站等）、银行（中国光大银行、广发银行、友利银行等）、学校（中央美术学院、首师大附属实验学校（南校区）、陈经伦中学分校（南湖东园校区）、南湖中园小学、望京新城幼儿园等）等公共服务配套设施。</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81"/>
      <c r="Q16" s="1352" t="str">
        <f>B16</f>
        <v>公共配套设施</v>
      </c>
      <c r="R16" s="705" t="s">
        <v>14</v>
      </c>
      <c r="S16" s="706">
        <f>F16</f>
        <v>100</v>
      </c>
      <c r="T16" s="705" t="s">
        <v>14</v>
      </c>
      <c r="U16" s="706">
        <f>H16</f>
        <v>100</v>
      </c>
      <c r="V16" s="705" t="s">
        <v>14</v>
      </c>
      <c r="W16" s="706">
        <f>J16</f>
        <v>100</v>
      </c>
      <c r="X16" s="1355"/>
      <c r="Y16" s="368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81"/>
      <c r="Q17" s="1352"/>
      <c r="R17" s="705"/>
      <c r="S17" s="706"/>
      <c r="T17" s="705"/>
      <c r="U17" s="706"/>
      <c r="V17" s="705"/>
      <c r="W17" s="706"/>
      <c r="X17" s="1355"/>
      <c r="Y17" s="3681"/>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81"/>
      <c r="Q18" s="1352" t="str">
        <f>B18</f>
        <v>基础设施水平</v>
      </c>
      <c r="R18" s="705" t="s">
        <v>14</v>
      </c>
      <c r="S18" s="706">
        <f>F18</f>
        <v>100</v>
      </c>
      <c r="T18" s="705" t="s">
        <v>14</v>
      </c>
      <c r="U18" s="706">
        <f>H18</f>
        <v>100</v>
      </c>
      <c r="V18" s="705" t="s">
        <v>14</v>
      </c>
      <c r="W18" s="706">
        <f>J18</f>
        <v>100</v>
      </c>
      <c r="X18" s="1355"/>
      <c r="Y18" s="368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81"/>
      <c r="Q19" s="1352"/>
      <c r="R19" s="705"/>
      <c r="S19" s="706"/>
      <c r="T19" s="705"/>
      <c r="U19" s="706"/>
      <c r="V19" s="705"/>
      <c r="W19" s="706"/>
      <c r="X19" s="1355"/>
      <c r="Y19" s="3681"/>
      <c r="Z19" s="1356"/>
      <c r="AA19" s="1353">
        <v>1</v>
      </c>
      <c r="AB19" s="1353">
        <v>1</v>
      </c>
      <c r="AC19" s="1353">
        <v>1</v>
      </c>
    </row>
    <row r="20" spans="1:29" ht="85.5">
      <c r="A20" s="379"/>
      <c r="B20" s="402" t="s">
        <v>1834</v>
      </c>
      <c r="C20" s="1900" t="str">
        <f>IF(B1="工业",估价对象房地状况!G7,估价对象房地状况!C9)</f>
        <v>估价对象周边有望京文化体育公园、望京文化广场等自然人文场所，综合评价环境状况一般。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81"/>
      <c r="Q20" s="1352" t="str">
        <f>B20</f>
        <v>自然及人文环境</v>
      </c>
      <c r="R20" s="705" t="s">
        <v>14</v>
      </c>
      <c r="S20" s="706">
        <f>F20</f>
        <v>100</v>
      </c>
      <c r="T20" s="705" t="s">
        <v>14</v>
      </c>
      <c r="U20" s="706">
        <f>H20</f>
        <v>100</v>
      </c>
      <c r="V20" s="705" t="s">
        <v>14</v>
      </c>
      <c r="W20" s="706">
        <f>J20</f>
        <v>100</v>
      </c>
      <c r="X20" s="1355"/>
      <c r="Y20" s="368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81"/>
      <c r="Q21" s="1352"/>
      <c r="R21" s="705"/>
      <c r="S21" s="706"/>
      <c r="T21" s="705"/>
      <c r="U21" s="706"/>
      <c r="V21" s="705"/>
      <c r="W21" s="706"/>
      <c r="X21" s="1355"/>
      <c r="Y21" s="3681"/>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81"/>
      <c r="Q22" s="1352" t="str">
        <f>B22</f>
        <v>楼层</v>
      </c>
      <c r="R22" s="705" t="s">
        <v>14</v>
      </c>
      <c r="S22" s="706">
        <f>F22</f>
        <v>100</v>
      </c>
      <c r="T22" s="705" t="s">
        <v>14</v>
      </c>
      <c r="U22" s="706">
        <f>H22</f>
        <v>100</v>
      </c>
      <c r="V22" s="705" t="s">
        <v>14</v>
      </c>
      <c r="W22" s="706">
        <f>J22</f>
        <v>100</v>
      </c>
      <c r="X22" s="1355"/>
      <c r="Y22" s="368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81"/>
      <c r="Q23" s="1352">
        <f>B23</f>
        <v>111</v>
      </c>
      <c r="R23" s="705" t="s">
        <v>14</v>
      </c>
      <c r="S23" s="706">
        <f>F23</f>
        <v>100</v>
      </c>
      <c r="T23" s="705" t="s">
        <v>14</v>
      </c>
      <c r="U23" s="706">
        <f>H23</f>
        <v>100</v>
      </c>
      <c r="V23" s="705" t="s">
        <v>14</v>
      </c>
      <c r="W23" s="706">
        <f>J23</f>
        <v>100</v>
      </c>
      <c r="X23" s="1355"/>
      <c r="Y23" s="368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81"/>
      <c r="Q24" s="1352">
        <f t="shared" ref="Q24:Q34" si="11">B24</f>
        <v>111</v>
      </c>
      <c r="R24" s="705" t="s">
        <v>14</v>
      </c>
      <c r="S24" s="706">
        <f>F24</f>
        <v>100</v>
      </c>
      <c r="T24" s="705" t="s">
        <v>14</v>
      </c>
      <c r="U24" s="706">
        <f>H24</f>
        <v>100</v>
      </c>
      <c r="V24" s="705" t="s">
        <v>14</v>
      </c>
      <c r="W24" s="706">
        <f>J24</f>
        <v>100</v>
      </c>
      <c r="X24" s="1355"/>
      <c r="Y24" s="3681"/>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81"/>
      <c r="Q25" s="1343">
        <f t="shared" si="11"/>
        <v>111</v>
      </c>
      <c r="R25" s="701" t="s">
        <v>14</v>
      </c>
      <c r="S25" s="702">
        <f>F25</f>
        <v>100</v>
      </c>
      <c r="T25" s="701" t="s">
        <v>14</v>
      </c>
      <c r="U25" s="702">
        <f>H25</f>
        <v>100</v>
      </c>
      <c r="V25" s="701" t="s">
        <v>14</v>
      </c>
      <c r="W25" s="702">
        <f>J25</f>
        <v>100</v>
      </c>
      <c r="X25" s="703"/>
      <c r="Y25" s="3681"/>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866"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85"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85"/>
      <c r="Q27" s="707" t="str">
        <f t="shared" si="11"/>
        <v>成新率</v>
      </c>
      <c r="R27" s="708" t="s">
        <v>14</v>
      </c>
      <c r="S27" s="709" t="e">
        <f t="shared" si="12"/>
        <v>#N/A</v>
      </c>
      <c r="T27" s="708" t="s">
        <v>14</v>
      </c>
      <c r="U27" s="709" t="e">
        <f t="shared" si="13"/>
        <v>#N/A</v>
      </c>
      <c r="V27" s="708" t="s">
        <v>14</v>
      </c>
      <c r="W27" s="709" t="e">
        <f t="shared" si="14"/>
        <v>#N/A</v>
      </c>
      <c r="X27" s="710"/>
      <c r="Y27" s="3685"/>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85"/>
      <c r="Q28" s="1352" t="str">
        <f t="shared" si="11"/>
        <v>物业等级</v>
      </c>
      <c r="R28" s="705" t="s">
        <v>14</v>
      </c>
      <c r="S28" s="706">
        <f t="shared" si="12"/>
        <v>100</v>
      </c>
      <c r="T28" s="705" t="s">
        <v>14</v>
      </c>
      <c r="U28" s="706">
        <f t="shared" si="13"/>
        <v>100</v>
      </c>
      <c r="V28" s="705" t="s">
        <v>14</v>
      </c>
      <c r="W28" s="706">
        <f t="shared" si="14"/>
        <v>100</v>
      </c>
      <c r="X28" s="1355"/>
      <c r="Y28" s="3685"/>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85"/>
      <c r="Q29" s="1352" t="str">
        <f t="shared" si="11"/>
        <v>有无电梯</v>
      </c>
      <c r="R29" s="705" t="s">
        <v>14</v>
      </c>
      <c r="S29" s="706">
        <f t="shared" si="12"/>
        <v>100</v>
      </c>
      <c r="T29" s="705" t="s">
        <v>14</v>
      </c>
      <c r="U29" s="706">
        <f t="shared" si="13"/>
        <v>100</v>
      </c>
      <c r="V29" s="705" t="s">
        <v>14</v>
      </c>
      <c r="W29" s="706">
        <f t="shared" si="14"/>
        <v>100</v>
      </c>
      <c r="X29" s="1355"/>
      <c r="Y29" s="3685"/>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85"/>
      <c r="Q30" s="1352" t="str">
        <f t="shared" si="11"/>
        <v>建筑面积</v>
      </c>
      <c r="R30" s="705" t="s">
        <v>14</v>
      </c>
      <c r="S30" s="706" t="e">
        <f t="shared" si="12"/>
        <v>#N/A</v>
      </c>
      <c r="T30" s="705" t="s">
        <v>14</v>
      </c>
      <c r="U30" s="706" t="e">
        <f t="shared" si="13"/>
        <v>#N/A</v>
      </c>
      <c r="V30" s="705" t="s">
        <v>14</v>
      </c>
      <c r="W30" s="706" t="e">
        <f t="shared" si="14"/>
        <v>#N/A</v>
      </c>
      <c r="X30" s="1355"/>
      <c r="Y30" s="3685"/>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85"/>
      <c r="Q31" s="1343" t="str">
        <f t="shared" si="11"/>
        <v>是否封闭</v>
      </c>
      <c r="R31" s="701" t="s">
        <v>14</v>
      </c>
      <c r="S31" s="702">
        <f t="shared" si="12"/>
        <v>100</v>
      </c>
      <c r="T31" s="701" t="s">
        <v>14</v>
      </c>
      <c r="U31" s="702">
        <f t="shared" si="13"/>
        <v>100</v>
      </c>
      <c r="V31" s="701" t="s">
        <v>14</v>
      </c>
      <c r="W31" s="702">
        <f t="shared" si="14"/>
        <v>100</v>
      </c>
      <c r="X31" s="703"/>
      <c r="Y31" s="3685"/>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85" t="s">
        <v>1696</v>
      </c>
      <c r="Q32" s="1352">
        <f t="shared" si="11"/>
        <v>111</v>
      </c>
      <c r="R32" s="705" t="s">
        <v>14</v>
      </c>
      <c r="S32" s="706">
        <f t="shared" si="12"/>
        <v>100</v>
      </c>
      <c r="T32" s="705" t="s">
        <v>14</v>
      </c>
      <c r="U32" s="706">
        <f t="shared" si="13"/>
        <v>100</v>
      </c>
      <c r="V32" s="705" t="s">
        <v>14</v>
      </c>
      <c r="W32" s="706">
        <f t="shared" si="14"/>
        <v>100</v>
      </c>
      <c r="X32" s="1355"/>
      <c r="Y32" s="3685"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85"/>
      <c r="Q33" s="1352">
        <f t="shared" si="11"/>
        <v>111</v>
      </c>
      <c r="R33" s="705" t="s">
        <v>14</v>
      </c>
      <c r="S33" s="706">
        <f t="shared" si="12"/>
        <v>100</v>
      </c>
      <c r="T33" s="705" t="s">
        <v>14</v>
      </c>
      <c r="U33" s="706">
        <f t="shared" si="13"/>
        <v>100</v>
      </c>
      <c r="V33" s="705" t="s">
        <v>14</v>
      </c>
      <c r="W33" s="706">
        <f t="shared" si="14"/>
        <v>100</v>
      </c>
      <c r="X33" s="1355"/>
      <c r="Y33" s="3685"/>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85"/>
      <c r="Q34" s="1352">
        <f t="shared" si="11"/>
        <v>111</v>
      </c>
      <c r="R34" s="705" t="s">
        <v>14</v>
      </c>
      <c r="S34" s="706">
        <f t="shared" si="12"/>
        <v>100</v>
      </c>
      <c r="T34" s="705" t="s">
        <v>14</v>
      </c>
      <c r="U34" s="706">
        <f t="shared" si="13"/>
        <v>100</v>
      </c>
      <c r="V34" s="705" t="s">
        <v>14</v>
      </c>
      <c r="W34" s="706">
        <f t="shared" si="14"/>
        <v>100</v>
      </c>
      <c r="X34" s="1355"/>
      <c r="Y34" s="3685"/>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87" t="str">
        <f>A35</f>
        <v>成交单价（元/平方米）</v>
      </c>
      <c r="Q35" s="3687"/>
      <c r="R35" s="3688">
        <f>E35</f>
        <v>0</v>
      </c>
      <c r="S35" s="3688"/>
      <c r="T35" s="3688">
        <f>G35</f>
        <v>0</v>
      </c>
      <c r="U35" s="3688"/>
      <c r="V35" s="3688">
        <f>I35</f>
        <v>0</v>
      </c>
      <c r="W35" s="3688"/>
      <c r="X35" s="690"/>
      <c r="Y35" s="712"/>
      <c r="Z35" s="690"/>
      <c r="AA35" s="690"/>
      <c r="AB35" s="690"/>
      <c r="AC35" s="690"/>
    </row>
    <row r="36" spans="1:30" ht="15.75" thickBot="1">
      <c r="A36" s="437" t="s">
        <v>1793</v>
      </c>
      <c r="B36" s="438"/>
      <c r="C36" s="1160" t="e">
        <f>R37</f>
        <v>#DIV/0!</v>
      </c>
      <c r="D36" s="2317" t="s">
        <v>2136</v>
      </c>
      <c r="E36" s="1161" t="e">
        <f>R36</f>
        <v>#DIV/0!</v>
      </c>
      <c r="F36" s="2318"/>
      <c r="G36" s="1160" t="e">
        <f>T36</f>
        <v>#DIV/0!</v>
      </c>
      <c r="H36" s="2318"/>
      <c r="I36" s="1161" t="e">
        <f>V36</f>
        <v>#DIV/0!</v>
      </c>
      <c r="J36" s="2318"/>
      <c r="K36" s="2320">
        <f>F36+H36+J36</f>
        <v>0</v>
      </c>
      <c r="L36" s="2724"/>
      <c r="M36" s="2725"/>
      <c r="N36" s="2716"/>
      <c r="O36" s="2725"/>
      <c r="P36" s="3687" t="str">
        <f>A36</f>
        <v>比较价值（元/平方米）</v>
      </c>
      <c r="Q36" s="3687"/>
      <c r="R36" s="3688" t="e">
        <f>IF(F1="售价",ROUND(PRODUCT(R35,AA7:AA34),0),ROUND(PRODUCT(R35,AA7:AA34),1))</f>
        <v>#DIV/0!</v>
      </c>
      <c r="S36" s="3688"/>
      <c r="T36" s="3688" t="e">
        <f>IF(F1="售价",ROUND(PRODUCT(T35,AB7:AB34),0),ROUND(PRODUCT(T35,AB7:AB34),1))</f>
        <v>#DIV/0!</v>
      </c>
      <c r="U36" s="3688"/>
      <c r="V36" s="3688" t="e">
        <f>IF(F1="售价",ROUND(PRODUCT(V35,AC7:AC34),0),ROUND(PRODUCT(V35,AC7:AC34),1))</f>
        <v>#DIV/0!</v>
      </c>
      <c r="W36" s="3688"/>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863" t="str">
        <f>A37</f>
        <v>估价对象XX用房的比较价值（楼面单价，元/平方米）</v>
      </c>
      <c r="Q37" s="3864"/>
      <c r="R37" s="3867" t="e">
        <f>IF(F1="售价",ROUND(IF(D36="简单平均",AVERAGE(R36:W36),R36*F36+T36*H36+V36*J36),0),ROUND(IF(D36="简单平均",AVERAGE(R36:V36),R36*F36+T36*H36+V36*J36),1))</f>
        <v>#DIV/0!</v>
      </c>
      <c r="S37" s="3867"/>
      <c r="T37" s="3867"/>
      <c r="U37" s="3867"/>
      <c r="V37" s="3867"/>
      <c r="W37" s="3867"/>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2023-4</v>
      </c>
      <c r="D46" s="1185">
        <f>EDATE(C46,-1)</f>
        <v>44986</v>
      </c>
      <c r="E46" s="1185">
        <f t="shared" ref="E46:O46" si="16">EDATE(D46,-1)</f>
        <v>44958</v>
      </c>
      <c r="F46" s="1185">
        <f t="shared" si="16"/>
        <v>44927</v>
      </c>
      <c r="G46" s="1185">
        <f t="shared" si="16"/>
        <v>44896</v>
      </c>
      <c r="H46" s="1185">
        <f t="shared" si="16"/>
        <v>44866</v>
      </c>
      <c r="I46" s="1185">
        <f t="shared" si="16"/>
        <v>44835</v>
      </c>
      <c r="J46" s="1185">
        <f t="shared" si="16"/>
        <v>44805</v>
      </c>
      <c r="K46" s="1185">
        <f t="shared" si="16"/>
        <v>44774</v>
      </c>
      <c r="L46" s="1185">
        <f t="shared" si="16"/>
        <v>44743</v>
      </c>
      <c r="M46" s="1185">
        <f t="shared" si="16"/>
        <v>44713</v>
      </c>
      <c r="N46" s="1185">
        <f t="shared" si="16"/>
        <v>44682</v>
      </c>
      <c r="O46" s="1185">
        <f t="shared" si="16"/>
        <v>44652</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62" t="s">
        <v>1770</v>
      </c>
      <c r="D4" s="3663"/>
      <c r="E4" s="3664" t="s">
        <v>1771</v>
      </c>
      <c r="F4" s="3665"/>
      <c r="G4" s="3662" t="s">
        <v>1772</v>
      </c>
      <c r="H4" s="3663"/>
      <c r="I4" s="3662" t="s">
        <v>1773</v>
      </c>
      <c r="J4" s="3663"/>
      <c r="K4" s="559" t="s">
        <v>1774</v>
      </c>
      <c r="L4" s="2715"/>
      <c r="M4" s="2716"/>
      <c r="N4" s="2716"/>
      <c r="O4" s="2716"/>
      <c r="P4" s="3859" t="s">
        <v>1775</v>
      </c>
      <c r="Q4" s="3860"/>
      <c r="R4" s="3856" t="s">
        <v>1771</v>
      </c>
      <c r="S4" s="3857"/>
      <c r="T4" s="3856" t="s">
        <v>1772</v>
      </c>
      <c r="U4" s="3857"/>
      <c r="V4" s="3675" t="s">
        <v>1773</v>
      </c>
      <c r="W4" s="3675"/>
      <c r="X4" s="1355"/>
      <c r="Y4" s="3856" t="s">
        <v>1775</v>
      </c>
      <c r="Z4" s="3857"/>
      <c r="AA4" s="3855" t="s">
        <v>1771</v>
      </c>
      <c r="AB4" s="3640" t="s">
        <v>1772</v>
      </c>
      <c r="AC4" s="3855" t="s">
        <v>1773</v>
      </c>
    </row>
    <row r="5" spans="1:30" ht="15">
      <c r="A5" s="358"/>
      <c r="B5" s="359"/>
      <c r="C5" s="3650" t="s">
        <v>1673</v>
      </c>
      <c r="D5" s="3651"/>
      <c r="E5" s="3858" t="s">
        <v>1674</v>
      </c>
      <c r="F5" s="3649"/>
      <c r="G5" s="3650" t="s">
        <v>1675</v>
      </c>
      <c r="H5" s="3651"/>
      <c r="I5" s="3650" t="s">
        <v>1676</v>
      </c>
      <c r="J5" s="3651"/>
      <c r="K5" s="559"/>
      <c r="L5" s="2715"/>
      <c r="M5" s="2716"/>
      <c r="N5" s="2716"/>
      <c r="O5" s="2716"/>
      <c r="P5" s="3861"/>
      <c r="Q5" s="3669"/>
      <c r="R5" s="3646"/>
      <c r="S5" s="3647"/>
      <c r="T5" s="3646"/>
      <c r="U5" s="3647"/>
      <c r="V5" s="3675"/>
      <c r="W5" s="3675"/>
      <c r="X5" s="1355"/>
      <c r="Y5" s="3646"/>
      <c r="Z5" s="3647"/>
      <c r="AA5" s="3640"/>
      <c r="AB5" s="3640"/>
      <c r="AC5" s="3640"/>
    </row>
    <row r="6" spans="1:30" ht="15.75" thickBot="1">
      <c r="A6" s="360"/>
      <c r="B6" s="361"/>
      <c r="C6" s="3652" t="s">
        <v>1677</v>
      </c>
      <c r="D6" s="3653"/>
      <c r="E6" s="3655" t="s">
        <v>1677</v>
      </c>
      <c r="F6" s="3656"/>
      <c r="G6" s="3652" t="s">
        <v>1677</v>
      </c>
      <c r="H6" s="3653"/>
      <c r="I6" s="3652" t="s">
        <v>1677</v>
      </c>
      <c r="J6" s="3653"/>
      <c r="K6" s="559" t="s">
        <v>1678</v>
      </c>
      <c r="L6" s="2715"/>
      <c r="M6" s="2716"/>
      <c r="N6" s="2716"/>
      <c r="O6" s="2716"/>
      <c r="P6" s="3862"/>
      <c r="Q6" s="3671"/>
      <c r="R6" s="3646"/>
      <c r="S6" s="3647"/>
      <c r="T6" s="3672"/>
      <c r="U6" s="3673"/>
      <c r="V6" s="3675"/>
      <c r="W6" s="3675"/>
      <c r="X6" s="1355"/>
      <c r="Y6" s="3672"/>
      <c r="Z6" s="3673"/>
      <c r="AA6" s="3641"/>
      <c r="AB6" s="3641"/>
      <c r="AC6" s="3641"/>
    </row>
    <row r="7" spans="1:30" s="108" customFormat="1" ht="15.75" thickBot="1">
      <c r="A7" s="362" t="s">
        <v>1679</v>
      </c>
      <c r="B7" s="363"/>
      <c r="C7" s="364">
        <f>'数据-取费表'!B2</f>
        <v>45033</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42" t="s">
        <v>1680</v>
      </c>
      <c r="Q7" s="3677"/>
      <c r="R7" s="701" t="s">
        <v>14</v>
      </c>
      <c r="S7" s="702">
        <f t="shared" ref="S7:S15" si="0">F7</f>
        <v>0</v>
      </c>
      <c r="T7" s="701" t="s">
        <v>14</v>
      </c>
      <c r="U7" s="702">
        <f t="shared" ref="U7:U15" si="1">H7</f>
        <v>0</v>
      </c>
      <c r="V7" s="701" t="s">
        <v>14</v>
      </c>
      <c r="W7" s="702">
        <f t="shared" ref="W7:W15" si="2">J7</f>
        <v>0</v>
      </c>
      <c r="X7" s="703"/>
      <c r="Y7" s="3642" t="s">
        <v>1680</v>
      </c>
      <c r="Z7" s="3643"/>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42" t="s">
        <v>1683</v>
      </c>
      <c r="Q8" s="3643"/>
      <c r="R8" s="701" t="s">
        <v>14</v>
      </c>
      <c r="S8" s="702">
        <f t="shared" si="0"/>
        <v>0</v>
      </c>
      <c r="T8" s="701" t="s">
        <v>14</v>
      </c>
      <c r="U8" s="702">
        <f t="shared" si="1"/>
        <v>0</v>
      </c>
      <c r="V8" s="701" t="s">
        <v>14</v>
      </c>
      <c r="W8" s="702">
        <f t="shared" si="2"/>
        <v>0</v>
      </c>
      <c r="X8" s="703"/>
      <c r="Y8" s="3642" t="s">
        <v>1683</v>
      </c>
      <c r="Z8" s="3643"/>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87" t="s">
        <v>1686</v>
      </c>
      <c r="Q9" s="1343" t="str">
        <f t="shared" ref="Q9:Q15" si="6">B9</f>
        <v>用途</v>
      </c>
      <c r="R9" s="701" t="s">
        <v>14</v>
      </c>
      <c r="S9" s="702">
        <f t="shared" si="0"/>
        <v>100</v>
      </c>
      <c r="T9" s="701" t="s">
        <v>14</v>
      </c>
      <c r="U9" s="702">
        <f t="shared" si="1"/>
        <v>100</v>
      </c>
      <c r="V9" s="701" t="s">
        <v>14</v>
      </c>
      <c r="W9" s="702">
        <f t="shared" si="2"/>
        <v>100</v>
      </c>
      <c r="X9" s="703"/>
      <c r="Y9" s="3658"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139</v>
      </c>
      <c r="G10" s="414"/>
      <c r="H10" s="127">
        <f>ROUND(100/'数据-取费表'!G16,0)</f>
        <v>139</v>
      </c>
      <c r="I10" s="414"/>
      <c r="J10" s="127">
        <f>ROUND(100/'数据-取费表'!G16,0)</f>
        <v>139</v>
      </c>
      <c r="K10" s="620"/>
      <c r="L10" s="2719"/>
      <c r="M10" s="2720"/>
      <c r="N10" s="2720"/>
      <c r="O10" s="2773"/>
      <c r="P10" s="3687"/>
      <c r="Q10" s="1343" t="str">
        <f t="shared" si="6"/>
        <v>土地使用年限（年）</v>
      </c>
      <c r="R10" s="701" t="s">
        <v>14</v>
      </c>
      <c r="S10" s="702">
        <f t="shared" si="0"/>
        <v>139</v>
      </c>
      <c r="T10" s="701" t="s">
        <v>14</v>
      </c>
      <c r="U10" s="702">
        <f t="shared" si="1"/>
        <v>139</v>
      </c>
      <c r="V10" s="701" t="s">
        <v>14</v>
      </c>
      <c r="W10" s="702">
        <f t="shared" si="2"/>
        <v>139</v>
      </c>
      <c r="X10" s="703"/>
      <c r="Y10" s="3658"/>
      <c r="Z10" s="52" t="str">
        <f t="shared" si="7"/>
        <v>土地使用年限（年）</v>
      </c>
      <c r="AA10" s="704">
        <f t="shared" si="3"/>
        <v>0.71942446043165464</v>
      </c>
      <c r="AB10" s="704">
        <f t="shared" si="4"/>
        <v>0.71942446043165464</v>
      </c>
      <c r="AC10" s="704">
        <f t="shared" si="5"/>
        <v>0.71942446043165464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87"/>
      <c r="Q11" s="1343" t="str">
        <f t="shared" si="6"/>
        <v>容积率</v>
      </c>
      <c r="R11" s="701" t="s">
        <v>14</v>
      </c>
      <c r="S11" s="702" t="e">
        <f t="shared" si="0"/>
        <v>#N/A</v>
      </c>
      <c r="T11" s="701" t="s">
        <v>14</v>
      </c>
      <c r="U11" s="702" t="e">
        <f t="shared" si="1"/>
        <v>#N/A</v>
      </c>
      <c r="V11" s="701" t="s">
        <v>14</v>
      </c>
      <c r="W11" s="702" t="e">
        <f t="shared" si="2"/>
        <v>#N/A</v>
      </c>
      <c r="X11" s="703"/>
      <c r="Y11" s="3658"/>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87"/>
      <c r="Q12" s="1343" t="str">
        <f t="shared" si="6"/>
        <v>配建</v>
      </c>
      <c r="R12" s="701" t="s">
        <v>14</v>
      </c>
      <c r="S12" s="702">
        <f t="shared" si="0"/>
        <v>100</v>
      </c>
      <c r="T12" s="701" t="s">
        <v>14</v>
      </c>
      <c r="U12" s="702">
        <f t="shared" si="1"/>
        <v>100</v>
      </c>
      <c r="V12" s="701" t="s">
        <v>14</v>
      </c>
      <c r="W12" s="702">
        <f t="shared" si="2"/>
        <v>100</v>
      </c>
      <c r="X12" s="703"/>
      <c r="Y12" s="365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87"/>
      <c r="Q13" s="1343">
        <f t="shared" si="6"/>
        <v>111</v>
      </c>
      <c r="R13" s="701" t="s">
        <v>14</v>
      </c>
      <c r="S13" s="702">
        <f t="shared" si="0"/>
        <v>100</v>
      </c>
      <c r="T13" s="701" t="s">
        <v>14</v>
      </c>
      <c r="U13" s="702">
        <f t="shared" si="1"/>
        <v>100</v>
      </c>
      <c r="V13" s="701" t="s">
        <v>14</v>
      </c>
      <c r="W13" s="702">
        <f t="shared" si="2"/>
        <v>100</v>
      </c>
      <c r="X13" s="703"/>
      <c r="Y13" s="365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87"/>
      <c r="Q14" s="1343">
        <f t="shared" si="6"/>
        <v>111</v>
      </c>
      <c r="R14" s="701" t="s">
        <v>14</v>
      </c>
      <c r="S14" s="702">
        <f t="shared" si="0"/>
        <v>100</v>
      </c>
      <c r="T14" s="701" t="s">
        <v>14</v>
      </c>
      <c r="U14" s="702">
        <f t="shared" si="1"/>
        <v>100</v>
      </c>
      <c r="V14" s="701" t="s">
        <v>14</v>
      </c>
      <c r="W14" s="702">
        <f t="shared" si="2"/>
        <v>100</v>
      </c>
      <c r="X14" s="703"/>
      <c r="Y14" s="3658"/>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80" t="s">
        <v>1691</v>
      </c>
      <c r="Q15" s="1352" t="str">
        <f t="shared" si="6"/>
        <v>居住社区成熟度</v>
      </c>
      <c r="R15" s="705" t="s">
        <v>14</v>
      </c>
      <c r="S15" s="706">
        <f t="shared" si="0"/>
        <v>100</v>
      </c>
      <c r="T15" s="705" t="s">
        <v>14</v>
      </c>
      <c r="U15" s="706">
        <f t="shared" si="1"/>
        <v>100</v>
      </c>
      <c r="V15" s="705" t="s">
        <v>14</v>
      </c>
      <c r="W15" s="706">
        <f t="shared" si="2"/>
        <v>100</v>
      </c>
      <c r="X15" s="1355"/>
      <c r="Y15" s="3680"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81"/>
      <c r="Q16" s="1352"/>
      <c r="R16" s="705"/>
      <c r="S16" s="706"/>
      <c r="T16" s="705"/>
      <c r="U16" s="706"/>
      <c r="V16" s="705"/>
      <c r="W16" s="706"/>
      <c r="X16" s="1355"/>
      <c r="Y16" s="3681"/>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81"/>
      <c r="Q17" s="1352" t="str">
        <f>B17</f>
        <v>商业繁华度</v>
      </c>
      <c r="R17" s="705" t="s">
        <v>14</v>
      </c>
      <c r="S17" s="706">
        <f>F17</f>
        <v>100</v>
      </c>
      <c r="T17" s="705" t="s">
        <v>14</v>
      </c>
      <c r="U17" s="706">
        <f>H17</f>
        <v>100</v>
      </c>
      <c r="V17" s="705" t="s">
        <v>14</v>
      </c>
      <c r="W17" s="706">
        <f>J17</f>
        <v>100</v>
      </c>
      <c r="X17" s="1355"/>
      <c r="Y17" s="368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81"/>
      <c r="Q18" s="1352"/>
      <c r="R18" s="705"/>
      <c r="S18" s="706"/>
      <c r="T18" s="705"/>
      <c r="U18" s="706"/>
      <c r="V18" s="705"/>
      <c r="W18" s="706"/>
      <c r="X18" s="1355"/>
      <c r="Y18" s="3681"/>
      <c r="Z18" s="1356"/>
      <c r="AA18" s="1353">
        <v>1</v>
      </c>
      <c r="AB18" s="1353">
        <v>1</v>
      </c>
      <c r="AC18" s="1353">
        <v>1</v>
      </c>
    </row>
    <row r="19" spans="1:29" ht="85.5">
      <c r="A19" s="379"/>
      <c r="B19" s="402" t="s">
        <v>1811</v>
      </c>
      <c r="C19" s="1955" t="str">
        <f>估价对象房地状况!C17</f>
        <v>估价对象位于望京商圈，周边有利星行、悠乐汇等办公项目，入驻率高，办公集聚程度较好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81"/>
      <c r="Q19" s="1352" t="str">
        <f>B19</f>
        <v>办公集聚程度</v>
      </c>
      <c r="R19" s="705" t="s">
        <v>14</v>
      </c>
      <c r="S19" s="706">
        <f>F19</f>
        <v>100</v>
      </c>
      <c r="T19" s="705" t="s">
        <v>14</v>
      </c>
      <c r="U19" s="706">
        <f>H19</f>
        <v>100</v>
      </c>
      <c r="V19" s="705" t="s">
        <v>14</v>
      </c>
      <c r="W19" s="706">
        <f>J19</f>
        <v>100</v>
      </c>
      <c r="X19" s="1355"/>
      <c r="Y19" s="368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81"/>
      <c r="Q20" s="1352"/>
      <c r="R20" s="705"/>
      <c r="S20" s="706"/>
      <c r="T20" s="705"/>
      <c r="U20" s="706"/>
      <c r="V20" s="705"/>
      <c r="W20" s="706"/>
      <c r="X20" s="1355"/>
      <c r="Y20" s="3681"/>
      <c r="Z20" s="1356"/>
      <c r="AA20" s="1353">
        <v>1</v>
      </c>
      <c r="AB20" s="1353">
        <v>1</v>
      </c>
      <c r="AC20" s="1353">
        <v>1</v>
      </c>
    </row>
    <row r="21" spans="1:29" ht="156.75">
      <c r="A21" s="379"/>
      <c r="B21" s="402" t="s">
        <v>1833</v>
      </c>
      <c r="C21" s="1900" t="str">
        <f>估价对象房地状况!C18</f>
        <v>估价对象周边有132路、404路、421路、451路、593路等多条公交线路，距离地铁14号线阜通站约200米，周边道路网线较密集，通达度较好。综合评价交通便捷度较好。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81"/>
      <c r="Q21" s="1352" t="str">
        <f>B21</f>
        <v>交通便捷度</v>
      </c>
      <c r="R21" s="705" t="s">
        <v>14</v>
      </c>
      <c r="S21" s="706">
        <f>F21</f>
        <v>100</v>
      </c>
      <c r="T21" s="705" t="s">
        <v>14</v>
      </c>
      <c r="U21" s="706">
        <f>H21</f>
        <v>100</v>
      </c>
      <c r="V21" s="705" t="s">
        <v>14</v>
      </c>
      <c r="W21" s="706">
        <f>J21</f>
        <v>100</v>
      </c>
      <c r="X21" s="1355"/>
      <c r="Y21" s="368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81"/>
      <c r="Q22" s="1352"/>
      <c r="R22" s="705"/>
      <c r="S22" s="706"/>
      <c r="T22" s="705"/>
      <c r="U22" s="706"/>
      <c r="V22" s="705"/>
      <c r="W22" s="706"/>
      <c r="X22" s="1355"/>
      <c r="Y22" s="3681"/>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81"/>
      <c r="Q23" s="1352" t="str">
        <f t="shared" ref="Q23:Q37" si="8">B23</f>
        <v>区域土地利用方向</v>
      </c>
      <c r="R23" s="705" t="s">
        <v>14</v>
      </c>
      <c r="S23" s="706">
        <f>F23</f>
        <v>100</v>
      </c>
      <c r="T23" s="705" t="s">
        <v>14</v>
      </c>
      <c r="U23" s="706">
        <f>H23</f>
        <v>100</v>
      </c>
      <c r="V23" s="705" t="s">
        <v>14</v>
      </c>
      <c r="W23" s="706">
        <f>J23</f>
        <v>100</v>
      </c>
      <c r="X23" s="1355"/>
      <c r="Y23" s="368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81"/>
      <c r="Q24" s="1352"/>
      <c r="R24" s="705"/>
      <c r="S24" s="706"/>
      <c r="T24" s="705"/>
      <c r="U24" s="706"/>
      <c r="V24" s="705"/>
      <c r="W24" s="706"/>
      <c r="X24" s="1355"/>
      <c r="Y24" s="3681"/>
      <c r="Z24" s="1356"/>
      <c r="AA24" s="1353"/>
      <c r="AB24" s="1353"/>
      <c r="AC24" s="1353"/>
    </row>
    <row r="25" spans="1:29" ht="85.5">
      <c r="A25" s="358"/>
      <c r="B25" s="1131" t="s">
        <v>1872</v>
      </c>
      <c r="C25" s="1955" t="str">
        <f>估价对象房地状况!C20</f>
        <v>估价对象周边有望京文化体育公园、望京文化广场等自然人文场所，综合评价环境状况一般。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81"/>
      <c r="Q25" s="1352" t="str">
        <f t="shared" si="8"/>
        <v>自然及人文环境状况</v>
      </c>
      <c r="R25" s="705" t="s">
        <v>14</v>
      </c>
      <c r="S25" s="706">
        <f>F25</f>
        <v>100</v>
      </c>
      <c r="T25" s="705" t="s">
        <v>14</v>
      </c>
      <c r="U25" s="706">
        <f>H25</f>
        <v>100</v>
      </c>
      <c r="V25" s="705" t="s">
        <v>14</v>
      </c>
      <c r="W25" s="706">
        <f>J25</f>
        <v>100</v>
      </c>
      <c r="X25" s="1355"/>
      <c r="Y25" s="368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81"/>
      <c r="Q26" s="1352"/>
      <c r="R26" s="705"/>
      <c r="S26" s="706"/>
      <c r="T26" s="705"/>
      <c r="U26" s="706"/>
      <c r="V26" s="705"/>
      <c r="W26" s="706"/>
      <c r="X26" s="1355"/>
      <c r="Y26" s="3681"/>
      <c r="Z26" s="1356"/>
      <c r="AA26" s="1353">
        <v>1</v>
      </c>
      <c r="AB26" s="1353">
        <v>1</v>
      </c>
      <c r="AC26" s="1353">
        <v>1</v>
      </c>
    </row>
    <row r="27" spans="1:29" s="108" customFormat="1" ht="370.5">
      <c r="A27" s="597"/>
      <c r="B27" s="1131" t="s">
        <v>1778</v>
      </c>
      <c r="C27" s="1900" t="str">
        <f>估价对象房地状况!C21</f>
        <v>周边1公里内的公共服务配套设施较齐备，有购物场所（凯德MALL、新世界百货、物美大卖场、京客隆等）、医院（中国中医科学院望京医院、北京明德医院、南湖东园社区卫生服务站等）、银行（中国光大银行、广发银行、友利银行等）、学校（中央美术学院、首师大附属实验学校（南校区）、陈经伦中学分校（南湖东园校区）、南湖中园小学、望京新城幼儿园等）等公共服务配套设施。</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81"/>
      <c r="Q27" s="1343" t="str">
        <f t="shared" si="8"/>
        <v>公共配套设施</v>
      </c>
      <c r="R27" s="701" t="s">
        <v>14</v>
      </c>
      <c r="S27" s="702">
        <f>F27</f>
        <v>100</v>
      </c>
      <c r="T27" s="701" t="s">
        <v>14</v>
      </c>
      <c r="U27" s="702">
        <f>H27</f>
        <v>100</v>
      </c>
      <c r="V27" s="701" t="s">
        <v>14</v>
      </c>
      <c r="W27" s="702">
        <f>J27</f>
        <v>100</v>
      </c>
      <c r="X27" s="703"/>
      <c r="Y27" s="3681"/>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81"/>
      <c r="Q28" s="1343"/>
      <c r="R28" s="701"/>
      <c r="S28" s="702"/>
      <c r="T28" s="701"/>
      <c r="U28" s="702"/>
      <c r="V28" s="701"/>
      <c r="W28" s="702"/>
      <c r="X28" s="703"/>
      <c r="Y28" s="3681"/>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81"/>
      <c r="Q29" s="1343" t="str">
        <f t="shared" ref="Q29" si="9">B29</f>
        <v>基础设施水平</v>
      </c>
      <c r="R29" s="701" t="s">
        <v>14</v>
      </c>
      <c r="S29" s="702">
        <f>F29</f>
        <v>100</v>
      </c>
      <c r="T29" s="701" t="s">
        <v>14</v>
      </c>
      <c r="U29" s="702">
        <f>H29</f>
        <v>100</v>
      </c>
      <c r="V29" s="701" t="s">
        <v>14</v>
      </c>
      <c r="W29" s="702">
        <f>J29</f>
        <v>100</v>
      </c>
      <c r="X29" s="703"/>
      <c r="Y29" s="3681"/>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81"/>
      <c r="Q30" s="1343"/>
      <c r="R30" s="701"/>
      <c r="S30" s="702"/>
      <c r="T30" s="701"/>
      <c r="U30" s="702"/>
      <c r="V30" s="701"/>
      <c r="W30" s="702"/>
      <c r="X30" s="703"/>
      <c r="Y30" s="3681"/>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8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1"/>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81"/>
      <c r="Q32" s="1352" t="str">
        <f t="shared" si="8"/>
        <v>毗邻道路的类型与等级</v>
      </c>
      <c r="R32" s="705" t="s">
        <v>14</v>
      </c>
      <c r="S32" s="706">
        <f t="shared" si="10"/>
        <v>100</v>
      </c>
      <c r="T32" s="705" t="s">
        <v>14</v>
      </c>
      <c r="U32" s="706">
        <f t="shared" si="11"/>
        <v>100</v>
      </c>
      <c r="V32" s="705" t="s">
        <v>14</v>
      </c>
      <c r="W32" s="706">
        <f t="shared" si="12"/>
        <v>100</v>
      </c>
      <c r="X32" s="1355"/>
      <c r="Y32" s="368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81"/>
      <c r="Q33" s="1352"/>
      <c r="R33" s="705"/>
      <c r="S33" s="706"/>
      <c r="T33" s="705"/>
      <c r="U33" s="706"/>
      <c r="V33" s="705"/>
      <c r="W33" s="706"/>
      <c r="X33" s="1355"/>
      <c r="Y33" s="3681"/>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81"/>
      <c r="Q34" s="1352" t="str">
        <f t="shared" si="8"/>
        <v>土地级别</v>
      </c>
      <c r="R34" s="705" t="s">
        <v>14</v>
      </c>
      <c r="S34" s="706">
        <f t="shared" si="10"/>
        <v>100</v>
      </c>
      <c r="T34" s="705" t="s">
        <v>14</v>
      </c>
      <c r="U34" s="706">
        <f t="shared" si="11"/>
        <v>100</v>
      </c>
      <c r="V34" s="705" t="s">
        <v>14</v>
      </c>
      <c r="W34" s="706">
        <f t="shared" si="12"/>
        <v>100</v>
      </c>
      <c r="X34" s="1355"/>
      <c r="Y34" s="368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81"/>
      <c r="Q35" s="1352">
        <f t="shared" si="8"/>
        <v>111</v>
      </c>
      <c r="R35" s="705" t="s">
        <v>14</v>
      </c>
      <c r="S35" s="706">
        <f t="shared" si="10"/>
        <v>100</v>
      </c>
      <c r="T35" s="705" t="s">
        <v>14</v>
      </c>
      <c r="U35" s="706">
        <f t="shared" si="11"/>
        <v>100</v>
      </c>
      <c r="V35" s="705" t="s">
        <v>14</v>
      </c>
      <c r="W35" s="706">
        <f t="shared" si="12"/>
        <v>100</v>
      </c>
      <c r="X35" s="1355"/>
      <c r="Y35" s="368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866" t="s">
        <v>1696</v>
      </c>
      <c r="Q36" s="1352">
        <f t="shared" si="8"/>
        <v>111</v>
      </c>
      <c r="R36" s="705" t="s">
        <v>14</v>
      </c>
      <c r="S36" s="706">
        <f t="shared" si="10"/>
        <v>100</v>
      </c>
      <c r="T36" s="705" t="s">
        <v>14</v>
      </c>
      <c r="U36" s="706">
        <f t="shared" si="11"/>
        <v>100</v>
      </c>
      <c r="V36" s="705" t="s">
        <v>14</v>
      </c>
      <c r="W36" s="706">
        <f t="shared" si="12"/>
        <v>100</v>
      </c>
      <c r="X36" s="1355"/>
      <c r="Y36" s="3685"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85"/>
      <c r="Q37" s="1352">
        <f t="shared" si="8"/>
        <v>111</v>
      </c>
      <c r="R37" s="708" t="s">
        <v>14</v>
      </c>
      <c r="S37" s="709">
        <f t="shared" si="10"/>
        <v>100</v>
      </c>
      <c r="T37" s="708" t="s">
        <v>14</v>
      </c>
      <c r="U37" s="709">
        <f t="shared" si="11"/>
        <v>100</v>
      </c>
      <c r="V37" s="708" t="s">
        <v>14</v>
      </c>
      <c r="W37" s="709">
        <f t="shared" si="12"/>
        <v>100</v>
      </c>
      <c r="X37" s="710"/>
      <c r="Y37" s="3685"/>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85"/>
      <c r="Q38" s="1352" t="str">
        <f>B38</f>
        <v>宗地面积</v>
      </c>
      <c r="R38" s="705" t="s">
        <v>14</v>
      </c>
      <c r="S38" s="706" t="e">
        <f t="shared" si="10"/>
        <v>#N/A</v>
      </c>
      <c r="T38" s="705" t="s">
        <v>14</v>
      </c>
      <c r="U38" s="706" t="e">
        <f t="shared" si="11"/>
        <v>#N/A</v>
      </c>
      <c r="V38" s="705" t="s">
        <v>14</v>
      </c>
      <c r="W38" s="706" t="e">
        <f t="shared" si="12"/>
        <v>#N/A</v>
      </c>
      <c r="X38" s="1355"/>
      <c r="Y38" s="3685"/>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85"/>
      <c r="Q39" s="1352" t="str">
        <f t="shared" ref="Q39:Q45" si="14">B39</f>
        <v>宗地形状</v>
      </c>
      <c r="R39" s="705" t="s">
        <v>14</v>
      </c>
      <c r="S39" s="706">
        <f t="shared" si="10"/>
        <v>100</v>
      </c>
      <c r="T39" s="705" t="s">
        <v>14</v>
      </c>
      <c r="U39" s="706">
        <f t="shared" si="11"/>
        <v>100</v>
      </c>
      <c r="V39" s="705" t="s">
        <v>14</v>
      </c>
      <c r="W39" s="706">
        <f t="shared" si="12"/>
        <v>100</v>
      </c>
      <c r="X39" s="1355"/>
      <c r="Y39" s="3685"/>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85"/>
      <c r="Q40" s="1352" t="str">
        <f t="shared" si="14"/>
        <v>临街宽度及深度</v>
      </c>
      <c r="R40" s="705" t="s">
        <v>14</v>
      </c>
      <c r="S40" s="706">
        <f t="shared" si="10"/>
        <v>100</v>
      </c>
      <c r="T40" s="705" t="s">
        <v>14</v>
      </c>
      <c r="U40" s="706">
        <f t="shared" si="11"/>
        <v>100</v>
      </c>
      <c r="V40" s="705" t="s">
        <v>14</v>
      </c>
      <c r="W40" s="706">
        <f t="shared" si="12"/>
        <v>100</v>
      </c>
      <c r="X40" s="1355"/>
      <c r="Y40" s="3685"/>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85"/>
      <c r="Q41" s="1352" t="str">
        <f t="shared" si="14"/>
        <v>宗地开发程度</v>
      </c>
      <c r="R41" s="701" t="s">
        <v>14</v>
      </c>
      <c r="S41" s="702">
        <f t="shared" si="10"/>
        <v>100</v>
      </c>
      <c r="T41" s="701" t="s">
        <v>14</v>
      </c>
      <c r="U41" s="702">
        <f t="shared" si="11"/>
        <v>100</v>
      </c>
      <c r="V41" s="701" t="s">
        <v>14</v>
      </c>
      <c r="W41" s="702">
        <f t="shared" si="12"/>
        <v>100</v>
      </c>
      <c r="X41" s="703"/>
      <c r="Y41" s="3685"/>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85" t="s">
        <v>1696</v>
      </c>
      <c r="Q42" s="1352" t="str">
        <f t="shared" si="14"/>
        <v>工程地质条件</v>
      </c>
      <c r="R42" s="705" t="s">
        <v>14</v>
      </c>
      <c r="S42" s="706">
        <f t="shared" si="10"/>
        <v>100</v>
      </c>
      <c r="T42" s="705" t="s">
        <v>14</v>
      </c>
      <c r="U42" s="706">
        <f t="shared" si="11"/>
        <v>100</v>
      </c>
      <c r="V42" s="705" t="s">
        <v>14</v>
      </c>
      <c r="W42" s="706">
        <f t="shared" si="12"/>
        <v>100</v>
      </c>
      <c r="X42" s="1355"/>
      <c r="Y42" s="3685"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85"/>
      <c r="Q43" s="1352">
        <f t="shared" si="14"/>
        <v>111</v>
      </c>
      <c r="R43" s="705" t="s">
        <v>14</v>
      </c>
      <c r="S43" s="706">
        <f t="shared" si="10"/>
        <v>100</v>
      </c>
      <c r="T43" s="705" t="s">
        <v>14</v>
      </c>
      <c r="U43" s="706">
        <f t="shared" si="11"/>
        <v>100</v>
      </c>
      <c r="V43" s="705" t="s">
        <v>14</v>
      </c>
      <c r="W43" s="706">
        <f t="shared" si="12"/>
        <v>100</v>
      </c>
      <c r="X43" s="1355"/>
      <c r="Y43" s="3685"/>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85"/>
      <c r="Q44" s="1352">
        <f t="shared" si="14"/>
        <v>111</v>
      </c>
      <c r="R44" s="705" t="s">
        <v>14</v>
      </c>
      <c r="S44" s="706">
        <f t="shared" si="10"/>
        <v>100</v>
      </c>
      <c r="T44" s="705" t="s">
        <v>14</v>
      </c>
      <c r="U44" s="706">
        <f t="shared" si="11"/>
        <v>100</v>
      </c>
      <c r="V44" s="705" t="s">
        <v>14</v>
      </c>
      <c r="W44" s="706">
        <f t="shared" si="12"/>
        <v>100</v>
      </c>
      <c r="X44" s="1355"/>
      <c r="Y44" s="3685"/>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85"/>
      <c r="Q45" s="1352">
        <f t="shared" si="14"/>
        <v>111</v>
      </c>
      <c r="R45" s="708" t="s">
        <v>14</v>
      </c>
      <c r="S45" s="709">
        <f t="shared" si="10"/>
        <v>100</v>
      </c>
      <c r="T45" s="708" t="s">
        <v>14</v>
      </c>
      <c r="U45" s="709">
        <f t="shared" si="11"/>
        <v>100</v>
      </c>
      <c r="V45" s="708" t="s">
        <v>14</v>
      </c>
      <c r="W45" s="709">
        <f t="shared" si="12"/>
        <v>100</v>
      </c>
      <c r="X45" s="710"/>
      <c r="Y45" s="3685"/>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87" t="str">
        <f>A46</f>
        <v>成交单价</v>
      </c>
      <c r="Q46" s="3687"/>
      <c r="R46" s="3675">
        <f>E46</f>
        <v>0</v>
      </c>
      <c r="S46" s="3675"/>
      <c r="T46" s="3675">
        <f>G46</f>
        <v>0</v>
      </c>
      <c r="U46" s="3675"/>
      <c r="V46" s="3675">
        <f>I46</f>
        <v>0</v>
      </c>
      <c r="W46" s="3675"/>
      <c r="X46" s="690"/>
      <c r="Y46" s="712"/>
      <c r="Z46" s="690"/>
      <c r="AA46" s="690"/>
      <c r="AB46" s="690"/>
      <c r="AC46" s="690"/>
    </row>
    <row r="47" spans="1:29" ht="15.75" thickBot="1">
      <c r="A47" s="437" t="s">
        <v>1793</v>
      </c>
      <c r="B47" s="631"/>
      <c r="C47" s="440" t="e">
        <f>R48</f>
        <v>#DIV/0!</v>
      </c>
      <c r="D47" s="2317" t="s">
        <v>2136</v>
      </c>
      <c r="E47" s="440" t="e">
        <f>R47</f>
        <v>#DIV/0!</v>
      </c>
      <c r="F47" s="2318"/>
      <c r="G47" s="439" t="e">
        <f>T47</f>
        <v>#DIV/0!</v>
      </c>
      <c r="H47" s="2318"/>
      <c r="I47" s="440" t="e">
        <f>V47</f>
        <v>#DIV/0!</v>
      </c>
      <c r="J47" s="2318"/>
      <c r="K47" s="2320">
        <f>F47+H47+J47</f>
        <v>0</v>
      </c>
      <c r="L47" s="2724"/>
      <c r="M47" s="2725"/>
      <c r="N47" s="2725"/>
      <c r="O47" s="2725"/>
      <c r="P47" s="3687" t="str">
        <f>A47</f>
        <v>比较价值（元/平方米）</v>
      </c>
      <c r="Q47" s="3687"/>
      <c r="R47" s="3868" t="e">
        <f>ROUND(PRODUCT(R46,AA7:AA45),0)</f>
        <v>#DIV/0!</v>
      </c>
      <c r="S47" s="3868"/>
      <c r="T47" s="3868" t="e">
        <f>ROUND(PRODUCT(T46,AB7:AB45),0)</f>
        <v>#DIV/0!</v>
      </c>
      <c r="U47" s="3868"/>
      <c r="V47" s="3868" t="e">
        <f>ROUND(PRODUCT(V46,AC7:AC45),0)</f>
        <v>#DIV/0!</v>
      </c>
      <c r="W47" s="3868"/>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863" t="str">
        <f>A48</f>
        <v>估价对象XX用房的比较价值（楼面单价，元/平方米）</v>
      </c>
      <c r="Q48" s="3864"/>
      <c r="R48" s="3869" t="e">
        <f>ROUND(IF(D47="简单平均",AVERAGE(R47:W47),R47*F47+T47*H47+V47*J47),0)</f>
        <v>#DIV/0!</v>
      </c>
      <c r="S48" s="3869"/>
      <c r="T48" s="3869"/>
      <c r="U48" s="3869"/>
      <c r="V48" s="3869"/>
      <c r="W48" s="3869"/>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62" t="s">
        <v>1887</v>
      </c>
      <c r="H55" s="3870"/>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9265.11</v>
      </c>
      <c r="F56" s="886" t="e">
        <f t="shared" ref="F56:F64" si="15">ROUND(B56*E56/10000,0)</f>
        <v>#DIV/0!</v>
      </c>
      <c r="G56" s="3657"/>
      <c r="H56" s="3687"/>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四级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四级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四级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四级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9265.11</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2023-4-1</v>
      </c>
      <c r="D67" s="692">
        <f>EDATE(C67,-3)</f>
        <v>44927</v>
      </c>
      <c r="E67" s="692">
        <f>EDATE(D67,-3)</f>
        <v>44835</v>
      </c>
      <c r="F67" s="692">
        <f t="shared" ref="F67:O67" si="18">EDATE(E67,-3)</f>
        <v>44743</v>
      </c>
      <c r="G67" s="692">
        <f t="shared" si="18"/>
        <v>44652</v>
      </c>
      <c r="H67" s="692">
        <f t="shared" si="18"/>
        <v>44562</v>
      </c>
      <c r="I67" s="692">
        <f t="shared" si="18"/>
        <v>44470</v>
      </c>
      <c r="J67" s="692">
        <f t="shared" si="18"/>
        <v>44378</v>
      </c>
      <c r="K67" s="692">
        <f t="shared" si="18"/>
        <v>44287</v>
      </c>
      <c r="L67" s="692">
        <f t="shared" si="18"/>
        <v>44197</v>
      </c>
      <c r="M67" s="692">
        <f t="shared" si="18"/>
        <v>44105</v>
      </c>
      <c r="N67" s="692">
        <f t="shared" si="18"/>
        <v>44013</v>
      </c>
      <c r="O67" s="692">
        <f t="shared" si="18"/>
        <v>43922</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37"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62" t="s">
        <v>1770</v>
      </c>
      <c r="D4" s="3663"/>
      <c r="E4" s="3664" t="s">
        <v>1771</v>
      </c>
      <c r="F4" s="3665"/>
      <c r="G4" s="3662" t="s">
        <v>1772</v>
      </c>
      <c r="H4" s="3663"/>
      <c r="I4" s="3662" t="s">
        <v>1773</v>
      </c>
      <c r="J4" s="3663"/>
      <c r="K4" s="559" t="s">
        <v>1774</v>
      </c>
      <c r="L4" s="2715"/>
      <c r="M4" s="2716"/>
      <c r="N4" s="2716"/>
      <c r="O4" s="2716"/>
      <c r="P4" s="3859" t="s">
        <v>1775</v>
      </c>
      <c r="Q4" s="3860"/>
      <c r="R4" s="3856" t="s">
        <v>1771</v>
      </c>
      <c r="S4" s="3857"/>
      <c r="T4" s="3856" t="s">
        <v>1772</v>
      </c>
      <c r="U4" s="3857"/>
      <c r="V4" s="3675" t="s">
        <v>1773</v>
      </c>
      <c r="W4" s="3675"/>
      <c r="X4" s="1355"/>
      <c r="Y4" s="3856" t="s">
        <v>1775</v>
      </c>
      <c r="Z4" s="3857"/>
      <c r="AA4" s="3855" t="s">
        <v>1771</v>
      </c>
      <c r="AB4" s="3640" t="s">
        <v>1772</v>
      </c>
      <c r="AC4" s="3855" t="s">
        <v>1773</v>
      </c>
    </row>
    <row r="5" spans="1:29" ht="15">
      <c r="A5" s="358"/>
      <c r="B5" s="359"/>
      <c r="C5" s="3650" t="s">
        <v>1673</v>
      </c>
      <c r="D5" s="3651"/>
      <c r="E5" s="3858" t="s">
        <v>1674</v>
      </c>
      <c r="F5" s="3649"/>
      <c r="G5" s="3650" t="s">
        <v>1675</v>
      </c>
      <c r="H5" s="3651"/>
      <c r="I5" s="3650" t="s">
        <v>1676</v>
      </c>
      <c r="J5" s="3651"/>
      <c r="K5" s="559"/>
      <c r="L5" s="2715"/>
      <c r="M5" s="2716"/>
      <c r="N5" s="2716"/>
      <c r="O5" s="2716"/>
      <c r="P5" s="3861"/>
      <c r="Q5" s="3669"/>
      <c r="R5" s="3646"/>
      <c r="S5" s="3647"/>
      <c r="T5" s="3646"/>
      <c r="U5" s="3647"/>
      <c r="V5" s="3675"/>
      <c r="W5" s="3675"/>
      <c r="X5" s="1355"/>
      <c r="Y5" s="3646"/>
      <c r="Z5" s="3647"/>
      <c r="AA5" s="3640"/>
      <c r="AB5" s="3640"/>
      <c r="AC5" s="3640"/>
    </row>
    <row r="6" spans="1:29" ht="15.75" thickBot="1">
      <c r="A6" s="360"/>
      <c r="B6" s="361"/>
      <c r="C6" s="3871" t="s">
        <v>1919</v>
      </c>
      <c r="D6" s="3872"/>
      <c r="E6" s="3873" t="s">
        <v>1919</v>
      </c>
      <c r="F6" s="3874"/>
      <c r="G6" s="3871" t="s">
        <v>1919</v>
      </c>
      <c r="H6" s="3872"/>
      <c r="I6" s="3871" t="s">
        <v>1919</v>
      </c>
      <c r="J6" s="3872"/>
      <c r="K6" s="559" t="s">
        <v>1678</v>
      </c>
      <c r="L6" s="2715"/>
      <c r="M6" s="2716"/>
      <c r="N6" s="2716"/>
      <c r="O6" s="2716"/>
      <c r="P6" s="3862"/>
      <c r="Q6" s="3671"/>
      <c r="R6" s="3646"/>
      <c r="S6" s="3647"/>
      <c r="T6" s="3672"/>
      <c r="U6" s="3673"/>
      <c r="V6" s="3675"/>
      <c r="W6" s="3675"/>
      <c r="X6" s="1355"/>
      <c r="Y6" s="3672"/>
      <c r="Z6" s="3673"/>
      <c r="AA6" s="3641"/>
      <c r="AB6" s="3641"/>
      <c r="AC6" s="3641"/>
    </row>
    <row r="7" spans="1:29" s="108" customFormat="1" ht="15.75" thickBot="1">
      <c r="A7" s="362" t="s">
        <v>1679</v>
      </c>
      <c r="B7" s="363"/>
      <c r="C7" s="364">
        <f>'数据-取费表'!B2</f>
        <v>45033</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42" t="s">
        <v>1680</v>
      </c>
      <c r="Q7" s="3677"/>
      <c r="R7" s="701" t="s">
        <v>14</v>
      </c>
      <c r="S7" s="702">
        <f t="shared" ref="S7:S15" si="0">F7</f>
        <v>0</v>
      </c>
      <c r="T7" s="701" t="s">
        <v>14</v>
      </c>
      <c r="U7" s="702">
        <f t="shared" ref="U7:U15" si="1">H7</f>
        <v>0</v>
      </c>
      <c r="V7" s="701" t="s">
        <v>14</v>
      </c>
      <c r="W7" s="702">
        <f t="shared" ref="W7:W15" si="2">J7</f>
        <v>0</v>
      </c>
      <c r="X7" s="703"/>
      <c r="Y7" s="3642" t="s">
        <v>1680</v>
      </c>
      <c r="Z7" s="3643"/>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42" t="s">
        <v>1683</v>
      </c>
      <c r="Q8" s="3643"/>
      <c r="R8" s="701" t="s">
        <v>14</v>
      </c>
      <c r="S8" s="702">
        <f t="shared" si="0"/>
        <v>0</v>
      </c>
      <c r="T8" s="701" t="s">
        <v>14</v>
      </c>
      <c r="U8" s="702">
        <f t="shared" si="1"/>
        <v>0</v>
      </c>
      <c r="V8" s="701" t="s">
        <v>14</v>
      </c>
      <c r="W8" s="702">
        <f t="shared" si="2"/>
        <v>0</v>
      </c>
      <c r="X8" s="703"/>
      <c r="Y8" s="3642" t="s">
        <v>1683</v>
      </c>
      <c r="Z8" s="3643"/>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87" t="s">
        <v>1686</v>
      </c>
      <c r="Q9" s="1343" t="str">
        <f t="shared" ref="Q9:Q15" si="6">B9</f>
        <v>用途</v>
      </c>
      <c r="R9" s="701" t="s">
        <v>14</v>
      </c>
      <c r="S9" s="702">
        <f t="shared" si="0"/>
        <v>100</v>
      </c>
      <c r="T9" s="701" t="s">
        <v>14</v>
      </c>
      <c r="U9" s="702">
        <f t="shared" si="1"/>
        <v>100</v>
      </c>
      <c r="V9" s="701" t="s">
        <v>14</v>
      </c>
      <c r="W9" s="702">
        <f t="shared" si="2"/>
        <v>100</v>
      </c>
      <c r="X9" s="703"/>
      <c r="Y9" s="3658"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139</v>
      </c>
      <c r="G10" s="383"/>
      <c r="H10" s="127">
        <f>ROUND(100/'数据-取费表'!G16,0)</f>
        <v>139</v>
      </c>
      <c r="I10" s="383"/>
      <c r="J10" s="127">
        <f>ROUND(100/'数据-取费表'!G16,0)</f>
        <v>139</v>
      </c>
      <c r="K10" s="620"/>
      <c r="L10" s="2719"/>
      <c r="M10" s="2720"/>
      <c r="N10" s="2720"/>
      <c r="O10" s="2773"/>
      <c r="P10" s="3687"/>
      <c r="Q10" s="1343" t="str">
        <f t="shared" si="6"/>
        <v>土地使用年限（年）</v>
      </c>
      <c r="R10" s="701" t="s">
        <v>14</v>
      </c>
      <c r="S10" s="702">
        <f t="shared" si="0"/>
        <v>139</v>
      </c>
      <c r="T10" s="701" t="s">
        <v>14</v>
      </c>
      <c r="U10" s="702">
        <f t="shared" si="1"/>
        <v>139</v>
      </c>
      <c r="V10" s="701" t="s">
        <v>14</v>
      </c>
      <c r="W10" s="702">
        <f t="shared" si="2"/>
        <v>139</v>
      </c>
      <c r="X10" s="703"/>
      <c r="Y10" s="3658"/>
      <c r="Z10" s="52" t="str">
        <f t="shared" si="7"/>
        <v>土地使用年限（年）</v>
      </c>
      <c r="AA10" s="704">
        <f t="shared" si="3"/>
        <v>0.71942446043165464</v>
      </c>
      <c r="AB10" s="704">
        <f t="shared" si="4"/>
        <v>0.71942446043165464</v>
      </c>
      <c r="AC10" s="704">
        <f t="shared" si="5"/>
        <v>0.71942446043165464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87"/>
      <c r="Q11" s="1343" t="str">
        <f t="shared" si="6"/>
        <v>容积率</v>
      </c>
      <c r="R11" s="701" t="s">
        <v>14</v>
      </c>
      <c r="S11" s="702" t="e">
        <f t="shared" si="0"/>
        <v>#N/A</v>
      </c>
      <c r="T11" s="701" t="s">
        <v>14</v>
      </c>
      <c r="U11" s="702" t="e">
        <f t="shared" si="1"/>
        <v>#N/A</v>
      </c>
      <c r="V11" s="701" t="s">
        <v>14</v>
      </c>
      <c r="W11" s="702" t="e">
        <f t="shared" si="2"/>
        <v>#N/A</v>
      </c>
      <c r="X11" s="703"/>
      <c r="Y11" s="365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87"/>
      <c r="Q12" s="1343">
        <f t="shared" si="6"/>
        <v>111</v>
      </c>
      <c r="R12" s="701" t="s">
        <v>14</v>
      </c>
      <c r="S12" s="702">
        <f t="shared" si="0"/>
        <v>100</v>
      </c>
      <c r="T12" s="701" t="s">
        <v>14</v>
      </c>
      <c r="U12" s="702">
        <f t="shared" si="1"/>
        <v>100</v>
      </c>
      <c r="V12" s="701" t="s">
        <v>14</v>
      </c>
      <c r="W12" s="702">
        <f t="shared" si="2"/>
        <v>100</v>
      </c>
      <c r="X12" s="703"/>
      <c r="Y12" s="365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87"/>
      <c r="Q13" s="1343">
        <f t="shared" si="6"/>
        <v>111</v>
      </c>
      <c r="R13" s="701" t="s">
        <v>14</v>
      </c>
      <c r="S13" s="702">
        <f t="shared" si="0"/>
        <v>100</v>
      </c>
      <c r="T13" s="701" t="s">
        <v>14</v>
      </c>
      <c r="U13" s="702">
        <f t="shared" si="1"/>
        <v>100</v>
      </c>
      <c r="V13" s="701" t="s">
        <v>14</v>
      </c>
      <c r="W13" s="702">
        <f t="shared" si="2"/>
        <v>100</v>
      </c>
      <c r="X13" s="703"/>
      <c r="Y13" s="365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87"/>
      <c r="Q14" s="1343">
        <f t="shared" si="6"/>
        <v>111</v>
      </c>
      <c r="R14" s="701" t="s">
        <v>14</v>
      </c>
      <c r="S14" s="702">
        <f t="shared" si="0"/>
        <v>100</v>
      </c>
      <c r="T14" s="701" t="s">
        <v>14</v>
      </c>
      <c r="U14" s="702">
        <f t="shared" si="1"/>
        <v>100</v>
      </c>
      <c r="V14" s="701" t="s">
        <v>14</v>
      </c>
      <c r="W14" s="702">
        <f t="shared" si="2"/>
        <v>100</v>
      </c>
      <c r="X14" s="703"/>
      <c r="Y14" s="3658"/>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80" t="s">
        <v>1691</v>
      </c>
      <c r="Q15" s="1352" t="str">
        <f t="shared" si="6"/>
        <v>产业集聚程度</v>
      </c>
      <c r="R15" s="705" t="s">
        <v>14</v>
      </c>
      <c r="S15" s="706">
        <f t="shared" si="0"/>
        <v>100</v>
      </c>
      <c r="T15" s="705" t="s">
        <v>14</v>
      </c>
      <c r="U15" s="706">
        <f t="shared" si="1"/>
        <v>100</v>
      </c>
      <c r="V15" s="705" t="s">
        <v>14</v>
      </c>
      <c r="W15" s="706">
        <f t="shared" si="2"/>
        <v>100</v>
      </c>
      <c r="X15" s="1355"/>
      <c r="Y15" s="3680"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81"/>
      <c r="Q16" s="1352"/>
      <c r="R16" s="705"/>
      <c r="S16" s="706"/>
      <c r="T16" s="705"/>
      <c r="U16" s="706"/>
      <c r="V16" s="705"/>
      <c r="W16" s="706"/>
      <c r="X16" s="1355"/>
      <c r="Y16" s="3681"/>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81"/>
      <c r="Q17" s="1352" t="str">
        <f>B17</f>
        <v>交通便捷度</v>
      </c>
      <c r="R17" s="705" t="s">
        <v>14</v>
      </c>
      <c r="S17" s="706">
        <f>F17</f>
        <v>100</v>
      </c>
      <c r="T17" s="705" t="s">
        <v>14</v>
      </c>
      <c r="U17" s="706">
        <f>H17</f>
        <v>100</v>
      </c>
      <c r="V17" s="705" t="s">
        <v>14</v>
      </c>
      <c r="W17" s="706">
        <f>J17</f>
        <v>100</v>
      </c>
      <c r="X17" s="1355"/>
      <c r="Y17" s="368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81"/>
      <c r="Q18" s="1352"/>
      <c r="R18" s="705"/>
      <c r="S18" s="706"/>
      <c r="T18" s="705"/>
      <c r="U18" s="706"/>
      <c r="V18" s="705"/>
      <c r="W18" s="706"/>
      <c r="X18" s="1355"/>
      <c r="Y18" s="3681"/>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81"/>
      <c r="Q19" s="1352" t="str">
        <f t="shared" ref="Q19:Q33" si="8">B19</f>
        <v>区域土地利用方向</v>
      </c>
      <c r="R19" s="705" t="s">
        <v>14</v>
      </c>
      <c r="S19" s="706">
        <f>F19</f>
        <v>100</v>
      </c>
      <c r="T19" s="705" t="s">
        <v>14</v>
      </c>
      <c r="U19" s="706">
        <f>H19</f>
        <v>100</v>
      </c>
      <c r="V19" s="705" t="s">
        <v>14</v>
      </c>
      <c r="W19" s="706">
        <f>J19</f>
        <v>100</v>
      </c>
      <c r="X19" s="1355"/>
      <c r="Y19" s="368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81"/>
      <c r="Q20" s="1352"/>
      <c r="R20" s="705"/>
      <c r="S20" s="706"/>
      <c r="T20" s="705"/>
      <c r="U20" s="706"/>
      <c r="V20" s="705"/>
      <c r="W20" s="706"/>
      <c r="X20" s="1355"/>
      <c r="Y20" s="3681"/>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81"/>
      <c r="Q21" s="1352" t="str">
        <f t="shared" si="8"/>
        <v>环境状况</v>
      </c>
      <c r="R21" s="705" t="s">
        <v>14</v>
      </c>
      <c r="S21" s="706">
        <f>F21</f>
        <v>100</v>
      </c>
      <c r="T21" s="705" t="s">
        <v>14</v>
      </c>
      <c r="U21" s="706">
        <f>H21</f>
        <v>100</v>
      </c>
      <c r="V21" s="705" t="s">
        <v>14</v>
      </c>
      <c r="W21" s="706">
        <f>J21</f>
        <v>100</v>
      </c>
      <c r="X21" s="1355"/>
      <c r="Y21" s="368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81"/>
      <c r="Q22" s="1352"/>
      <c r="R22" s="705"/>
      <c r="S22" s="706"/>
      <c r="T22" s="705"/>
      <c r="U22" s="706"/>
      <c r="V22" s="705"/>
      <c r="W22" s="706"/>
      <c r="X22" s="1355"/>
      <c r="Y22" s="3681"/>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81"/>
      <c r="Q23" s="1343" t="str">
        <f t="shared" si="8"/>
        <v>公共配套设施</v>
      </c>
      <c r="R23" s="701" t="s">
        <v>14</v>
      </c>
      <c r="S23" s="702">
        <f>F23</f>
        <v>100</v>
      </c>
      <c r="T23" s="701" t="s">
        <v>14</v>
      </c>
      <c r="U23" s="702">
        <f>H23</f>
        <v>100</v>
      </c>
      <c r="V23" s="701" t="s">
        <v>14</v>
      </c>
      <c r="W23" s="702">
        <f>J23</f>
        <v>100</v>
      </c>
      <c r="X23" s="703"/>
      <c r="Y23" s="3681"/>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81"/>
      <c r="Q24" s="1343"/>
      <c r="R24" s="701"/>
      <c r="S24" s="702"/>
      <c r="T24" s="701"/>
      <c r="U24" s="702"/>
      <c r="V24" s="701"/>
      <c r="W24" s="702"/>
      <c r="X24" s="703"/>
      <c r="Y24" s="3681"/>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81"/>
      <c r="Q25" s="1343" t="str">
        <f t="shared" ref="Q25" si="9">B25</f>
        <v>基础设施水平</v>
      </c>
      <c r="R25" s="701" t="s">
        <v>14</v>
      </c>
      <c r="S25" s="702">
        <f>F25</f>
        <v>100</v>
      </c>
      <c r="T25" s="701" t="s">
        <v>14</v>
      </c>
      <c r="U25" s="702">
        <f>H25</f>
        <v>100</v>
      </c>
      <c r="V25" s="701" t="s">
        <v>14</v>
      </c>
      <c r="W25" s="702">
        <f>J25</f>
        <v>100</v>
      </c>
      <c r="X25" s="703"/>
      <c r="Y25" s="3681"/>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81"/>
      <c r="Q26" s="1343"/>
      <c r="R26" s="701"/>
      <c r="S26" s="702"/>
      <c r="T26" s="701"/>
      <c r="U26" s="702"/>
      <c r="V26" s="701"/>
      <c r="W26" s="702"/>
      <c r="X26" s="703"/>
      <c r="Y26" s="3681"/>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8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1"/>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81"/>
      <c r="Q28" s="1352" t="str">
        <f t="shared" si="8"/>
        <v>毗邻道路的类型与等级</v>
      </c>
      <c r="R28" s="705" t="s">
        <v>14</v>
      </c>
      <c r="S28" s="706">
        <f t="shared" si="10"/>
        <v>100</v>
      </c>
      <c r="T28" s="705" t="s">
        <v>14</v>
      </c>
      <c r="U28" s="706">
        <f t="shared" si="11"/>
        <v>100</v>
      </c>
      <c r="V28" s="705" t="s">
        <v>14</v>
      </c>
      <c r="W28" s="706">
        <f t="shared" si="12"/>
        <v>100</v>
      </c>
      <c r="X28" s="1355"/>
      <c r="Y28" s="368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81"/>
      <c r="Q29" s="1352"/>
      <c r="R29" s="705"/>
      <c r="S29" s="706"/>
      <c r="T29" s="705"/>
      <c r="U29" s="706"/>
      <c r="V29" s="705"/>
      <c r="W29" s="706"/>
      <c r="X29" s="1355"/>
      <c r="Y29" s="3681"/>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81"/>
      <c r="Q30" s="1352" t="str">
        <f t="shared" si="8"/>
        <v>土地级别</v>
      </c>
      <c r="R30" s="705" t="s">
        <v>14</v>
      </c>
      <c r="S30" s="706">
        <f t="shared" si="10"/>
        <v>100</v>
      </c>
      <c r="T30" s="705" t="s">
        <v>14</v>
      </c>
      <c r="U30" s="706">
        <f t="shared" si="11"/>
        <v>100</v>
      </c>
      <c r="V30" s="705" t="s">
        <v>14</v>
      </c>
      <c r="W30" s="706">
        <f t="shared" si="12"/>
        <v>100</v>
      </c>
      <c r="X30" s="1355"/>
      <c r="Y30" s="3681"/>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81"/>
      <c r="Q31" s="1352">
        <f t="shared" si="8"/>
        <v>111</v>
      </c>
      <c r="R31" s="705" t="s">
        <v>14</v>
      </c>
      <c r="S31" s="706">
        <f t="shared" si="10"/>
        <v>100</v>
      </c>
      <c r="T31" s="705" t="s">
        <v>14</v>
      </c>
      <c r="U31" s="706">
        <f t="shared" si="11"/>
        <v>100</v>
      </c>
      <c r="V31" s="705" t="s">
        <v>14</v>
      </c>
      <c r="W31" s="706">
        <f t="shared" si="12"/>
        <v>100</v>
      </c>
      <c r="X31" s="1355"/>
      <c r="Y31" s="3681"/>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866" t="s">
        <v>1696</v>
      </c>
      <c r="Q32" s="1352">
        <f t="shared" si="8"/>
        <v>111</v>
      </c>
      <c r="R32" s="705" t="s">
        <v>14</v>
      </c>
      <c r="S32" s="706">
        <f t="shared" si="10"/>
        <v>100</v>
      </c>
      <c r="T32" s="705" t="s">
        <v>14</v>
      </c>
      <c r="U32" s="706">
        <f t="shared" si="11"/>
        <v>100</v>
      </c>
      <c r="V32" s="705" t="s">
        <v>14</v>
      </c>
      <c r="W32" s="706">
        <f t="shared" si="12"/>
        <v>100</v>
      </c>
      <c r="X32" s="1355"/>
      <c r="Y32" s="3685"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85"/>
      <c r="Q33" s="1352">
        <f t="shared" si="8"/>
        <v>111</v>
      </c>
      <c r="R33" s="708" t="s">
        <v>14</v>
      </c>
      <c r="S33" s="709">
        <f t="shared" si="10"/>
        <v>100</v>
      </c>
      <c r="T33" s="708" t="s">
        <v>14</v>
      </c>
      <c r="U33" s="709">
        <f t="shared" si="11"/>
        <v>100</v>
      </c>
      <c r="V33" s="708" t="s">
        <v>14</v>
      </c>
      <c r="W33" s="709">
        <f t="shared" si="12"/>
        <v>100</v>
      </c>
      <c r="X33" s="710"/>
      <c r="Y33" s="3685"/>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85"/>
      <c r="Q34" s="1352" t="str">
        <f>B34</f>
        <v>宗地面积</v>
      </c>
      <c r="R34" s="705" t="s">
        <v>14</v>
      </c>
      <c r="S34" s="706" t="e">
        <f t="shared" si="10"/>
        <v>#N/A</v>
      </c>
      <c r="T34" s="705" t="s">
        <v>14</v>
      </c>
      <c r="U34" s="706" t="e">
        <f t="shared" si="11"/>
        <v>#N/A</v>
      </c>
      <c r="V34" s="705" t="s">
        <v>14</v>
      </c>
      <c r="W34" s="706" t="e">
        <f t="shared" si="12"/>
        <v>#N/A</v>
      </c>
      <c r="X34" s="1355"/>
      <c r="Y34" s="3685"/>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85"/>
      <c r="Q35" s="1352" t="str">
        <f t="shared" ref="Q35:Q40" si="14">B35</f>
        <v>宗地形状</v>
      </c>
      <c r="R35" s="705" t="s">
        <v>14</v>
      </c>
      <c r="S35" s="706">
        <f t="shared" si="10"/>
        <v>100</v>
      </c>
      <c r="T35" s="705" t="s">
        <v>14</v>
      </c>
      <c r="U35" s="706">
        <f t="shared" si="11"/>
        <v>100</v>
      </c>
      <c r="V35" s="705" t="s">
        <v>14</v>
      </c>
      <c r="W35" s="706">
        <f t="shared" si="12"/>
        <v>100</v>
      </c>
      <c r="X35" s="1355"/>
      <c r="Y35" s="3685"/>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85"/>
      <c r="Q36" s="1352" t="str">
        <f t="shared" si="14"/>
        <v>宗地开发程度</v>
      </c>
      <c r="R36" s="701" t="s">
        <v>14</v>
      </c>
      <c r="S36" s="702">
        <f t="shared" si="10"/>
        <v>100</v>
      </c>
      <c r="T36" s="701" t="s">
        <v>14</v>
      </c>
      <c r="U36" s="702">
        <f t="shared" si="11"/>
        <v>100</v>
      </c>
      <c r="V36" s="701" t="s">
        <v>14</v>
      </c>
      <c r="W36" s="702">
        <f t="shared" si="12"/>
        <v>100</v>
      </c>
      <c r="X36" s="703"/>
      <c r="Y36" s="3685"/>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85" t="s">
        <v>1696</v>
      </c>
      <c r="Q37" s="1352" t="str">
        <f t="shared" si="14"/>
        <v>工程地质条件</v>
      </c>
      <c r="R37" s="705" t="s">
        <v>14</v>
      </c>
      <c r="S37" s="706">
        <f t="shared" si="10"/>
        <v>100</v>
      </c>
      <c r="T37" s="705" t="s">
        <v>14</v>
      </c>
      <c r="U37" s="706">
        <f t="shared" si="11"/>
        <v>100</v>
      </c>
      <c r="V37" s="705" t="s">
        <v>14</v>
      </c>
      <c r="W37" s="706">
        <f t="shared" si="12"/>
        <v>100</v>
      </c>
      <c r="X37" s="1355"/>
      <c r="Y37" s="3685"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85"/>
      <c r="Q38" s="1352">
        <f t="shared" si="14"/>
        <v>111</v>
      </c>
      <c r="R38" s="705" t="s">
        <v>14</v>
      </c>
      <c r="S38" s="706">
        <f t="shared" si="10"/>
        <v>100</v>
      </c>
      <c r="T38" s="705" t="s">
        <v>14</v>
      </c>
      <c r="U38" s="706">
        <f t="shared" si="11"/>
        <v>100</v>
      </c>
      <c r="V38" s="705" t="s">
        <v>14</v>
      </c>
      <c r="W38" s="706">
        <f t="shared" si="12"/>
        <v>100</v>
      </c>
      <c r="X38" s="1355"/>
      <c r="Y38" s="3685"/>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85"/>
      <c r="Q39" s="1352">
        <f t="shared" si="14"/>
        <v>111</v>
      </c>
      <c r="R39" s="705" t="s">
        <v>14</v>
      </c>
      <c r="S39" s="706">
        <f t="shared" si="10"/>
        <v>100</v>
      </c>
      <c r="T39" s="705" t="s">
        <v>14</v>
      </c>
      <c r="U39" s="706">
        <f t="shared" si="11"/>
        <v>100</v>
      </c>
      <c r="V39" s="705" t="s">
        <v>14</v>
      </c>
      <c r="W39" s="706">
        <f t="shared" si="12"/>
        <v>100</v>
      </c>
      <c r="X39" s="1355"/>
      <c r="Y39" s="3685"/>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85"/>
      <c r="Q40" s="1352">
        <f t="shared" si="14"/>
        <v>111</v>
      </c>
      <c r="R40" s="708" t="s">
        <v>14</v>
      </c>
      <c r="S40" s="709">
        <f t="shared" si="10"/>
        <v>100</v>
      </c>
      <c r="T40" s="708" t="s">
        <v>14</v>
      </c>
      <c r="U40" s="709">
        <f t="shared" si="11"/>
        <v>100</v>
      </c>
      <c r="V40" s="708" t="s">
        <v>14</v>
      </c>
      <c r="W40" s="709">
        <f t="shared" si="12"/>
        <v>100</v>
      </c>
      <c r="X40" s="710"/>
      <c r="Y40" s="3685"/>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87" t="str">
        <f>A41</f>
        <v>成交单价</v>
      </c>
      <c r="Q41" s="3687"/>
      <c r="R41" s="3675">
        <f>E41</f>
        <v>0</v>
      </c>
      <c r="S41" s="3675"/>
      <c r="T41" s="3675">
        <f>G41</f>
        <v>0</v>
      </c>
      <c r="U41" s="3675"/>
      <c r="V41" s="3675">
        <f>I41</f>
        <v>0</v>
      </c>
      <c r="W41" s="3675"/>
      <c r="X41" s="690"/>
      <c r="Y41" s="712"/>
      <c r="Z41" s="690"/>
      <c r="AA41" s="690"/>
      <c r="AB41" s="690"/>
      <c r="AC41" s="690"/>
    </row>
    <row r="42" spans="1:31" ht="15.75" thickBot="1">
      <c r="A42" s="437" t="s">
        <v>1793</v>
      </c>
      <c r="B42" s="631"/>
      <c r="C42" s="440" t="e">
        <f>R43</f>
        <v>#DIV/0!</v>
      </c>
      <c r="D42" s="2317" t="s">
        <v>2136</v>
      </c>
      <c r="E42" s="440" t="e">
        <f>R42</f>
        <v>#DIV/0!</v>
      </c>
      <c r="F42" s="2318"/>
      <c r="G42" s="439" t="e">
        <f>T42</f>
        <v>#DIV/0!</v>
      </c>
      <c r="H42" s="2318"/>
      <c r="I42" s="440" t="e">
        <f>V42</f>
        <v>#DIV/0!</v>
      </c>
      <c r="J42" s="2318"/>
      <c r="K42" s="2320">
        <f>F42+H42+J42</f>
        <v>0</v>
      </c>
      <c r="L42" s="2724"/>
      <c r="M42" s="2716"/>
      <c r="N42" s="2716"/>
      <c r="O42" s="2725"/>
      <c r="P42" s="3687" t="str">
        <f>A42</f>
        <v>比较价值（元/平方米）</v>
      </c>
      <c r="Q42" s="3687"/>
      <c r="R42" s="3868" t="e">
        <f>ROUND(PRODUCT(R41,AA7:AA40),0)</f>
        <v>#DIV/0!</v>
      </c>
      <c r="S42" s="3868"/>
      <c r="T42" s="3868" t="e">
        <f>ROUND(PRODUCT(T41,AB7:AB40),0)</f>
        <v>#DIV/0!</v>
      </c>
      <c r="U42" s="3868"/>
      <c r="V42" s="3868" t="e">
        <f>ROUND(PRODUCT(V41,AC7:AC40),0)</f>
        <v>#DIV/0!</v>
      </c>
      <c r="W42" s="3868"/>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863" t="str">
        <f>A43</f>
        <v>估价对象XX用房的比较价值（楼面单价，元/平方米）</v>
      </c>
      <c r="Q43" s="3864"/>
      <c r="R43" s="3869" t="e">
        <f>ROUND(IF(D42="简单平均",AVERAGE(R42:W42),R42*F42+T42*H42+V42*J42),0)</f>
        <v>#DIV/0!</v>
      </c>
      <c r="S43" s="3869"/>
      <c r="T43" s="3869"/>
      <c r="U43" s="3869"/>
      <c r="V43" s="3869"/>
      <c r="W43" s="3869"/>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62" t="s">
        <v>1887</v>
      </c>
      <c r="H50" s="3870"/>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9265.11</v>
      </c>
      <c r="F51" s="639" t="e">
        <f t="shared" ref="F51:F60" si="15">ROUND(B51*E51/10000,0)</f>
        <v>#DIV/0!</v>
      </c>
      <c r="G51" s="3657"/>
      <c r="H51" s="3687"/>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四级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四级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四级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四级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2023-4-1</v>
      </c>
      <c r="D63" s="692">
        <f>EDATE(C63,-3)</f>
        <v>44927</v>
      </c>
      <c r="E63" s="692">
        <f>EDATE(D63,-3)</f>
        <v>44835</v>
      </c>
      <c r="F63" s="692">
        <f t="shared" ref="F63:O63" si="18">EDATE(E63,-3)</f>
        <v>44743</v>
      </c>
      <c r="G63" s="692">
        <f t="shared" si="18"/>
        <v>44652</v>
      </c>
      <c r="H63" s="692">
        <f t="shared" si="18"/>
        <v>44562</v>
      </c>
      <c r="I63" s="692">
        <f t="shared" si="18"/>
        <v>44470</v>
      </c>
      <c r="J63" s="692">
        <f t="shared" si="18"/>
        <v>44378</v>
      </c>
      <c r="K63" s="692">
        <f t="shared" si="18"/>
        <v>44287</v>
      </c>
      <c r="L63" s="692">
        <f t="shared" si="18"/>
        <v>44197</v>
      </c>
      <c r="M63" s="692">
        <f t="shared" si="18"/>
        <v>44105</v>
      </c>
      <c r="N63" s="692">
        <f t="shared" si="18"/>
        <v>44013</v>
      </c>
      <c r="O63" s="692">
        <f t="shared" si="18"/>
        <v>43922</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0</v>
      </c>
      <c r="C2" s="2145" t="s">
        <v>2074</v>
      </c>
      <c r="D2" s="2145" t="s">
        <v>2075</v>
      </c>
      <c r="E2" s="2612">
        <f ca="1">SUMIF(E6:E13,"&lt;&gt;#ref!",E6:E13)</f>
        <v>9265.11</v>
      </c>
      <c r="F2" s="2793"/>
      <c r="G2" s="2793"/>
      <c r="H2" s="2793"/>
      <c r="I2" s="2793"/>
      <c r="J2" s="2793"/>
      <c r="K2" s="2793"/>
      <c r="L2" s="2793"/>
      <c r="M2" s="2793"/>
      <c r="N2" s="2793"/>
      <c r="O2" s="2793"/>
      <c r="P2" s="2793"/>
    </row>
    <row r="3" spans="1:16" ht="15.75">
      <c r="A3" s="2145" t="s">
        <v>2076</v>
      </c>
      <c r="B3" s="2602">
        <f ca="1">ROUND(B2*10000/E2,0)</f>
        <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0</v>
      </c>
      <c r="C6" s="2145" t="s">
        <v>2074</v>
      </c>
      <c r="D6" s="2793"/>
      <c r="E6" s="2612">
        <f ca="1">SUMIF(INDIRECT("'"&amp;A6&amp;"'"&amp;"!C:C"),"建筑面积",INDIRECT("'"&amp;A6&amp;"'"&amp;"!D:D"))</f>
        <v>9265.11</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21" zoomScaleNormal="80" zoomScaleSheetLayoutView="100" workbookViewId="0">
      <selection activeCell="I24" sqref="I24"/>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9265.11</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0</v>
      </c>
      <c r="C2" s="1999" t="s">
        <v>1935</v>
      </c>
      <c r="D2" s="2000" t="s">
        <v>1936</v>
      </c>
      <c r="E2" s="3422" t="s">
        <v>673</v>
      </c>
      <c r="F2" s="2000" t="s">
        <v>1937</v>
      </c>
      <c r="G2" s="2001" t="str">
        <f>IF(E2="商业",项目基本情况!B37,IF(E2="办公",项目基本情况!C37,IF(E2="住宅",项目基本情况!D37,IF(E2="工业",项目基本情况!E37,项目基本情况!F37))))</f>
        <v>四级</v>
      </c>
      <c r="H2" s="2000" t="s">
        <v>1938</v>
      </c>
      <c r="I2" s="2001" t="str">
        <f>IF(E2="商业",项目基本情况!B38,IF(E2="办公",项目基本情况!C38,IF(E2="住宅",项目基本情况!D38,IF(E2="工业",项目基本情况!E38,项目基本情况!F38))))</f>
        <v>Ⅳ-23</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25937</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0</v>
      </c>
      <c r="C3" s="1999" t="s">
        <v>1941</v>
      </c>
      <c r="D3" s="2000" t="s">
        <v>1942</v>
      </c>
      <c r="E3" s="3420" t="s">
        <v>2438</v>
      </c>
      <c r="F3" s="2004"/>
      <c r="G3" s="752">
        <f>IF(F3="宗地容积率",'数据-汇总表'!I4,IF(F3="估价对象容积率",'数据-汇总表'!I6,'数据-汇总表'!I7))</f>
        <v>0</v>
      </c>
      <c r="H3" s="170" t="s">
        <v>1943</v>
      </c>
      <c r="I3" s="775">
        <v>4</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20444</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882"/>
      <c r="B4" s="3883"/>
      <c r="C4" s="3883"/>
      <c r="D4" s="3884"/>
      <c r="E4" s="3884"/>
      <c r="F4" s="3884"/>
      <c r="G4" s="3884"/>
      <c r="H4" s="3884"/>
      <c r="I4" s="3884"/>
      <c r="J4" s="3885"/>
      <c r="K4" s="1119"/>
      <c r="L4" s="2003" t="s">
        <v>1946</v>
      </c>
      <c r="M4" s="864">
        <f>SUMPRODUCT((区片价!B55:B86=I2)*(区片价!C3:G3=E2)*(区片价!C55:G86))</f>
        <v>20890</v>
      </c>
      <c r="N4" s="866">
        <f>SUMPRODUCT((因素修正幅度!B55:B86=I2)*(因素修正幅度!C3:G3=E2)*(因素修正幅度!C55:G86))</f>
        <v>0.1</v>
      </c>
      <c r="O4" s="1119"/>
      <c r="P4" s="1119"/>
      <c r="Q4" s="1119"/>
      <c r="R4" s="1212">
        <v>3</v>
      </c>
      <c r="S4" s="3361">
        <f>ROUND(SUMPRODUCT((B106:B110=R4)*(C105:N105=G2)*(C106:N110)),4)</f>
        <v>1.0004999999999999</v>
      </c>
      <c r="T4" s="3361">
        <f t="shared" si="0"/>
        <v>17278</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20890</v>
      </c>
      <c r="D5" s="1339">
        <f>ROUND(C6*C17+C20,0)</f>
        <v>20890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15239</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20890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14645</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3238</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四级</v>
      </c>
      <c r="Y7" s="1214" t="s">
        <v>1956</v>
      </c>
      <c r="Z7" s="1215">
        <f>G3</f>
        <v>0</v>
      </c>
      <c r="AA7" s="1216"/>
      <c r="AB7" s="1216"/>
      <c r="AC7" s="1217"/>
      <c r="AD7" s="1218"/>
      <c r="AE7" s="1218"/>
      <c r="AF7" s="1218"/>
      <c r="AG7" s="1218"/>
      <c r="AH7" s="1218"/>
      <c r="AI7" s="1218"/>
      <c r="AJ7" s="1219"/>
    </row>
    <row r="8" spans="1:36" ht="25.5">
      <c r="A8" s="3299"/>
      <c r="B8" s="170" t="s">
        <v>1957</v>
      </c>
      <c r="C8" s="2026" t="s">
        <v>3392</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879" t="s">
        <v>1960</v>
      </c>
      <c r="X8" s="3880"/>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881"/>
      <c r="X9" s="3362" t="s">
        <v>3269</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881"/>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3239</v>
      </c>
      <c r="B12" s="3305" t="s">
        <v>3240</v>
      </c>
      <c r="C12" s="3306"/>
      <c r="D12" s="3307" t="s">
        <v>3241</v>
      </c>
      <c r="E12" s="3308" t="s">
        <v>3242</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3243</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3244</v>
      </c>
      <c r="G14" s="3312" t="s">
        <v>3244</v>
      </c>
      <c r="H14" s="3312" t="s">
        <v>3244</v>
      </c>
      <c r="I14" s="3312" t="s">
        <v>3244</v>
      </c>
      <c r="J14" s="3312" t="s">
        <v>3244</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3245</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3246</v>
      </c>
      <c r="B17" s="3321" t="s">
        <v>3247</v>
      </c>
      <c r="C17" s="3331">
        <f>ROUND(IF(OR(E2="工业",E2="公共服务"),1,IF(AND(E18=0,E19=0),1,IF(AND(E18=J24,E19=G19),0.8,IF(E19=0,1+E17*(-0.2),1+E17*G17*(-0.2))))),4)</f>
        <v>1</v>
      </c>
      <c r="D17" s="3322" t="s">
        <v>3248</v>
      </c>
      <c r="E17" s="3331">
        <f>ROUND(G18/I18,2)</f>
        <v>0</v>
      </c>
      <c r="F17" s="3322" t="s">
        <v>3251</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3249</v>
      </c>
      <c r="E18" s="3329"/>
      <c r="F18" s="3324" t="s">
        <v>3252</v>
      </c>
      <c r="G18" s="3328">
        <f>ROUND(1-(1/(POWER(1+G24,E18))),4)</f>
        <v>0</v>
      </c>
      <c r="H18" s="3324" t="s">
        <v>3254</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3250</v>
      </c>
      <c r="E19" s="3338"/>
      <c r="F19" s="3339" t="s">
        <v>3253</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886" t="s">
        <v>3255</v>
      </c>
      <c r="B20" s="167" t="s">
        <v>1994</v>
      </c>
      <c r="C20" s="3325">
        <f>ROUND(IF(F21="与级别开发程度一致",0,(G21-E21)/C21),0)</f>
        <v>0</v>
      </c>
      <c r="D20" s="3341" t="s">
        <v>1998</v>
      </c>
      <c r="E20" s="3342"/>
      <c r="F20" s="3892" t="s">
        <v>1995</v>
      </c>
      <c r="G20" s="3893"/>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887"/>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3393</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2054" t="s">
        <v>2002</v>
      </c>
      <c r="E23" s="761">
        <v>44197</v>
      </c>
      <c r="F23" s="2054" t="s">
        <v>2003</v>
      </c>
      <c r="G23" s="762">
        <f>'数据-取费表'!B2</f>
        <v>45033</v>
      </c>
      <c r="H23" s="3343" t="s">
        <v>3257</v>
      </c>
      <c r="I23" s="3344" t="str">
        <f>IF(H23="季度增幅（自定义）",SUMIF(N25:N28,E2,O25:O28),"")</f>
        <v/>
      </c>
      <c r="J23" s="3446" t="s">
        <v>3256</v>
      </c>
      <c r="K23" s="1125"/>
      <c r="L23" s="2055" t="s">
        <v>2004</v>
      </c>
      <c r="M23" s="1328">
        <f>ROUND(SUMIF(地价!B2:G2,E2,地价!B16:G16),0)</f>
        <v>350</v>
      </c>
      <c r="N23" s="2056" t="s">
        <v>2005</v>
      </c>
      <c r="O23" s="763">
        <f>ROUNDDOWN(DATEDIF(E23,G23,"M")/3,0)</f>
        <v>9</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0.77239999999999998</v>
      </c>
      <c r="D24" s="2060" t="s">
        <v>2007</v>
      </c>
      <c r="E24" s="1335">
        <f>存贷款利率!E22/100</f>
        <v>4.3499999999999997E-2</v>
      </c>
      <c r="F24" s="2060" t="s">
        <v>1999</v>
      </c>
      <c r="G24" s="768">
        <f>SUMIF(M30:Q30,E2,M33:Q33)</f>
        <v>5.5E-2</v>
      </c>
      <c r="H24" s="2060" t="s">
        <v>2008</v>
      </c>
      <c r="I24" s="769">
        <f>SUMIF('数据-取费表'!C6:C15,E2,'数据-取费表'!F6:F15)/COUNTIF('数据-取费表'!C6:C15,E2)</f>
        <v>21.38</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3394</v>
      </c>
      <c r="C25" s="771">
        <f>IF(B25="容积率修正",IF(G3&lt;10,D26,J26),C27)</f>
        <v>0.88239999999999996</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3258</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3259</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0.88239999999999996</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1.0365</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0</v>
      </c>
      <c r="D30" s="2083"/>
      <c r="E30" s="2046"/>
      <c r="F30" s="2084"/>
      <c r="G30" s="2046"/>
      <c r="H30" s="2046"/>
      <c r="I30" s="2046"/>
      <c r="J30" s="2085"/>
      <c r="K30" s="1119"/>
      <c r="L30" s="3351" t="s">
        <v>1936</v>
      </c>
      <c r="M30" s="3352" t="s">
        <v>1990</v>
      </c>
      <c r="N30" s="3352" t="s">
        <v>1991</v>
      </c>
      <c r="O30" s="3352" t="s">
        <v>1992</v>
      </c>
      <c r="P30" s="3352" t="s">
        <v>1993</v>
      </c>
      <c r="Q30" s="3355" t="s">
        <v>3263</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15239</v>
      </c>
      <c r="D33" s="2098">
        <f>面积明细表!H3</f>
        <v>9265.11</v>
      </c>
      <c r="E33" s="773">
        <f>ROUND(C33*D33/10000,0)</f>
        <v>14119</v>
      </c>
      <c r="F33" s="3346" t="s">
        <v>3261</v>
      </c>
      <c r="G33" s="2099"/>
      <c r="H33" s="2099"/>
      <c r="I33" s="2099"/>
      <c r="J33" s="2100"/>
      <c r="K33" s="1119"/>
      <c r="L33" s="3349" t="s">
        <v>3264</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3265</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3262</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3266</v>
      </c>
      <c r="L36" s="3447">
        <f ca="1">'数据-取费表'!B40</f>
        <v>4.3499999999999997E-2</v>
      </c>
      <c r="M36" s="3358">
        <f ca="1">ROUND($L$36*(1+M31),3)</f>
        <v>5.3999999999999999E-2</v>
      </c>
      <c r="N36" s="3358">
        <f ca="1">ROUND($L$36*(1+N31),3)</f>
        <v>5.1999999999999998E-2</v>
      </c>
      <c r="O36" s="3358">
        <f ca="1">ROUND($L$36*(1+O31),3)</f>
        <v>0.05</v>
      </c>
      <c r="P36" s="3358">
        <f ca="1">ROUND($L$36*(1+P31),3)</f>
        <v>4.8000000000000001E-2</v>
      </c>
      <c r="Q36" s="3358">
        <f ca="1">ROUND($L$36*(1+Q31),3)</f>
        <v>0.05</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890"/>
      <c r="B37" s="2113" t="s">
        <v>2036</v>
      </c>
      <c r="C37" s="175">
        <f>ROUND(D5*C22*C23*C24*C28*F37,0)</f>
        <v>10362</v>
      </c>
      <c r="D37" s="2098"/>
      <c r="E37" s="171">
        <f>ROUND(C37*D37/10000,0)</f>
        <v>0</v>
      </c>
      <c r="F37" s="171">
        <f>SUMIF(修正!A57:A68,G2,修正!B57:B68)</f>
        <v>0.6</v>
      </c>
      <c r="G37" s="171">
        <f>ROUND(IF(E2="工业",C37*$M$42,C37*$M$41),0)</f>
        <v>2591</v>
      </c>
      <c r="H37" s="171">
        <f>D37</f>
        <v>0</v>
      </c>
      <c r="I37" s="171">
        <f>ROUND(G37*H37/10000,0)</f>
        <v>0</v>
      </c>
      <c r="J37" s="3012"/>
      <c r="K37" s="3359" t="s">
        <v>3267</v>
      </c>
      <c r="L37" s="3357">
        <f ca="1">L36+K38</f>
        <v>4.8499999999999995E-2</v>
      </c>
      <c r="M37" s="3358">
        <f ca="1">ROUND($L$37*(1+M31),3)</f>
        <v>6.0999999999999999E-2</v>
      </c>
      <c r="N37" s="3358">
        <f t="shared" ref="N37:Q37" ca="1" si="3">ROUND($L$37*(1+N31),3)</f>
        <v>5.8000000000000003E-2</v>
      </c>
      <c r="O37" s="3358">
        <f t="shared" ca="1" si="3"/>
        <v>5.6000000000000001E-2</v>
      </c>
      <c r="P37" s="3358">
        <f t="shared" ca="1" si="3"/>
        <v>5.2999999999999999E-2</v>
      </c>
      <c r="Q37" s="3358">
        <f t="shared" ca="1" si="3"/>
        <v>5.6000000000000001E-2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891"/>
      <c r="B38" s="2041" t="s">
        <v>2037</v>
      </c>
      <c r="C38" s="175">
        <f>ROUND(D5*C22*C23*C24*C28*F38,0)</f>
        <v>5181</v>
      </c>
      <c r="D38" s="2098"/>
      <c r="E38" s="171">
        <f t="shared" ref="E38:E42" si="4">ROUND(C38*D38/10000,0)</f>
        <v>0</v>
      </c>
      <c r="F38" s="171">
        <f>SUMIF(修正!A57:A68,G2,修正!C57:C68)</f>
        <v>0.3</v>
      </c>
      <c r="G38" s="171">
        <f>ROUND(IF(E2="工业",C38*$M$42,C38*$M$41),0)</f>
        <v>1295</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891"/>
      <c r="B39" s="2041" t="s">
        <v>3260</v>
      </c>
      <c r="C39" s="175">
        <f>ROUND(D5*C22*C23*C24*C28*F39,0)</f>
        <v>4317</v>
      </c>
      <c r="D39" s="2098"/>
      <c r="E39" s="171">
        <f t="shared" si="4"/>
        <v>0</v>
      </c>
      <c r="F39" s="171">
        <f>SUMIF(修正!A57:A68,G2,修正!D57:D68)</f>
        <v>0.25</v>
      </c>
      <c r="G39" s="171">
        <f>ROUND(IF(E2="工业",C39*$M$42,C39*$M$41),0)</f>
        <v>1079</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4317</v>
      </c>
      <c r="D40" s="2098"/>
      <c r="E40" s="171">
        <f t="shared" si="4"/>
        <v>0</v>
      </c>
      <c r="F40" s="175">
        <f>SUMIF(修正!A57:A68,G2,修正!E57:E68)</f>
        <v>0.25</v>
      </c>
      <c r="G40" s="171">
        <f>ROUND(IF(E2="工业",C40*$M$42,C40*$M$41),0)</f>
        <v>1079</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3268</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2120</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1.0365</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3529</v>
      </c>
      <c r="D50" s="1065">
        <f t="shared" ref="D50:D58" si="7">SUMIF($J$49:$N$49,C50,J50:N50)</f>
        <v>0</v>
      </c>
      <c r="E50" s="744">
        <f>ROUND(SUM(D50:D58),4)</f>
        <v>3.6499999999999998E-2</v>
      </c>
      <c r="F50" s="1814">
        <f>IF(E2="商业",SUMIF(L1:L12,G2,N1:N12),"——")</f>
        <v>0.1</v>
      </c>
      <c r="G50" s="1063">
        <v>1.4999999999999999E-2</v>
      </c>
      <c r="H50" s="1066">
        <f t="shared" ref="H50:H58" si="8">IFERROR(ROUNDDOWN($F$50*I50/2,4),"——")</f>
        <v>1.4999999999999999E-2</v>
      </c>
      <c r="I50" s="3367">
        <v>0.3</v>
      </c>
      <c r="J50" s="1064">
        <f t="shared" ref="J50:J58" si="9">K50+$G50</f>
        <v>0.03</v>
      </c>
      <c r="K50" s="1064">
        <f t="shared" ref="K50:K58" si="10">$L50+$G50</f>
        <v>1.4999999999999999E-2</v>
      </c>
      <c r="L50" s="1064">
        <v>0</v>
      </c>
      <c r="M50" s="1064">
        <f t="shared" ref="M50:N58" si="11">L50-$G50</f>
        <v>-1.4999999999999999E-2</v>
      </c>
      <c r="N50" s="1064">
        <f t="shared" si="11"/>
        <v>-0.03</v>
      </c>
      <c r="AA50" s="1120"/>
      <c r="AB50" s="1120"/>
      <c r="AC50" s="1120"/>
      <c r="AD50" s="1120"/>
      <c r="AE50" s="1120"/>
      <c r="AF50" s="1120"/>
      <c r="AG50" s="1120"/>
      <c r="AH50" s="1120"/>
      <c r="AI50" s="1120"/>
      <c r="AJ50" s="1120"/>
      <c r="AK50" s="1120"/>
    </row>
    <row r="51" spans="1:37" s="1119" customFormat="1" ht="76.5">
      <c r="A51" s="2130" t="s">
        <v>2053</v>
      </c>
      <c r="B51" s="2134" t="str">
        <f>估价对象房地状况!C18</f>
        <v>估价对象周边有132路、404路、421路、451路、593路等多条公交线路，距离地铁14号线阜通站约200米，周边道路网线较密集，通达度较好。综合评价交通便捷度较好。</v>
      </c>
      <c r="C51" s="2044" t="s">
        <v>3527</v>
      </c>
      <c r="D51" s="1065">
        <f t="shared" si="7"/>
        <v>1.0999999999999999E-2</v>
      </c>
      <c r="E51" s="745"/>
      <c r="F51" s="1814"/>
      <c r="G51" s="1063">
        <v>1.0999999999999999E-2</v>
      </c>
      <c r="H51" s="1066">
        <f t="shared" si="8"/>
        <v>1.0999999999999999E-2</v>
      </c>
      <c r="I51" s="3367">
        <v>0.22</v>
      </c>
      <c r="J51" s="1064">
        <f t="shared" si="9"/>
        <v>2.1999999999999999E-2</v>
      </c>
      <c r="K51" s="1064">
        <f t="shared" si="10"/>
        <v>1.0999999999999999E-2</v>
      </c>
      <c r="L51" s="1064">
        <v>0</v>
      </c>
      <c r="M51" s="1064">
        <f t="shared" si="11"/>
        <v>-1.0999999999999999E-2</v>
      </c>
      <c r="N51" s="1064">
        <f t="shared" si="11"/>
        <v>-2.1999999999999999E-2</v>
      </c>
      <c r="AA51" s="1120"/>
      <c r="AB51" s="1120"/>
      <c r="AC51" s="1120"/>
      <c r="AD51" s="1120"/>
      <c r="AE51" s="1120"/>
      <c r="AF51" s="1120"/>
      <c r="AG51" s="1120"/>
      <c r="AH51" s="1120"/>
      <c r="AI51" s="1120"/>
      <c r="AJ51" s="1120"/>
      <c r="AK51" s="1120"/>
    </row>
    <row r="52" spans="1:37" s="1119" customFormat="1" ht="36">
      <c r="A52" s="3369" t="s">
        <v>3270</v>
      </c>
      <c r="B52" s="2134">
        <f>估价对象房地状况!C19</f>
        <v>0</v>
      </c>
      <c r="C52" s="2044" t="s">
        <v>3527</v>
      </c>
      <c r="D52" s="1065">
        <f t="shared" si="7"/>
        <v>6.0000000000000001E-3</v>
      </c>
      <c r="E52" s="745"/>
      <c r="F52" s="1814"/>
      <c r="G52" s="1063">
        <v>6.0000000000000001E-3</v>
      </c>
      <c r="H52" s="1066">
        <f t="shared" si="8"/>
        <v>6.0000000000000001E-3</v>
      </c>
      <c r="I52" s="3367">
        <v>0.12</v>
      </c>
      <c r="J52" s="1064">
        <f t="shared" si="9"/>
        <v>1.2E-2</v>
      </c>
      <c r="K52" s="1064">
        <f t="shared" si="10"/>
        <v>6.0000000000000001E-3</v>
      </c>
      <c r="L52" s="1064">
        <v>0</v>
      </c>
      <c r="M52" s="1064">
        <f t="shared" si="11"/>
        <v>-6.0000000000000001E-3</v>
      </c>
      <c r="N52" s="1064">
        <f t="shared" si="11"/>
        <v>-1.2E-2</v>
      </c>
      <c r="AA52" s="1120"/>
      <c r="AB52" s="1120"/>
      <c r="AC52" s="1120"/>
      <c r="AD52" s="1120"/>
      <c r="AE52" s="1120"/>
      <c r="AF52" s="1120"/>
      <c r="AG52" s="1120"/>
      <c r="AH52" s="1120"/>
      <c r="AI52" s="1120"/>
      <c r="AJ52" s="1120"/>
      <c r="AK52" s="1120"/>
    </row>
    <row r="53" spans="1:37" s="1119" customFormat="1" ht="36.75">
      <c r="A53" s="2130" t="s">
        <v>2054</v>
      </c>
      <c r="B53" s="2135" t="s">
        <v>2055</v>
      </c>
      <c r="C53" s="2044" t="s">
        <v>3527</v>
      </c>
      <c r="D53" s="1065">
        <f t="shared" si="7"/>
        <v>2.5000000000000001E-3</v>
      </c>
      <c r="E53" s="745"/>
      <c r="F53" s="1814"/>
      <c r="G53" s="1063">
        <v>2.5000000000000001E-3</v>
      </c>
      <c r="H53" s="1066">
        <f t="shared" si="8"/>
        <v>2.5000000000000001E-3</v>
      </c>
      <c r="I53" s="3367">
        <v>0.05</v>
      </c>
      <c r="J53" s="1064">
        <f t="shared" si="9"/>
        <v>5.0000000000000001E-3</v>
      </c>
      <c r="K53" s="1064">
        <f t="shared" si="10"/>
        <v>2.5000000000000001E-3</v>
      </c>
      <c r="L53" s="1064">
        <v>0</v>
      </c>
      <c r="M53" s="1064">
        <f t="shared" si="11"/>
        <v>-2.5000000000000001E-3</v>
      </c>
      <c r="N53" s="1064">
        <f t="shared" si="11"/>
        <v>-5.0000000000000001E-3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3527</v>
      </c>
      <c r="D54" s="1065">
        <f t="shared" si="7"/>
        <v>4.0000000000000001E-3</v>
      </c>
      <c r="E54" s="745"/>
      <c r="F54" s="1814"/>
      <c r="G54" s="1063">
        <v>4.0000000000000001E-3</v>
      </c>
      <c r="H54" s="1066">
        <f t="shared" si="8"/>
        <v>4.0000000000000001E-3</v>
      </c>
      <c r="I54" s="3367">
        <v>0.08</v>
      </c>
      <c r="J54" s="1064">
        <f t="shared" si="9"/>
        <v>8.0000000000000002E-3</v>
      </c>
      <c r="K54" s="1064">
        <f t="shared" si="10"/>
        <v>4.0000000000000001E-3</v>
      </c>
      <c r="L54" s="1064">
        <v>0</v>
      </c>
      <c r="M54" s="1064">
        <f t="shared" si="11"/>
        <v>-4.0000000000000001E-3</v>
      </c>
      <c r="N54" s="1064">
        <f t="shared" si="11"/>
        <v>-8.0000000000000002E-3</v>
      </c>
      <c r="AA54" s="1120"/>
      <c r="AB54" s="1120"/>
      <c r="AC54" s="1120"/>
      <c r="AD54" s="1120"/>
      <c r="AE54" s="1120"/>
      <c r="AF54" s="1120"/>
      <c r="AG54" s="1120"/>
      <c r="AH54" s="1120"/>
      <c r="AI54" s="1120"/>
      <c r="AJ54" s="1120"/>
      <c r="AK54" s="1120"/>
    </row>
    <row r="55" spans="1:37" s="1119" customFormat="1" ht="24">
      <c r="A55" s="2130" t="s">
        <v>2057</v>
      </c>
      <c r="B55" s="2136" t="s">
        <v>2058</v>
      </c>
      <c r="C55" s="2044" t="s">
        <v>3527</v>
      </c>
      <c r="D55" s="1065">
        <f t="shared" si="7"/>
        <v>2.5000000000000001E-3</v>
      </c>
      <c r="E55" s="745"/>
      <c r="F55" s="1814"/>
      <c r="G55" s="1063">
        <v>2.5000000000000001E-3</v>
      </c>
      <c r="H55" s="1066">
        <f t="shared" si="8"/>
        <v>2.5000000000000001E-3</v>
      </c>
      <c r="I55" s="3367">
        <v>0.05</v>
      </c>
      <c r="J55" s="1064">
        <f t="shared" si="9"/>
        <v>5.0000000000000001E-3</v>
      </c>
      <c r="K55" s="1064">
        <f t="shared" si="10"/>
        <v>2.5000000000000001E-3</v>
      </c>
      <c r="L55" s="1064">
        <v>0</v>
      </c>
      <c r="M55" s="1064">
        <f t="shared" si="11"/>
        <v>-2.5000000000000001E-3</v>
      </c>
      <c r="N55" s="1064">
        <f t="shared" si="11"/>
        <v>-5.0000000000000001E-3</v>
      </c>
      <c r="AA55" s="1120"/>
      <c r="AB55" s="1120"/>
      <c r="AC55" s="1120"/>
      <c r="AD55" s="1120"/>
      <c r="AE55" s="1120"/>
      <c r="AF55" s="1120"/>
      <c r="AG55" s="1120"/>
      <c r="AH55" s="1120"/>
      <c r="AI55" s="1120"/>
      <c r="AJ55" s="1120"/>
      <c r="AK55" s="1120"/>
    </row>
    <row r="56" spans="1:37" s="1119" customFormat="1" ht="178.5">
      <c r="A56" s="2137" t="s">
        <v>2059</v>
      </c>
      <c r="B56" s="1326" t="str">
        <f>估价对象房地状况!C21</f>
        <v>周边1公里内的公共服务配套设施较齐备，有购物场所（凯德MALL、新世界百货、物美大卖场、京客隆等）、医院（中国中医科学院望京医院、北京明德医院、南湖东园社区卫生服务站等）、银行（中国光大银行、广发银行、友利银行等）、学校（中央美术学院、首师大附属实验学校（南校区）、陈经伦中学分校（南湖东园校区）、南湖中园小学、望京新城幼儿园等）等公共服务配套设施。</v>
      </c>
      <c r="C56" s="2044" t="s">
        <v>3527</v>
      </c>
      <c r="D56" s="1065">
        <f t="shared" si="7"/>
        <v>2.5000000000000001E-3</v>
      </c>
      <c r="E56" s="745"/>
      <c r="F56" s="1814"/>
      <c r="G56" s="1063">
        <v>2.5000000000000001E-3</v>
      </c>
      <c r="H56" s="1066">
        <f t="shared" si="8"/>
        <v>2.5000000000000001E-3</v>
      </c>
      <c r="I56" s="3367">
        <v>0.05</v>
      </c>
      <c r="J56" s="1064">
        <f t="shared" si="9"/>
        <v>5.0000000000000001E-3</v>
      </c>
      <c r="K56" s="1064">
        <f t="shared" si="10"/>
        <v>2.5000000000000001E-3</v>
      </c>
      <c r="L56" s="1064">
        <v>0</v>
      </c>
      <c r="M56" s="1064">
        <f t="shared" si="11"/>
        <v>-2.5000000000000001E-3</v>
      </c>
      <c r="N56" s="1064">
        <f t="shared" si="11"/>
        <v>-5.0000000000000001E-3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3531</v>
      </c>
      <c r="D57" s="1065">
        <f t="shared" si="7"/>
        <v>8.0000000000000002E-3</v>
      </c>
      <c r="E57" s="745"/>
      <c r="F57" s="1814"/>
      <c r="G57" s="1063">
        <v>4.0000000000000001E-3</v>
      </c>
      <c r="H57" s="1066">
        <f t="shared" si="8"/>
        <v>4.0000000000000001E-3</v>
      </c>
      <c r="I57" s="3367">
        <v>0.08</v>
      </c>
      <c r="J57" s="1064">
        <f t="shared" si="9"/>
        <v>8.0000000000000002E-3</v>
      </c>
      <c r="K57" s="1064">
        <f t="shared" si="10"/>
        <v>4.0000000000000001E-3</v>
      </c>
      <c r="L57" s="1064">
        <v>0</v>
      </c>
      <c r="M57" s="1064">
        <f t="shared" si="11"/>
        <v>-4.0000000000000001E-3</v>
      </c>
      <c r="N57" s="1064">
        <f t="shared" si="11"/>
        <v>-8.0000000000000002E-3</v>
      </c>
      <c r="AA57" s="1120"/>
      <c r="AB57" s="1120"/>
      <c r="AC57" s="1120"/>
      <c r="AD57" s="1120"/>
      <c r="AE57" s="1120"/>
      <c r="AF57" s="1120"/>
      <c r="AG57" s="1120"/>
      <c r="AH57" s="1120"/>
      <c r="AI57" s="1120"/>
      <c r="AJ57" s="1120"/>
      <c r="AK57" s="1120"/>
    </row>
    <row r="58" spans="1:37" s="1119" customFormat="1" ht="51.75" thickBot="1">
      <c r="A58" s="2138" t="s">
        <v>2061</v>
      </c>
      <c r="B58" s="2139" t="str">
        <f>估价对象房地状况!C20</f>
        <v>估价对象周边有望京文化体育公园、望京文化广场等自然人文场所，综合评价环境状况一般。</v>
      </c>
      <c r="C58" s="2044" t="s">
        <v>3529</v>
      </c>
      <c r="D58" s="1065">
        <f t="shared" si="7"/>
        <v>0</v>
      </c>
      <c r="E58" s="746"/>
      <c r="F58" s="1814"/>
      <c r="G58" s="1063">
        <v>2.5000000000000001E-3</v>
      </c>
      <c r="H58" s="1066">
        <f t="shared" si="8"/>
        <v>2.5000000000000001E-3</v>
      </c>
      <c r="I58" s="3368">
        <v>0.05</v>
      </c>
      <c r="J58" s="1064">
        <f t="shared" si="9"/>
        <v>5.0000000000000001E-3</v>
      </c>
      <c r="K58" s="1064">
        <f t="shared" si="10"/>
        <v>2.5000000000000001E-3</v>
      </c>
      <c r="L58" s="1064">
        <v>0</v>
      </c>
      <c r="M58" s="1064">
        <f t="shared" si="11"/>
        <v>-2.5000000000000001E-3</v>
      </c>
      <c r="N58" s="1064">
        <f t="shared" si="11"/>
        <v>-5.0000000000000001E-3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51">
      <c r="A61" s="2130" t="s">
        <v>2064</v>
      </c>
      <c r="B61" s="2133" t="str">
        <f>估价对象房地状况!C17</f>
        <v>估价对象位于望京商圈，周边有利星行、悠乐汇等办公项目，入驻率高，办公集聚程度较好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76.5">
      <c r="A62" s="2130" t="s">
        <v>2053</v>
      </c>
      <c r="B62" s="2134" t="str">
        <f>估价对象房地状况!C18</f>
        <v>估价对象周边有132路、404路、421路、451路、593路等多条公交线路，距离地铁14号线阜通站约200米，周边道路网线较密集，通达度较好。综合评价交通便捷度较好。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3270</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178.5">
      <c r="A67" s="2130" t="s">
        <v>2059</v>
      </c>
      <c r="B67" s="1326" t="str">
        <f>估价对象房地状况!C21</f>
        <v>周边1公里内的公共服务配套设施较齐备，有购物场所（凯德MALL、新世界百货、物美大卖场、京客隆等）、医院（中国中医科学院望京医院、北京明德医院、南湖东园社区卫生服务站等）、银行（中国光大银行、广发银行、友利银行等）、学校（中央美术学院、首师大附属实验学校（南校区）、陈经伦中学分校（南湖东园校区）、南湖中园小学、望京新城幼儿园等）等公共服务配套设施。</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51.75" thickBot="1">
      <c r="A69" s="2138" t="s">
        <v>2061</v>
      </c>
      <c r="B69" s="2140" t="str">
        <f>估价对象房地状况!C20</f>
        <v>估价对象周边有望京文化体育公园、望京文化广场等自然人文场所，综合评价环境状况一般。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76.5">
      <c r="A73" s="2130" t="s">
        <v>2053</v>
      </c>
      <c r="B73" s="2134" t="str">
        <f>估价对象房地状况!C18</f>
        <v>估价对象周边有132路、404路、421路、451路、593路等多条公交线路，距离地铁14号线阜通站约200米，周边道路网线较密集，通达度较好。综合评价交通便捷度较好。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3270</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178.5">
      <c r="A76" s="2130" t="s">
        <v>2059</v>
      </c>
      <c r="B76" s="1326" t="str">
        <f>估价对象房地状况!C21</f>
        <v>周边1公里内的公共服务配套设施较齐备，有购物场所（凯德MALL、新世界百货、物美大卖场、京客隆等）、医院（中国中医科学院望京医院、北京明德医院、南湖东园社区卫生服务站等）、银行（中国光大银行、广发银行、友利银行等）、学校（中央美术学院、首师大附属实验学校（南校区）、陈经伦中学分校（南湖东园校区）、南湖中园小学、望京新城幼儿园等）等公共服务配套设施。</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51">
      <c r="A79" s="2130" t="s">
        <v>2061</v>
      </c>
      <c r="B79" s="2133" t="str">
        <f>估价对象房地状况!C20</f>
        <v>估价对象周边有望京文化体育公园、望京文化广场等自然人文场所，综合评价环境状况一般。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3271</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2611</v>
      </c>
      <c r="B91" s="3378">
        <f>1+E93</f>
        <v>1</v>
      </c>
      <c r="C91" s="3371"/>
      <c r="D91" s="3372"/>
      <c r="E91" s="1814"/>
      <c r="F91" s="1814"/>
      <c r="G91" s="3373"/>
      <c r="H91" s="3374"/>
      <c r="I91" s="3375"/>
      <c r="J91" s="3376"/>
      <c r="K91" s="3376"/>
      <c r="L91" s="3376"/>
      <c r="M91" s="3376"/>
      <c r="N91" s="3376"/>
    </row>
    <row r="92" spans="1:37" ht="24.75">
      <c r="A92" s="3379" t="s">
        <v>3272</v>
      </c>
      <c r="B92" s="3366"/>
      <c r="C92" s="3366" t="s">
        <v>3281</v>
      </c>
      <c r="D92" s="3366" t="s">
        <v>3282</v>
      </c>
      <c r="E92" s="3348" t="s">
        <v>3283</v>
      </c>
      <c r="F92" s="3381" t="s">
        <v>3284</v>
      </c>
      <c r="G92" s="3366" t="s">
        <v>3285</v>
      </c>
      <c r="H92" s="3388" t="s">
        <v>3288</v>
      </c>
      <c r="I92" s="3366" t="s">
        <v>3289</v>
      </c>
      <c r="J92" s="3389" t="s">
        <v>3290</v>
      </c>
      <c r="K92" s="3389" t="s">
        <v>3291</v>
      </c>
      <c r="L92" s="3389" t="s">
        <v>3292</v>
      </c>
      <c r="M92" s="3389" t="s">
        <v>3293</v>
      </c>
      <c r="N92" s="3389" t="s">
        <v>3294</v>
      </c>
    </row>
    <row r="93" spans="1:37" ht="24">
      <c r="A93" s="3369" t="s">
        <v>3273</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76.5">
      <c r="A94" s="3379" t="s">
        <v>3274</v>
      </c>
      <c r="B94" s="3370" t="str">
        <f>估价对象房地状况!C18</f>
        <v>估价对象周边有132路、404路、421路、451路、593路等多条公交线路，距离地铁14号线阜通站约200米，周边道路网线较密集，通达度较好。综合评价交通便捷度较好。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3270</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3275</v>
      </c>
      <c r="B96" s="3385" t="s">
        <v>3286</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3276</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3277</v>
      </c>
      <c r="B98" s="3386" t="s">
        <v>3287</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178.5">
      <c r="A99" s="3379" t="s">
        <v>3278</v>
      </c>
      <c r="B99" s="3370" t="str">
        <f>估价对象房地状况!C21</f>
        <v>周边1公里内的公共服务配套设施较齐备，有购物场所（凯德MALL、新世界百货、物美大卖场、京客隆等）、医院（中国中医科学院望京医院、北京明德医院、南湖东园社区卫生服务站等）、银行（中国光大银行、广发银行、友利银行等）、学校（中央美术学院、首师大附属实验学校（南校区）、陈经伦中学分校（南湖东园校区）、南湖中园小学、望京新城幼儿园等）等公共服务配套设施。</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3279</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51.75" thickBot="1">
      <c r="A101" s="3380" t="s">
        <v>3280</v>
      </c>
      <c r="B101" s="3387" t="str">
        <f>估价对象房地状况!C20</f>
        <v>估价对象周边有望京文化体育公园、望京文化广场等自然人文场所，综合评价环境状况一般。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888" t="s">
        <v>3295</v>
      </c>
      <c r="B103" s="3888"/>
      <c r="C103" s="3888"/>
      <c r="D103" s="3888"/>
      <c r="E103" s="3888"/>
      <c r="F103" s="3888"/>
      <c r="G103" s="3888"/>
      <c r="H103" s="3888"/>
      <c r="I103" s="3888"/>
      <c r="J103" s="3888"/>
      <c r="K103" s="3390"/>
      <c r="L103" s="3390"/>
      <c r="M103" s="3390"/>
      <c r="N103" s="3390"/>
    </row>
    <row r="104" spans="1:14">
      <c r="A104" s="3889" t="s">
        <v>3296</v>
      </c>
      <c r="B104" s="3889" t="s">
        <v>3297</v>
      </c>
      <c r="C104" s="3391" t="s">
        <v>3298</v>
      </c>
      <c r="D104" s="3392"/>
      <c r="E104" s="3392"/>
      <c r="F104" s="3392"/>
      <c r="G104" s="3392"/>
      <c r="H104" s="3392"/>
      <c r="I104" s="3392"/>
      <c r="J104" s="3393"/>
      <c r="K104" s="3394"/>
      <c r="L104" s="3394"/>
      <c r="M104" s="3394"/>
      <c r="N104" s="3394"/>
    </row>
    <row r="105" spans="1:14">
      <c r="A105" s="3889"/>
      <c r="B105" s="3889"/>
      <c r="C105" s="3395" t="s">
        <v>3299</v>
      </c>
      <c r="D105" s="3395" t="s">
        <v>3300</v>
      </c>
      <c r="E105" s="3395" t="s">
        <v>3301</v>
      </c>
      <c r="F105" s="3395" t="s">
        <v>3302</v>
      </c>
      <c r="G105" s="3395" t="s">
        <v>3303</v>
      </c>
      <c r="H105" s="3395" t="s">
        <v>3304</v>
      </c>
      <c r="I105" s="3395" t="s">
        <v>3305</v>
      </c>
      <c r="J105" s="3395" t="s">
        <v>3306</v>
      </c>
      <c r="K105" s="3395" t="s">
        <v>3307</v>
      </c>
      <c r="L105" s="3395" t="s">
        <v>3308</v>
      </c>
      <c r="M105" s="3395" t="s">
        <v>3309</v>
      </c>
      <c r="N105" s="3395" t="s">
        <v>3310</v>
      </c>
    </row>
    <row r="106" spans="1:14">
      <c r="A106" s="3875" t="s">
        <v>3311</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876"/>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876"/>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876"/>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876"/>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876"/>
      <c r="B111" s="3395" t="s">
        <v>3269</v>
      </c>
      <c r="C111" s="3396">
        <f>$I$3</f>
        <v>4</v>
      </c>
      <c r="D111" s="3396">
        <f t="shared" ref="D111:M111" si="32">$I$3</f>
        <v>4</v>
      </c>
      <c r="E111" s="3396">
        <f t="shared" si="32"/>
        <v>4</v>
      </c>
      <c r="F111" s="3396">
        <f t="shared" si="32"/>
        <v>4</v>
      </c>
      <c r="G111" s="3396">
        <f t="shared" si="32"/>
        <v>4</v>
      </c>
      <c r="H111" s="3396">
        <f t="shared" si="32"/>
        <v>4</v>
      </c>
      <c r="I111" s="3396">
        <f t="shared" si="32"/>
        <v>4</v>
      </c>
      <c r="J111" s="3396">
        <f t="shared" si="32"/>
        <v>4</v>
      </c>
      <c r="K111" s="3396">
        <f t="shared" si="32"/>
        <v>4</v>
      </c>
      <c r="L111" s="3396">
        <f t="shared" si="32"/>
        <v>4</v>
      </c>
      <c r="M111" s="3396">
        <f t="shared" si="32"/>
        <v>4</v>
      </c>
      <c r="N111" s="3396">
        <f>$I$3</f>
        <v>4</v>
      </c>
    </row>
    <row r="112" spans="1:14">
      <c r="A112" s="3877"/>
      <c r="B112" s="3395">
        <v>6</v>
      </c>
      <c r="C112" s="3388">
        <f>(-0.5556*(C111^2)-0.2719*C111+8944)*(10^(-4))</f>
        <v>0.8934022800000001</v>
      </c>
      <c r="D112" s="3388">
        <f>(-0.5556*(D111^2)-0.2719*D111+8944)*(10^(-4))</f>
        <v>0.8934022800000001</v>
      </c>
      <c r="E112" s="3388">
        <f>(-0.7912*(E111^2)-11.3794*E111+8482)*(10^(-4))</f>
        <v>0.84238232000000013</v>
      </c>
      <c r="F112" s="3388">
        <f t="shared" ref="F112:I112" si="33">(-0.7912*(F111^2)-11.3794*F111+8482)*(10^(-4))</f>
        <v>0.84238232000000013</v>
      </c>
      <c r="G112" s="3388">
        <f t="shared" si="33"/>
        <v>0.84238232000000013</v>
      </c>
      <c r="H112" s="3388">
        <f t="shared" si="33"/>
        <v>0.84238232000000013</v>
      </c>
      <c r="I112" s="3388">
        <f t="shared" si="33"/>
        <v>0.84238232000000013</v>
      </c>
      <c r="J112" s="3388">
        <f>(-0.989*(J111^2)-63.78*J111+7771)*(10^(-4))</f>
        <v>0.75000559999999994</v>
      </c>
      <c r="K112" s="3388">
        <f t="shared" ref="K112:N112" si="34">(-0.989*(K111^2)-63.78*K111+7771)*(10^(-4))</f>
        <v>0.75000559999999994</v>
      </c>
      <c r="L112" s="3388">
        <f t="shared" si="34"/>
        <v>0.75000559999999994</v>
      </c>
      <c r="M112" s="3388">
        <f t="shared" si="34"/>
        <v>0.75000559999999994</v>
      </c>
      <c r="N112" s="3388">
        <f t="shared" si="34"/>
        <v>0.75000559999999994</v>
      </c>
    </row>
    <row r="113" spans="1:14">
      <c r="A113" s="3878" t="s">
        <v>3312</v>
      </c>
      <c r="B113" s="3878"/>
      <c r="C113" s="3878"/>
      <c r="D113" s="3878"/>
      <c r="E113" s="3878"/>
      <c r="F113" s="3878"/>
      <c r="G113" s="3878"/>
      <c r="H113" s="3878"/>
      <c r="I113" s="3878"/>
      <c r="J113" s="3878"/>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3313</v>
      </c>
      <c r="B116" s="3416">
        <f>G3</f>
        <v>0</v>
      </c>
      <c r="C116" s="3400" t="s">
        <v>3314</v>
      </c>
      <c r="D116" s="3401">
        <f>SUMPRODUCT((A118:A122=F116)*(B117:M117=H116)*B118:M122)</f>
        <v>0.94899999999999995</v>
      </c>
      <c r="E116" s="2000" t="s">
        <v>3315</v>
      </c>
      <c r="F116" s="3402" t="str">
        <f>E2</f>
        <v>商业</v>
      </c>
      <c r="G116" s="2000" t="s">
        <v>3316</v>
      </c>
      <c r="H116" s="3402" t="str">
        <f>G2</f>
        <v>四级</v>
      </c>
      <c r="I116" s="2000"/>
      <c r="J116" s="3403"/>
      <c r="K116" s="3403"/>
      <c r="L116" s="3403"/>
      <c r="M116" s="3403"/>
      <c r="N116" s="3398"/>
    </row>
    <row r="117" spans="1:14">
      <c r="A117" s="3404"/>
      <c r="B117" s="3405" t="s">
        <v>3317</v>
      </c>
      <c r="C117" s="3405" t="s">
        <v>3318</v>
      </c>
      <c r="D117" s="3405" t="s">
        <v>3319</v>
      </c>
      <c r="E117" s="3406" t="s">
        <v>3320</v>
      </c>
      <c r="F117" s="3406" t="s">
        <v>3321</v>
      </c>
      <c r="G117" s="3406" t="s">
        <v>3322</v>
      </c>
      <c r="H117" s="3407" t="s">
        <v>3323</v>
      </c>
      <c r="I117" s="3407" t="s">
        <v>3324</v>
      </c>
      <c r="J117" s="3408" t="s">
        <v>3325</v>
      </c>
      <c r="K117" s="3408" t="s">
        <v>3326</v>
      </c>
      <c r="L117" s="3408" t="s">
        <v>3327</v>
      </c>
      <c r="M117" s="3409" t="s">
        <v>3328</v>
      </c>
      <c r="N117" s="3398"/>
    </row>
    <row r="118" spans="1:14">
      <c r="A118" s="3410" t="s">
        <v>3329</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3330</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3331</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3332</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2611</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2593</v>
      </c>
      <c r="B1" s="3072" t="s">
        <v>2594</v>
      </c>
      <c r="C1" s="3072" t="s">
        <v>2595</v>
      </c>
      <c r="D1" s="3072" t="s">
        <v>2596</v>
      </c>
      <c r="E1" s="3072" t="s">
        <v>2597</v>
      </c>
      <c r="F1" s="3072" t="s">
        <v>2598</v>
      </c>
      <c r="G1" s="3072" t="s">
        <v>2599</v>
      </c>
      <c r="H1" s="3072" t="s">
        <v>2600</v>
      </c>
      <c r="I1" s="3072" t="s">
        <v>2601</v>
      </c>
      <c r="J1" s="3072" t="s">
        <v>2602</v>
      </c>
      <c r="K1" s="3072" t="s">
        <v>2603</v>
      </c>
      <c r="L1" s="3072" t="s">
        <v>2604</v>
      </c>
      <c r="M1" s="3073" t="s">
        <v>2605</v>
      </c>
    </row>
    <row r="2" spans="1:13" ht="19.5" customHeight="1">
      <c r="A2" s="3075" t="s">
        <v>2606</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2607</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2608</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2609</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2610</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2611</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2612</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2613</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2614</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2615</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2616</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2617</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2618</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2619</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2620</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2621</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2622</v>
      </c>
      <c r="B18" s="3097"/>
      <c r="C18" s="3098"/>
      <c r="D18" s="3098"/>
      <c r="E18" s="3097"/>
      <c r="F18" s="3098"/>
      <c r="G18" s="3098"/>
    </row>
    <row r="19" spans="1:13" ht="19.5" customHeight="1" thickBot="1">
      <c r="A19" s="3095" t="s">
        <v>2623</v>
      </c>
      <c r="B19" s="3100" t="s">
        <v>2624</v>
      </c>
      <c r="C19" s="3100" t="s">
        <v>2625</v>
      </c>
      <c r="D19" s="3101"/>
      <c r="E19" s="3095" t="s">
        <v>2626</v>
      </c>
      <c r="F19" s="3102"/>
      <c r="G19" s="3102"/>
    </row>
    <row r="20" spans="1:13" ht="19.5" customHeight="1">
      <c r="A20" s="3901" t="s">
        <v>2606</v>
      </c>
      <c r="B20" s="3894" t="s">
        <v>2627</v>
      </c>
      <c r="C20" s="3103" t="s">
        <v>2438</v>
      </c>
      <c r="D20" s="3104"/>
      <c r="E20" s="3105">
        <v>1</v>
      </c>
      <c r="F20" s="3106" t="s">
        <v>2439</v>
      </c>
      <c r="G20" s="3106"/>
    </row>
    <row r="21" spans="1:13" ht="19.5" customHeight="1">
      <c r="A21" s="3902"/>
      <c r="B21" s="3895"/>
      <c r="C21" s="3107" t="s">
        <v>2440</v>
      </c>
      <c r="D21" s="3108"/>
      <c r="E21" s="3109">
        <v>1</v>
      </c>
      <c r="F21" s="3106" t="s">
        <v>2441</v>
      </c>
      <c r="G21" s="3106"/>
    </row>
    <row r="22" spans="1:13" ht="19.5" customHeight="1">
      <c r="A22" s="3902"/>
      <c r="B22" s="3895"/>
      <c r="C22" s="3107" t="s">
        <v>2442</v>
      </c>
      <c r="D22" s="3108"/>
      <c r="E22" s="3109">
        <v>0.9</v>
      </c>
      <c r="F22" s="3106" t="s">
        <v>2443</v>
      </c>
      <c r="G22" s="3106"/>
    </row>
    <row r="23" spans="1:13" ht="19.5" customHeight="1">
      <c r="A23" s="3902"/>
      <c r="B23" s="3895"/>
      <c r="C23" s="3107" t="s">
        <v>2444</v>
      </c>
      <c r="D23" s="3108"/>
      <c r="E23" s="3109">
        <v>0.9</v>
      </c>
      <c r="F23" s="3106" t="s">
        <v>2445</v>
      </c>
      <c r="G23" s="3106"/>
    </row>
    <row r="24" spans="1:13" ht="19.5" customHeight="1">
      <c r="A24" s="3902"/>
      <c r="B24" s="3895"/>
      <c r="C24" s="3107" t="s">
        <v>2446</v>
      </c>
      <c r="D24" s="3108"/>
      <c r="E24" s="3109">
        <v>0.8</v>
      </c>
      <c r="F24" s="3106" t="s">
        <v>2447</v>
      </c>
      <c r="G24" s="3106"/>
    </row>
    <row r="25" spans="1:13" ht="19.5" customHeight="1" thickBot="1">
      <c r="A25" s="3903"/>
      <c r="B25" s="3896"/>
      <c r="C25" s="3110" t="s">
        <v>2448</v>
      </c>
      <c r="D25" s="3111"/>
      <c r="E25" s="3112">
        <v>0.8</v>
      </c>
      <c r="F25" s="3106" t="s">
        <v>2449</v>
      </c>
      <c r="G25" s="3106"/>
    </row>
    <row r="26" spans="1:13" ht="19.5" customHeight="1" thickBot="1">
      <c r="A26" s="3113" t="s">
        <v>2628</v>
      </c>
      <c r="B26" s="3114" t="s">
        <v>2627</v>
      </c>
      <c r="C26" s="3115" t="s">
        <v>2629</v>
      </c>
      <c r="D26" s="3116"/>
      <c r="E26" s="3117">
        <v>1</v>
      </c>
      <c r="F26" s="3106" t="s">
        <v>2450</v>
      </c>
      <c r="G26" s="3106"/>
    </row>
    <row r="27" spans="1:13" ht="19.5" customHeight="1">
      <c r="A27" s="3897" t="s">
        <v>2630</v>
      </c>
      <c r="B27" s="3894" t="s">
        <v>2611</v>
      </c>
      <c r="C27" s="3103" t="s">
        <v>2451</v>
      </c>
      <c r="D27" s="3104"/>
      <c r="E27" s="3105">
        <v>1</v>
      </c>
      <c r="F27" s="3106" t="s">
        <v>2452</v>
      </c>
      <c r="G27" s="3106"/>
    </row>
    <row r="28" spans="1:13" ht="19.5" customHeight="1">
      <c r="A28" s="3898"/>
      <c r="B28" s="3895"/>
      <c r="C28" s="3107" t="s">
        <v>2453</v>
      </c>
      <c r="D28" s="3108"/>
      <c r="E28" s="3109">
        <v>1</v>
      </c>
      <c r="F28" s="3106" t="s">
        <v>2454</v>
      </c>
      <c r="G28" s="3106"/>
    </row>
    <row r="29" spans="1:13" ht="19.5" customHeight="1">
      <c r="A29" s="3898"/>
      <c r="B29" s="3895"/>
      <c r="C29" s="3107" t="s">
        <v>2455</v>
      </c>
      <c r="D29" s="3108"/>
      <c r="E29" s="3109">
        <v>0.8</v>
      </c>
      <c r="F29" s="3106" t="s">
        <v>2456</v>
      </c>
      <c r="G29" s="3106"/>
    </row>
    <row r="30" spans="1:13" ht="19.5" customHeight="1">
      <c r="A30" s="3898"/>
      <c r="B30" s="3895"/>
      <c r="C30" s="3107" t="s">
        <v>2457</v>
      </c>
      <c r="D30" s="3108"/>
      <c r="E30" s="3109">
        <v>0.8</v>
      </c>
      <c r="F30" s="3106" t="s">
        <v>2458</v>
      </c>
      <c r="G30" s="3106"/>
    </row>
    <row r="31" spans="1:13" ht="19.5" customHeight="1">
      <c r="A31" s="3898"/>
      <c r="B31" s="3895"/>
      <c r="C31" s="3107" t="s">
        <v>2459</v>
      </c>
      <c r="D31" s="3108"/>
      <c r="E31" s="3109">
        <v>0.8</v>
      </c>
      <c r="F31" s="3106" t="s">
        <v>2460</v>
      </c>
      <c r="G31" s="3106"/>
    </row>
    <row r="32" spans="1:13" ht="19.5" customHeight="1">
      <c r="A32" s="3898"/>
      <c r="B32" s="3895"/>
      <c r="C32" s="3107" t="s">
        <v>2461</v>
      </c>
      <c r="D32" s="3108"/>
      <c r="E32" s="3109">
        <v>0.7</v>
      </c>
      <c r="F32" s="3106" t="s">
        <v>2462</v>
      </c>
      <c r="G32" s="3106"/>
    </row>
    <row r="33" spans="1:7" ht="19.5" customHeight="1">
      <c r="A33" s="3898"/>
      <c r="B33" s="3895"/>
      <c r="C33" s="3107" t="s">
        <v>2463</v>
      </c>
      <c r="D33" s="3108"/>
      <c r="E33" s="3109">
        <v>0.8</v>
      </c>
      <c r="F33" s="3106" t="s">
        <v>2464</v>
      </c>
      <c r="G33" s="3106"/>
    </row>
    <row r="34" spans="1:7" ht="19.5" customHeight="1">
      <c r="A34" s="3898"/>
      <c r="B34" s="3895"/>
      <c r="C34" s="3107" t="s">
        <v>2465</v>
      </c>
      <c r="D34" s="3108"/>
      <c r="E34" s="3109">
        <v>0.6</v>
      </c>
      <c r="F34" s="3106" t="s">
        <v>2466</v>
      </c>
      <c r="G34" s="3106"/>
    </row>
    <row r="35" spans="1:7" ht="19.5" customHeight="1">
      <c r="A35" s="3898"/>
      <c r="B35" s="3895"/>
      <c r="C35" s="3107" t="s">
        <v>2467</v>
      </c>
      <c r="D35" s="3108"/>
      <c r="E35" s="3109">
        <v>0.2</v>
      </c>
      <c r="F35" s="3106" t="s">
        <v>2468</v>
      </c>
      <c r="G35" s="3106"/>
    </row>
    <row r="36" spans="1:7" ht="19.5" customHeight="1">
      <c r="A36" s="3898"/>
      <c r="B36" s="3895"/>
      <c r="C36" s="3107" t="s">
        <v>2469</v>
      </c>
      <c r="D36" s="3108"/>
      <c r="E36" s="3109">
        <v>0.2</v>
      </c>
      <c r="F36" s="3106" t="s">
        <v>2470</v>
      </c>
      <c r="G36" s="3106"/>
    </row>
    <row r="37" spans="1:7" ht="19.5" customHeight="1">
      <c r="A37" s="3898"/>
      <c r="B37" s="3900" t="s">
        <v>2631</v>
      </c>
      <c r="C37" s="3107" t="s">
        <v>2471</v>
      </c>
      <c r="D37" s="3108"/>
      <c r="E37" s="3109">
        <v>0.6</v>
      </c>
      <c r="F37" s="3106" t="s">
        <v>2472</v>
      </c>
      <c r="G37" s="3106"/>
    </row>
    <row r="38" spans="1:7" ht="19.5" customHeight="1">
      <c r="A38" s="3898"/>
      <c r="B38" s="3895"/>
      <c r="C38" s="3107" t="s">
        <v>2473</v>
      </c>
      <c r="D38" s="3108"/>
      <c r="E38" s="3109">
        <v>0.6</v>
      </c>
      <c r="F38" s="3106" t="s">
        <v>2474</v>
      </c>
      <c r="G38" s="3106"/>
    </row>
    <row r="39" spans="1:7" ht="19.5" customHeight="1" thickBot="1">
      <c r="A39" s="3899"/>
      <c r="B39" s="3896"/>
      <c r="C39" s="3110" t="s">
        <v>2475</v>
      </c>
      <c r="D39" s="3111"/>
      <c r="E39" s="3112">
        <v>0.6</v>
      </c>
      <c r="F39" s="3106" t="s">
        <v>2476</v>
      </c>
      <c r="G39" s="3106"/>
    </row>
    <row r="40" spans="1:7" ht="19.5" customHeight="1" thickBot="1">
      <c r="A40" s="3113" t="s">
        <v>2608</v>
      </c>
      <c r="B40" s="3114" t="s">
        <v>2608</v>
      </c>
      <c r="C40" s="3115" t="s">
        <v>2632</v>
      </c>
      <c r="D40" s="3116"/>
      <c r="E40" s="3117">
        <v>1</v>
      </c>
      <c r="F40" s="3106" t="s">
        <v>2477</v>
      </c>
      <c r="G40" s="3106"/>
    </row>
    <row r="41" spans="1:7" ht="19.5" customHeight="1">
      <c r="A41" s="3901" t="s">
        <v>2609</v>
      </c>
      <c r="B41" s="3894" t="s">
        <v>2633</v>
      </c>
      <c r="C41" s="3103" t="s">
        <v>2478</v>
      </c>
      <c r="D41" s="3104"/>
      <c r="E41" s="3105">
        <v>1</v>
      </c>
      <c r="F41" s="3106" t="s">
        <v>2479</v>
      </c>
      <c r="G41" s="3106"/>
    </row>
    <row r="42" spans="1:7" ht="19.5" customHeight="1">
      <c r="A42" s="3902"/>
      <c r="B42" s="3895"/>
      <c r="C42" s="3107" t="s">
        <v>2480</v>
      </c>
      <c r="D42" s="3108"/>
      <c r="E42" s="3109">
        <v>1</v>
      </c>
      <c r="F42" s="3106" t="s">
        <v>2481</v>
      </c>
      <c r="G42" s="3106"/>
    </row>
    <row r="43" spans="1:7" ht="19.5" customHeight="1">
      <c r="A43" s="3902"/>
      <c r="B43" s="3904"/>
      <c r="C43" s="3107" t="s">
        <v>2482</v>
      </c>
      <c r="D43" s="3108"/>
      <c r="E43" s="3109">
        <v>1.5</v>
      </c>
      <c r="F43" s="3106" t="s">
        <v>2483</v>
      </c>
      <c r="G43" s="3106"/>
    </row>
    <row r="44" spans="1:7" ht="19.5" customHeight="1">
      <c r="A44" s="3902"/>
      <c r="B44" s="3118" t="s">
        <v>2634</v>
      </c>
      <c r="C44" s="3107" t="s">
        <v>2635</v>
      </c>
      <c r="D44" s="3108"/>
      <c r="E44" s="3109">
        <v>2</v>
      </c>
      <c r="F44" s="3106" t="s">
        <v>2484</v>
      </c>
      <c r="G44" s="3106"/>
    </row>
    <row r="45" spans="1:7" ht="19.5" customHeight="1">
      <c r="A45" s="3902"/>
      <c r="B45" s="3900" t="s">
        <v>2636</v>
      </c>
      <c r="C45" s="3107" t="s">
        <v>2485</v>
      </c>
      <c r="D45" s="3108"/>
      <c r="E45" s="3109">
        <v>1</v>
      </c>
      <c r="F45" s="3106" t="s">
        <v>2486</v>
      </c>
      <c r="G45" s="3106"/>
    </row>
    <row r="46" spans="1:7" ht="19.5" customHeight="1">
      <c r="A46" s="3902"/>
      <c r="B46" s="3895"/>
      <c r="C46" s="3107" t="s">
        <v>2487</v>
      </c>
      <c r="D46" s="3108"/>
      <c r="E46" s="3109">
        <v>1</v>
      </c>
      <c r="F46" s="3106" t="s">
        <v>2488</v>
      </c>
      <c r="G46" s="3106"/>
    </row>
    <row r="47" spans="1:7" ht="19.5" customHeight="1">
      <c r="A47" s="3902"/>
      <c r="B47" s="3895"/>
      <c r="C47" s="3107" t="s">
        <v>2489</v>
      </c>
      <c r="D47" s="3108"/>
      <c r="E47" s="3109">
        <v>1</v>
      </c>
      <c r="F47" s="3106" t="s">
        <v>2490</v>
      </c>
      <c r="G47" s="3106"/>
    </row>
    <row r="48" spans="1:7" ht="19.5" customHeight="1">
      <c r="A48" s="3902"/>
      <c r="B48" s="3895"/>
      <c r="C48" s="3107" t="s">
        <v>2491</v>
      </c>
      <c r="D48" s="3108"/>
      <c r="E48" s="3109">
        <v>1</v>
      </c>
      <c r="F48" s="3106" t="s">
        <v>2492</v>
      </c>
      <c r="G48" s="3106"/>
    </row>
    <row r="49" spans="1:7" ht="19.5" customHeight="1">
      <c r="A49" s="3902"/>
      <c r="B49" s="3895"/>
      <c r="C49" s="3107" t="s">
        <v>2493</v>
      </c>
      <c r="D49" s="3108"/>
      <c r="E49" s="3109">
        <v>1</v>
      </c>
      <c r="F49" s="3106" t="s">
        <v>2494</v>
      </c>
      <c r="G49" s="3106"/>
    </row>
    <row r="50" spans="1:7" ht="19.5" customHeight="1">
      <c r="A50" s="3902"/>
      <c r="B50" s="3895"/>
      <c r="C50" s="3107" t="s">
        <v>2495</v>
      </c>
      <c r="D50" s="3108"/>
      <c r="E50" s="3109">
        <v>1</v>
      </c>
      <c r="F50" s="3106" t="s">
        <v>2496</v>
      </c>
      <c r="G50" s="3106"/>
    </row>
    <row r="51" spans="1:7" ht="19.5" customHeight="1" thickBot="1">
      <c r="A51" s="3903"/>
      <c r="B51" s="3896"/>
      <c r="C51" s="3110" t="s">
        <v>2497</v>
      </c>
      <c r="D51" s="3111"/>
      <c r="E51" s="3112">
        <v>1</v>
      </c>
      <c r="F51" s="3106" t="s">
        <v>2498</v>
      </c>
      <c r="G51" s="3106"/>
    </row>
    <row r="52" spans="1:7" ht="19.5" customHeight="1">
      <c r="A52" s="3119"/>
      <c r="B52" s="3119"/>
      <c r="C52" s="3119"/>
      <c r="D52" s="3119"/>
      <c r="E52" s="3119"/>
      <c r="F52" s="3119"/>
      <c r="G52" s="3119"/>
    </row>
    <row r="54" spans="1:7" ht="19.5" customHeight="1">
      <c r="A54" s="3120"/>
      <c r="B54" s="3092" t="s">
        <v>2637</v>
      </c>
      <c r="C54" s="3092" t="s">
        <v>2637</v>
      </c>
      <c r="D54" s="3092" t="s">
        <v>2637</v>
      </c>
      <c r="E54" s="3095" t="s">
        <v>2637</v>
      </c>
      <c r="F54" s="3095" t="s">
        <v>2638</v>
      </c>
      <c r="G54" s="3095" t="s">
        <v>2639</v>
      </c>
    </row>
    <row r="55" spans="1:7" ht="19.5" customHeight="1">
      <c r="A55" s="3121"/>
      <c r="B55" s="3095" t="s">
        <v>2606</v>
      </c>
      <c r="C55" s="3095" t="s">
        <v>2606</v>
      </c>
      <c r="D55" s="3095" t="s">
        <v>2606</v>
      </c>
      <c r="E55" s="3092" t="s">
        <v>2607</v>
      </c>
      <c r="F55" s="3092" t="s">
        <v>2609</v>
      </c>
      <c r="G55" s="3092" t="s">
        <v>2640</v>
      </c>
    </row>
    <row r="56" spans="1:7" ht="19.5" customHeight="1">
      <c r="A56" s="3122"/>
      <c r="B56" s="3092">
        <v>1</v>
      </c>
      <c r="C56" s="3092">
        <v>2</v>
      </c>
      <c r="D56" s="3092">
        <v>3</v>
      </c>
      <c r="E56" s="3123" t="s">
        <v>2641</v>
      </c>
      <c r="F56" s="3123" t="s">
        <v>2641</v>
      </c>
      <c r="G56" s="3123" t="s">
        <v>2641</v>
      </c>
    </row>
    <row r="57" spans="1:7" ht="19.5" customHeight="1">
      <c r="A57" s="3124" t="s">
        <v>2594</v>
      </c>
      <c r="B57" s="3092">
        <v>0.7</v>
      </c>
      <c r="C57" s="3092">
        <v>0.4</v>
      </c>
      <c r="D57" s="3092">
        <v>0.3</v>
      </c>
      <c r="E57" s="3123">
        <v>0.3</v>
      </c>
      <c r="F57" s="3092">
        <v>0.3</v>
      </c>
      <c r="G57" s="3092">
        <v>0.2</v>
      </c>
    </row>
    <row r="58" spans="1:7" ht="19.5" customHeight="1">
      <c r="A58" s="3124" t="s">
        <v>2595</v>
      </c>
      <c r="B58" s="3092">
        <v>0.7</v>
      </c>
      <c r="C58" s="3092">
        <v>0.4</v>
      </c>
      <c r="D58" s="3092">
        <v>0.3</v>
      </c>
      <c r="E58" s="3092">
        <v>0.3</v>
      </c>
      <c r="F58" s="3092">
        <v>0.3</v>
      </c>
      <c r="G58" s="3092">
        <v>0.2</v>
      </c>
    </row>
    <row r="59" spans="1:7" ht="19.5" customHeight="1">
      <c r="A59" s="3124" t="s">
        <v>2596</v>
      </c>
      <c r="B59" s="3092">
        <v>0.6</v>
      </c>
      <c r="C59" s="3092">
        <v>0.3</v>
      </c>
      <c r="D59" s="3092">
        <v>0.25</v>
      </c>
      <c r="E59" s="3092">
        <v>0.25</v>
      </c>
      <c r="F59" s="3092">
        <v>0.25</v>
      </c>
      <c r="G59" s="3092">
        <v>0.15</v>
      </c>
    </row>
    <row r="60" spans="1:7" ht="19.5" customHeight="1">
      <c r="A60" s="3124" t="s">
        <v>2597</v>
      </c>
      <c r="B60" s="3092">
        <v>0.6</v>
      </c>
      <c r="C60" s="3092">
        <v>0.3</v>
      </c>
      <c r="D60" s="3092">
        <v>0.25</v>
      </c>
      <c r="E60" s="3092">
        <v>0.25</v>
      </c>
      <c r="F60" s="3092">
        <v>0.25</v>
      </c>
      <c r="G60" s="3092">
        <v>0.15</v>
      </c>
    </row>
    <row r="61" spans="1:7" ht="19.5" customHeight="1">
      <c r="A61" s="3124" t="s">
        <v>2598</v>
      </c>
      <c r="B61" s="3092">
        <v>0.6</v>
      </c>
      <c r="C61" s="3092">
        <v>0.3</v>
      </c>
      <c r="D61" s="3092">
        <v>0.25</v>
      </c>
      <c r="E61" s="3092">
        <v>0.25</v>
      </c>
      <c r="F61" s="3092">
        <v>0.25</v>
      </c>
      <c r="G61" s="3092">
        <v>0.15</v>
      </c>
    </row>
    <row r="62" spans="1:7" ht="19.5" customHeight="1">
      <c r="A62" s="3124" t="s">
        <v>2599</v>
      </c>
      <c r="B62" s="3092">
        <v>0.6</v>
      </c>
      <c r="C62" s="3092">
        <v>0.3</v>
      </c>
      <c r="D62" s="3092">
        <v>0.25</v>
      </c>
      <c r="E62" s="3092">
        <v>0.25</v>
      </c>
      <c r="F62" s="3092">
        <v>0.25</v>
      </c>
      <c r="G62" s="3092">
        <v>0.15</v>
      </c>
    </row>
    <row r="63" spans="1:7" ht="19.5" customHeight="1">
      <c r="A63" s="3124" t="s">
        <v>2600</v>
      </c>
      <c r="B63" s="3092">
        <v>0.6</v>
      </c>
      <c r="C63" s="3092">
        <v>0.3</v>
      </c>
      <c r="D63" s="3092">
        <v>0.25</v>
      </c>
      <c r="E63" s="3092">
        <v>0.25</v>
      </c>
      <c r="F63" s="3092">
        <v>0.25</v>
      </c>
      <c r="G63" s="3092">
        <v>0.15</v>
      </c>
    </row>
    <row r="64" spans="1:7" ht="19.5" customHeight="1">
      <c r="A64" s="3124" t="s">
        <v>2601</v>
      </c>
      <c r="B64" s="3092">
        <v>0.5</v>
      </c>
      <c r="C64" s="3092">
        <v>0.2</v>
      </c>
      <c r="D64" s="3092">
        <v>0.2</v>
      </c>
      <c r="E64" s="3092">
        <v>0.2</v>
      </c>
      <c r="F64" s="3092">
        <v>0.2</v>
      </c>
      <c r="G64" s="3092">
        <v>0.1</v>
      </c>
    </row>
    <row r="65" spans="1:7" ht="19.5" customHeight="1">
      <c r="A65" s="3124" t="s">
        <v>2602</v>
      </c>
      <c r="B65" s="3092">
        <v>0.5</v>
      </c>
      <c r="C65" s="3092">
        <v>0.2</v>
      </c>
      <c r="D65" s="3092">
        <v>0.2</v>
      </c>
      <c r="E65" s="3092">
        <v>0.2</v>
      </c>
      <c r="F65" s="3092">
        <v>0.2</v>
      </c>
      <c r="G65" s="3092">
        <v>0.1</v>
      </c>
    </row>
    <row r="66" spans="1:7" ht="19.5" customHeight="1">
      <c r="A66" s="3124" t="s">
        <v>2603</v>
      </c>
      <c r="B66" s="3092">
        <v>0.5</v>
      </c>
      <c r="C66" s="3092">
        <v>0.2</v>
      </c>
      <c r="D66" s="3092">
        <v>0.2</v>
      </c>
      <c r="E66" s="3092">
        <v>0.2</v>
      </c>
      <c r="F66" s="3092">
        <v>0.2</v>
      </c>
      <c r="G66" s="3092">
        <v>0.1</v>
      </c>
    </row>
    <row r="67" spans="1:7" ht="19.5" customHeight="1">
      <c r="A67" s="3124" t="s">
        <v>2604</v>
      </c>
      <c r="B67" s="3092">
        <v>0.5</v>
      </c>
      <c r="C67" s="3092">
        <v>0.2</v>
      </c>
      <c r="D67" s="3092">
        <v>0.2</v>
      </c>
      <c r="E67" s="3092">
        <v>0.2</v>
      </c>
      <c r="F67" s="3092">
        <v>0.2</v>
      </c>
      <c r="G67" s="3092">
        <v>0.1</v>
      </c>
    </row>
    <row r="68" spans="1:7" ht="19.5" customHeight="1">
      <c r="A68" s="3124" t="s">
        <v>2605</v>
      </c>
      <c r="B68" s="3092">
        <v>0.5</v>
      </c>
      <c r="C68" s="3092">
        <v>0.2</v>
      </c>
      <c r="D68" s="3092">
        <v>0.2</v>
      </c>
      <c r="E68" s="3092">
        <v>0.2</v>
      </c>
      <c r="F68" s="3092">
        <v>0.2</v>
      </c>
      <c r="G68" s="3092">
        <v>0.1</v>
      </c>
    </row>
    <row r="70" spans="1:7" ht="19.5" customHeight="1">
      <c r="A70" s="3125"/>
      <c r="B70" s="3126"/>
      <c r="C70" s="3126"/>
      <c r="D70" s="3126" t="s">
        <v>2642</v>
      </c>
      <c r="E70" s="3126"/>
      <c r="F70" s="3126"/>
    </row>
    <row r="71" spans="1:7" ht="19.5" customHeight="1">
      <c r="A71" s="3118" t="s">
        <v>2643</v>
      </c>
      <c r="B71" s="3118" t="s">
        <v>2644</v>
      </c>
      <c r="C71" s="3118" t="s">
        <v>2645</v>
      </c>
      <c r="D71" s="3118" t="s">
        <v>2646</v>
      </c>
      <c r="E71" s="3118" t="s">
        <v>2647</v>
      </c>
      <c r="F71" s="3118" t="s">
        <v>2648</v>
      </c>
    </row>
    <row r="72" spans="1:7" ht="13.5">
      <c r="A72" s="3118"/>
      <c r="B72" s="3118"/>
      <c r="C72" s="3118" t="s">
        <v>2649</v>
      </c>
      <c r="D72" s="3118"/>
      <c r="E72" s="3118" t="s">
        <v>2620</v>
      </c>
      <c r="F72" s="3118" t="s">
        <v>2620</v>
      </c>
    </row>
    <row r="73" spans="1:7" ht="13.5">
      <c r="A73" s="3118">
        <v>1</v>
      </c>
      <c r="B73" s="3900" t="s">
        <v>2650</v>
      </c>
      <c r="C73" s="3092" t="s">
        <v>2651</v>
      </c>
      <c r="D73" s="3092" t="s">
        <v>2652</v>
      </c>
      <c r="E73" s="3118">
        <v>0.2</v>
      </c>
      <c r="F73" s="3118">
        <v>25</v>
      </c>
    </row>
    <row r="74" spans="1:7" ht="24">
      <c r="A74" s="3118">
        <v>2</v>
      </c>
      <c r="B74" s="3895"/>
      <c r="C74" s="3092" t="s">
        <v>2653</v>
      </c>
      <c r="D74" s="3092" t="s">
        <v>2654</v>
      </c>
      <c r="E74" s="3118">
        <v>0.2</v>
      </c>
      <c r="F74" s="3118">
        <v>25</v>
      </c>
    </row>
    <row r="75" spans="1:7" ht="24">
      <c r="A75" s="3118">
        <v>3</v>
      </c>
      <c r="B75" s="3895"/>
      <c r="C75" s="3092" t="s">
        <v>2655</v>
      </c>
      <c r="D75" s="3092" t="s">
        <v>2656</v>
      </c>
      <c r="E75" s="3118">
        <v>0.2</v>
      </c>
      <c r="F75" s="3118">
        <v>25</v>
      </c>
    </row>
    <row r="76" spans="1:7" ht="13.5">
      <c r="A76" s="3118">
        <v>4</v>
      </c>
      <c r="B76" s="3895"/>
      <c r="C76" s="3092" t="s">
        <v>2657</v>
      </c>
      <c r="D76" s="3092" t="s">
        <v>2658</v>
      </c>
      <c r="E76" s="3118">
        <v>0.15</v>
      </c>
      <c r="F76" s="3118">
        <v>20</v>
      </c>
    </row>
    <row r="77" spans="1:7" ht="24">
      <c r="A77" s="3118">
        <v>5</v>
      </c>
      <c r="B77" s="3895"/>
      <c r="C77" s="3092" t="s">
        <v>2659</v>
      </c>
      <c r="D77" s="3092" t="s">
        <v>2660</v>
      </c>
      <c r="E77" s="3118">
        <v>0.15</v>
      </c>
      <c r="F77" s="3118">
        <v>20</v>
      </c>
    </row>
    <row r="78" spans="1:7" ht="24">
      <c r="A78" s="3118">
        <v>6</v>
      </c>
      <c r="B78" s="3895"/>
      <c r="C78" s="3092" t="s">
        <v>2661</v>
      </c>
      <c r="D78" s="3092" t="s">
        <v>2662</v>
      </c>
      <c r="E78" s="3118">
        <v>0.15</v>
      </c>
      <c r="F78" s="3118">
        <v>20</v>
      </c>
    </row>
    <row r="79" spans="1:7" ht="24">
      <c r="A79" s="3118">
        <v>7</v>
      </c>
      <c r="B79" s="3895"/>
      <c r="C79" s="3092" t="s">
        <v>2663</v>
      </c>
      <c r="D79" s="3092" t="s">
        <v>2664</v>
      </c>
      <c r="E79" s="3118">
        <v>0.15</v>
      </c>
      <c r="F79" s="3118">
        <v>20</v>
      </c>
    </row>
    <row r="80" spans="1:7" ht="24">
      <c r="A80" s="3118">
        <v>8</v>
      </c>
      <c r="B80" s="3895"/>
      <c r="C80" s="3092" t="s">
        <v>2665</v>
      </c>
      <c r="D80" s="3092" t="s">
        <v>2666</v>
      </c>
      <c r="E80" s="3118">
        <v>0.1</v>
      </c>
      <c r="F80" s="3118">
        <v>15</v>
      </c>
    </row>
    <row r="81" spans="1:6" ht="24">
      <c r="A81" s="3118">
        <v>9</v>
      </c>
      <c r="B81" s="3895"/>
      <c r="C81" s="3092" t="s">
        <v>2667</v>
      </c>
      <c r="D81" s="3092" t="s">
        <v>2668</v>
      </c>
      <c r="E81" s="3118">
        <v>0.1</v>
      </c>
      <c r="F81" s="3118">
        <v>15</v>
      </c>
    </row>
    <row r="82" spans="1:6" ht="24">
      <c r="A82" s="3118">
        <v>10</v>
      </c>
      <c r="B82" s="3895"/>
      <c r="C82" s="3092" t="s">
        <v>2669</v>
      </c>
      <c r="D82" s="3092" t="s">
        <v>2670</v>
      </c>
      <c r="E82" s="3118">
        <v>0.1</v>
      </c>
      <c r="F82" s="3118">
        <v>15</v>
      </c>
    </row>
    <row r="83" spans="1:6" ht="24">
      <c r="A83" s="3118">
        <v>11</v>
      </c>
      <c r="B83" s="3895"/>
      <c r="C83" s="3092" t="s">
        <v>2671</v>
      </c>
      <c r="D83" s="3092" t="s">
        <v>2672</v>
      </c>
      <c r="E83" s="3118">
        <v>0.1</v>
      </c>
      <c r="F83" s="3118">
        <v>15</v>
      </c>
    </row>
    <row r="84" spans="1:6" ht="24">
      <c r="A84" s="3118">
        <v>12</v>
      </c>
      <c r="B84" s="3895"/>
      <c r="C84" s="3092" t="s">
        <v>2673</v>
      </c>
      <c r="D84" s="3092" t="s">
        <v>2674</v>
      </c>
      <c r="E84" s="3118">
        <v>0.1</v>
      </c>
      <c r="F84" s="3118">
        <v>15</v>
      </c>
    </row>
    <row r="85" spans="1:6" ht="13.5">
      <c r="A85" s="3118">
        <v>13</v>
      </c>
      <c r="B85" s="3895"/>
      <c r="C85" s="3092" t="s">
        <v>2675</v>
      </c>
      <c r="D85" s="3092" t="s">
        <v>2676</v>
      </c>
      <c r="E85" s="3118">
        <v>0.1</v>
      </c>
      <c r="F85" s="3118">
        <v>15</v>
      </c>
    </row>
    <row r="86" spans="1:6" ht="13.5">
      <c r="A86" s="3118">
        <v>14</v>
      </c>
      <c r="B86" s="3895"/>
      <c r="C86" s="3092" t="s">
        <v>2677</v>
      </c>
      <c r="D86" s="3092" t="s">
        <v>2678</v>
      </c>
      <c r="E86" s="3118">
        <v>0.1</v>
      </c>
      <c r="F86" s="3118">
        <v>15</v>
      </c>
    </row>
    <row r="87" spans="1:6" ht="13.5">
      <c r="A87" s="3118">
        <v>15</v>
      </c>
      <c r="B87" s="3895"/>
      <c r="C87" s="3092" t="s">
        <v>2679</v>
      </c>
      <c r="D87" s="3092" t="s">
        <v>2680</v>
      </c>
      <c r="E87" s="3118">
        <v>0.1</v>
      </c>
      <c r="F87" s="3118">
        <v>15</v>
      </c>
    </row>
    <row r="88" spans="1:6" ht="24">
      <c r="A88" s="3118">
        <v>16</v>
      </c>
      <c r="B88" s="3895"/>
      <c r="C88" s="3092" t="s">
        <v>2681</v>
      </c>
      <c r="D88" s="3092" t="s">
        <v>2682</v>
      </c>
      <c r="E88" s="3118">
        <v>0.1</v>
      </c>
      <c r="F88" s="3118">
        <v>15</v>
      </c>
    </row>
    <row r="89" spans="1:6" ht="24">
      <c r="A89" s="3118">
        <v>17</v>
      </c>
      <c r="B89" s="3904"/>
      <c r="C89" s="3092" t="s">
        <v>2683</v>
      </c>
      <c r="D89" s="3092" t="s">
        <v>2684</v>
      </c>
      <c r="E89" s="3118">
        <v>0.1</v>
      </c>
      <c r="F89" s="3118">
        <v>15</v>
      </c>
    </row>
    <row r="90" spans="1:6" ht="13.5">
      <c r="A90" s="3118">
        <v>18</v>
      </c>
      <c r="B90" s="3900" t="s">
        <v>2685</v>
      </c>
      <c r="C90" s="3092" t="s">
        <v>2686</v>
      </c>
      <c r="D90" s="3092" t="s">
        <v>2687</v>
      </c>
      <c r="E90" s="3118">
        <v>0.2</v>
      </c>
      <c r="F90" s="3118">
        <v>25</v>
      </c>
    </row>
    <row r="91" spans="1:6" ht="24">
      <c r="A91" s="3118">
        <v>19</v>
      </c>
      <c r="B91" s="3895"/>
      <c r="C91" s="3092" t="s">
        <v>2688</v>
      </c>
      <c r="D91" s="3092" t="s">
        <v>2689</v>
      </c>
      <c r="E91" s="3118">
        <v>0.2</v>
      </c>
      <c r="F91" s="3118">
        <v>25</v>
      </c>
    </row>
    <row r="92" spans="1:6" ht="13.5">
      <c r="A92" s="3118">
        <v>20</v>
      </c>
      <c r="B92" s="3895"/>
      <c r="C92" s="3092" t="s">
        <v>2690</v>
      </c>
      <c r="D92" s="3092" t="s">
        <v>2691</v>
      </c>
      <c r="E92" s="3118">
        <v>0.15</v>
      </c>
      <c r="F92" s="3118">
        <v>20</v>
      </c>
    </row>
    <row r="93" spans="1:6" ht="13.5">
      <c r="A93" s="3118">
        <v>21</v>
      </c>
      <c r="B93" s="3895"/>
      <c r="C93" s="3092" t="s">
        <v>2692</v>
      </c>
      <c r="D93" s="3092" t="s">
        <v>2693</v>
      </c>
      <c r="E93" s="3118">
        <v>0.15</v>
      </c>
      <c r="F93" s="3118">
        <v>20</v>
      </c>
    </row>
    <row r="94" spans="1:6" ht="13.5">
      <c r="A94" s="3118">
        <v>22</v>
      </c>
      <c r="B94" s="3895"/>
      <c r="C94" s="3092" t="s">
        <v>2694</v>
      </c>
      <c r="D94" s="3092" t="s">
        <v>2695</v>
      </c>
      <c r="E94" s="3118">
        <v>0.15</v>
      </c>
      <c r="F94" s="3118">
        <v>20</v>
      </c>
    </row>
    <row r="95" spans="1:6" ht="36">
      <c r="A95" s="3118">
        <v>23</v>
      </c>
      <c r="B95" s="3895"/>
      <c r="C95" s="3092" t="s">
        <v>2696</v>
      </c>
      <c r="D95" s="3092" t="s">
        <v>2697</v>
      </c>
      <c r="E95" s="3118">
        <v>0.15</v>
      </c>
      <c r="F95" s="3118">
        <v>20</v>
      </c>
    </row>
    <row r="96" spans="1:6" ht="13.5">
      <c r="A96" s="3118">
        <v>24</v>
      </c>
      <c r="B96" s="3895"/>
      <c r="C96" s="3092" t="s">
        <v>2698</v>
      </c>
      <c r="D96" s="3092" t="s">
        <v>2699</v>
      </c>
      <c r="E96" s="3118">
        <v>0.1</v>
      </c>
      <c r="F96" s="3118">
        <v>15</v>
      </c>
    </row>
    <row r="97" spans="1:6" ht="13.5">
      <c r="A97" s="3118">
        <v>25</v>
      </c>
      <c r="B97" s="3895"/>
      <c r="C97" s="3092" t="s">
        <v>2700</v>
      </c>
      <c r="D97" s="3092" t="s">
        <v>2701</v>
      </c>
      <c r="E97" s="3118">
        <v>0.1</v>
      </c>
      <c r="F97" s="3118">
        <v>15</v>
      </c>
    </row>
    <row r="98" spans="1:6" ht="24">
      <c r="A98" s="3118">
        <v>26</v>
      </c>
      <c r="B98" s="3895"/>
      <c r="C98" s="3092" t="s">
        <v>2702</v>
      </c>
      <c r="D98" s="3092" t="s">
        <v>2703</v>
      </c>
      <c r="E98" s="3118">
        <v>0.1</v>
      </c>
      <c r="F98" s="3118">
        <v>15</v>
      </c>
    </row>
    <row r="99" spans="1:6" ht="24">
      <c r="A99" s="3118">
        <v>27</v>
      </c>
      <c r="B99" s="3895"/>
      <c r="C99" s="3092" t="s">
        <v>2704</v>
      </c>
      <c r="D99" s="3092" t="s">
        <v>2705</v>
      </c>
      <c r="E99" s="3118">
        <v>0.1</v>
      </c>
      <c r="F99" s="3118">
        <v>15</v>
      </c>
    </row>
    <row r="100" spans="1:6" ht="13.5">
      <c r="A100" s="3118">
        <v>28</v>
      </c>
      <c r="B100" s="3895"/>
      <c r="C100" s="3092" t="s">
        <v>2706</v>
      </c>
      <c r="D100" s="3092" t="s">
        <v>2707</v>
      </c>
      <c r="E100" s="3118">
        <v>0.1</v>
      </c>
      <c r="F100" s="3118">
        <v>15</v>
      </c>
    </row>
    <row r="101" spans="1:6" ht="13.5">
      <c r="A101" s="3118">
        <v>29</v>
      </c>
      <c r="B101" s="3895"/>
      <c r="C101" s="3092" t="s">
        <v>2708</v>
      </c>
      <c r="D101" s="3092" t="s">
        <v>2709</v>
      </c>
      <c r="E101" s="3118">
        <v>0.1</v>
      </c>
      <c r="F101" s="3118">
        <v>15</v>
      </c>
    </row>
    <row r="102" spans="1:6" ht="13.5">
      <c r="A102" s="3118">
        <v>30</v>
      </c>
      <c r="B102" s="3895"/>
      <c r="C102" s="3092" t="s">
        <v>2710</v>
      </c>
      <c r="D102" s="3092" t="s">
        <v>2711</v>
      </c>
      <c r="E102" s="3118">
        <v>0.1</v>
      </c>
      <c r="F102" s="3118">
        <v>15</v>
      </c>
    </row>
    <row r="103" spans="1:6" ht="24">
      <c r="A103" s="3118">
        <v>31</v>
      </c>
      <c r="B103" s="3895"/>
      <c r="C103" s="3092" t="s">
        <v>2712</v>
      </c>
      <c r="D103" s="3092" t="s">
        <v>2713</v>
      </c>
      <c r="E103" s="3118">
        <v>0.1</v>
      </c>
      <c r="F103" s="3118">
        <v>15</v>
      </c>
    </row>
    <row r="104" spans="1:6" ht="24">
      <c r="A104" s="3118">
        <v>32</v>
      </c>
      <c r="B104" s="3895"/>
      <c r="C104" s="3092" t="s">
        <v>2714</v>
      </c>
      <c r="D104" s="3092" t="s">
        <v>2715</v>
      </c>
      <c r="E104" s="3118">
        <v>0.1</v>
      </c>
      <c r="F104" s="3118">
        <v>15</v>
      </c>
    </row>
    <row r="105" spans="1:6" ht="24">
      <c r="A105" s="3118">
        <v>33</v>
      </c>
      <c r="B105" s="3895"/>
      <c r="C105" s="3092" t="s">
        <v>2716</v>
      </c>
      <c r="D105" s="3092" t="s">
        <v>2717</v>
      </c>
      <c r="E105" s="3118">
        <v>0.1</v>
      </c>
      <c r="F105" s="3118">
        <v>15</v>
      </c>
    </row>
    <row r="106" spans="1:6" ht="24">
      <c r="A106" s="3118">
        <v>34</v>
      </c>
      <c r="B106" s="3904"/>
      <c r="C106" s="3092" t="s">
        <v>2718</v>
      </c>
      <c r="D106" s="3092" t="s">
        <v>2719</v>
      </c>
      <c r="E106" s="3118">
        <v>0.1</v>
      </c>
      <c r="F106" s="3118">
        <v>15</v>
      </c>
    </row>
    <row r="107" spans="1:6" ht="24">
      <c r="A107" s="3118">
        <v>35</v>
      </c>
      <c r="B107" s="3900" t="s">
        <v>2720</v>
      </c>
      <c r="C107" s="3118" t="s">
        <v>2721</v>
      </c>
      <c r="D107" s="3092" t="s">
        <v>2722</v>
      </c>
      <c r="E107" s="3118">
        <v>0.15</v>
      </c>
      <c r="F107" s="3118">
        <v>20</v>
      </c>
    </row>
    <row r="108" spans="1:6" ht="13.5">
      <c r="A108" s="3118">
        <v>36</v>
      </c>
      <c r="B108" s="3895"/>
      <c r="C108" s="3118" t="s">
        <v>2723</v>
      </c>
      <c r="D108" s="3092" t="s">
        <v>2724</v>
      </c>
      <c r="E108" s="3118">
        <v>0.15</v>
      </c>
      <c r="F108" s="3118">
        <v>20</v>
      </c>
    </row>
    <row r="109" spans="1:6" ht="13.5">
      <c r="A109" s="3118">
        <v>37</v>
      </c>
      <c r="B109" s="3895"/>
      <c r="C109" s="3118" t="s">
        <v>2725</v>
      </c>
      <c r="D109" s="3092" t="s">
        <v>2726</v>
      </c>
      <c r="E109" s="3118">
        <v>0.15</v>
      </c>
      <c r="F109" s="3118">
        <v>20</v>
      </c>
    </row>
    <row r="110" spans="1:6" ht="13.5">
      <c r="A110" s="3118">
        <v>38</v>
      </c>
      <c r="B110" s="3895"/>
      <c r="C110" s="3118" t="s">
        <v>2727</v>
      </c>
      <c r="D110" s="3092" t="s">
        <v>2728</v>
      </c>
      <c r="E110" s="3118">
        <v>0.1</v>
      </c>
      <c r="F110" s="3118">
        <v>15</v>
      </c>
    </row>
    <row r="111" spans="1:6" ht="24">
      <c r="A111" s="3118">
        <v>39</v>
      </c>
      <c r="B111" s="3895"/>
      <c r="C111" s="3118" t="s">
        <v>2729</v>
      </c>
      <c r="D111" s="3092" t="s">
        <v>2730</v>
      </c>
      <c r="E111" s="3118">
        <v>0.1</v>
      </c>
      <c r="F111" s="3118">
        <v>15</v>
      </c>
    </row>
    <row r="112" spans="1:6" ht="24">
      <c r="A112" s="3118">
        <v>40</v>
      </c>
      <c r="B112" s="3904"/>
      <c r="C112" s="3118" t="s">
        <v>2731</v>
      </c>
      <c r="D112" s="3092" t="s">
        <v>2732</v>
      </c>
      <c r="E112" s="3118">
        <v>0.1</v>
      </c>
      <c r="F112" s="3118">
        <v>15</v>
      </c>
    </row>
    <row r="113" spans="1:6" ht="13.5">
      <c r="A113" s="3118">
        <v>41</v>
      </c>
      <c r="B113" s="3905" t="s">
        <v>2733</v>
      </c>
      <c r="C113" s="3118" t="s">
        <v>2734</v>
      </c>
      <c r="D113" s="3092" t="s">
        <v>2735</v>
      </c>
      <c r="E113" s="3118">
        <v>0.1</v>
      </c>
      <c r="F113" s="3118">
        <v>15</v>
      </c>
    </row>
    <row r="114" spans="1:6" ht="13.5">
      <c r="A114" s="3118">
        <v>42</v>
      </c>
      <c r="B114" s="3905"/>
      <c r="C114" s="3118" t="s">
        <v>2736</v>
      </c>
      <c r="D114" s="3092" t="s">
        <v>2737</v>
      </c>
      <c r="E114" s="3118">
        <v>0.1</v>
      </c>
      <c r="F114" s="3118">
        <v>15</v>
      </c>
    </row>
    <row r="115" spans="1:6" ht="24">
      <c r="A115" s="3118">
        <v>43</v>
      </c>
      <c r="B115" s="3905"/>
      <c r="C115" s="3118" t="s">
        <v>2738</v>
      </c>
      <c r="D115" s="3092" t="s">
        <v>2739</v>
      </c>
      <c r="E115" s="3118">
        <v>0.1</v>
      </c>
      <c r="F115" s="3118">
        <v>15</v>
      </c>
    </row>
    <row r="116" spans="1:6" ht="13.5">
      <c r="A116" s="3118">
        <v>44</v>
      </c>
      <c r="B116" s="3900" t="s">
        <v>2740</v>
      </c>
      <c r="C116" s="3118" t="s">
        <v>2741</v>
      </c>
      <c r="D116" s="3092" t="s">
        <v>2742</v>
      </c>
      <c r="E116" s="3118">
        <v>0.1</v>
      </c>
      <c r="F116" s="3118">
        <v>15</v>
      </c>
    </row>
    <row r="117" spans="1:6" ht="24">
      <c r="A117" s="3118">
        <v>45</v>
      </c>
      <c r="B117" s="3904"/>
      <c r="C117" s="3092" t="s">
        <v>2743</v>
      </c>
      <c r="D117" s="3092" t="s">
        <v>2744</v>
      </c>
      <c r="E117" s="3118">
        <v>0.1</v>
      </c>
      <c r="F117" s="3118">
        <v>15</v>
      </c>
    </row>
    <row r="118" spans="1:6" ht="24">
      <c r="A118" s="3118">
        <v>46</v>
      </c>
      <c r="B118" s="3900" t="s">
        <v>2745</v>
      </c>
      <c r="C118" s="3118" t="s">
        <v>2746</v>
      </c>
      <c r="D118" s="3092" t="s">
        <v>2747</v>
      </c>
      <c r="E118" s="3118">
        <v>0.1</v>
      </c>
      <c r="F118" s="3118">
        <v>15</v>
      </c>
    </row>
    <row r="119" spans="1:6" ht="24">
      <c r="A119" s="3118">
        <v>47</v>
      </c>
      <c r="B119" s="3904"/>
      <c r="C119" s="3118" t="s">
        <v>2748</v>
      </c>
      <c r="D119" s="3092" t="s">
        <v>2749</v>
      </c>
      <c r="E119" s="3118">
        <v>0.1</v>
      </c>
      <c r="F119" s="3118">
        <v>15</v>
      </c>
    </row>
    <row r="120" spans="1:6" ht="13.5">
      <c r="A120" s="3118">
        <v>48</v>
      </c>
      <c r="B120" s="3900" t="s">
        <v>2750</v>
      </c>
      <c r="C120" s="3118" t="s">
        <v>2751</v>
      </c>
      <c r="D120" s="3092" t="s">
        <v>2752</v>
      </c>
      <c r="E120" s="3118">
        <v>0.1</v>
      </c>
      <c r="F120" s="3118">
        <v>15</v>
      </c>
    </row>
    <row r="121" spans="1:6" ht="13.5">
      <c r="A121" s="3118">
        <v>49</v>
      </c>
      <c r="B121" s="3904"/>
      <c r="C121" s="3118" t="s">
        <v>2753</v>
      </c>
      <c r="D121" s="3092" t="s">
        <v>2754</v>
      </c>
      <c r="E121" s="3118">
        <v>0.1</v>
      </c>
      <c r="F121" s="3118">
        <v>15</v>
      </c>
    </row>
    <row r="122" spans="1:6" ht="24">
      <c r="A122" s="3118">
        <v>50</v>
      </c>
      <c r="B122" s="3905" t="s">
        <v>2755</v>
      </c>
      <c r="C122" s="3118" t="s">
        <v>2756</v>
      </c>
      <c r="D122" s="3092" t="s">
        <v>2757</v>
      </c>
      <c r="E122" s="3118">
        <v>0.1</v>
      </c>
      <c r="F122" s="3118">
        <v>15</v>
      </c>
    </row>
    <row r="123" spans="1:6" ht="24">
      <c r="A123" s="3118">
        <v>51</v>
      </c>
      <c r="B123" s="3905"/>
      <c r="C123" s="3118" t="s">
        <v>2758</v>
      </c>
      <c r="D123" s="3092" t="s">
        <v>2759</v>
      </c>
      <c r="E123" s="3118">
        <v>0.1</v>
      </c>
      <c r="F123" s="3118">
        <v>15</v>
      </c>
    </row>
    <row r="124" spans="1:6" ht="24">
      <c r="A124" s="3118">
        <v>52</v>
      </c>
      <c r="B124" s="3905" t="s">
        <v>2760</v>
      </c>
      <c r="C124" s="3118" t="s">
        <v>2761</v>
      </c>
      <c r="D124" s="3092" t="s">
        <v>2762</v>
      </c>
      <c r="E124" s="3118">
        <v>0.1</v>
      </c>
      <c r="F124" s="3118">
        <v>15</v>
      </c>
    </row>
    <row r="125" spans="1:6" ht="24">
      <c r="A125" s="3118">
        <v>53</v>
      </c>
      <c r="B125" s="3905"/>
      <c r="C125" s="3118" t="s">
        <v>2763</v>
      </c>
      <c r="D125" s="3092" t="s">
        <v>2764</v>
      </c>
      <c r="E125" s="3118">
        <v>0.1</v>
      </c>
      <c r="F125" s="3118">
        <v>15</v>
      </c>
    </row>
    <row r="126" spans="1:6" ht="13.5">
      <c r="A126" s="3118">
        <v>54</v>
      </c>
      <c r="B126" s="3118" t="s">
        <v>2765</v>
      </c>
      <c r="C126" s="3118" t="s">
        <v>2766</v>
      </c>
      <c r="D126" s="3092" t="s">
        <v>2767</v>
      </c>
      <c r="E126" s="3118">
        <v>0.1</v>
      </c>
      <c r="F126" s="3118">
        <v>15</v>
      </c>
    </row>
    <row r="127" spans="1:6" ht="13.5">
      <c r="A127" s="3118">
        <v>55</v>
      </c>
      <c r="B127" s="3905" t="s">
        <v>2768</v>
      </c>
      <c r="C127" s="3118" t="s">
        <v>2769</v>
      </c>
      <c r="D127" s="3092" t="s">
        <v>2770</v>
      </c>
      <c r="E127" s="3118">
        <v>0.1</v>
      </c>
      <c r="F127" s="3118">
        <v>15</v>
      </c>
    </row>
    <row r="128" spans="1:6" ht="13.5">
      <c r="A128" s="3118">
        <v>56</v>
      </c>
      <c r="B128" s="3905"/>
      <c r="C128" s="3118" t="s">
        <v>2771</v>
      </c>
      <c r="D128" s="3092" t="s">
        <v>2772</v>
      </c>
      <c r="E128" s="3118">
        <v>0.1</v>
      </c>
      <c r="F128" s="3118">
        <v>15</v>
      </c>
    </row>
    <row r="129" spans="1:6" ht="24">
      <c r="A129" s="3118">
        <v>57</v>
      </c>
      <c r="B129" s="3905"/>
      <c r="C129" s="3118" t="s">
        <v>2773</v>
      </c>
      <c r="D129" s="3092" t="s">
        <v>2774</v>
      </c>
      <c r="E129" s="3118">
        <v>0.1</v>
      </c>
      <c r="F129" s="3118">
        <v>15</v>
      </c>
    </row>
    <row r="130" spans="1:6" ht="24">
      <c r="A130" s="3118">
        <v>58</v>
      </c>
      <c r="B130" s="3905" t="s">
        <v>2775</v>
      </c>
      <c r="C130" s="3118" t="s">
        <v>2776</v>
      </c>
      <c r="D130" s="3092" t="s">
        <v>2777</v>
      </c>
      <c r="E130" s="3118">
        <v>0.1</v>
      </c>
      <c r="F130" s="3118">
        <v>15</v>
      </c>
    </row>
    <row r="131" spans="1:6" ht="13.5">
      <c r="A131" s="3118">
        <v>59</v>
      </c>
      <c r="B131" s="3905"/>
      <c r="C131" s="3118" t="s">
        <v>2778</v>
      </c>
      <c r="D131" s="3092" t="s">
        <v>2779</v>
      </c>
      <c r="E131" s="3118">
        <v>0.1</v>
      </c>
      <c r="F131" s="3118">
        <v>15</v>
      </c>
    </row>
    <row r="132" spans="1:6" ht="13.5">
      <c r="A132" s="3118">
        <v>60</v>
      </c>
      <c r="B132" s="3900" t="s">
        <v>2780</v>
      </c>
      <c r="C132" s="3118" t="s">
        <v>2781</v>
      </c>
      <c r="D132" s="3092" t="s">
        <v>2782</v>
      </c>
      <c r="E132" s="3118">
        <v>0.1</v>
      </c>
      <c r="F132" s="3118">
        <v>15</v>
      </c>
    </row>
    <row r="133" spans="1:6" ht="13.5">
      <c r="A133" s="3118">
        <v>61</v>
      </c>
      <c r="B133" s="3904"/>
      <c r="C133" s="3118" t="s">
        <v>2783</v>
      </c>
      <c r="D133" s="3092" t="s">
        <v>2784</v>
      </c>
      <c r="E133" s="3118">
        <v>0.1</v>
      </c>
      <c r="F133" s="3118">
        <v>15</v>
      </c>
    </row>
    <row r="134" spans="1:6" ht="24">
      <c r="A134" s="3118">
        <v>62</v>
      </c>
      <c r="B134" s="3118" t="s">
        <v>2785</v>
      </c>
      <c r="C134" s="3118" t="s">
        <v>2786</v>
      </c>
      <c r="D134" s="3092" t="s">
        <v>2787</v>
      </c>
      <c r="E134" s="3118">
        <v>0.1</v>
      </c>
      <c r="F134" s="3118">
        <v>15</v>
      </c>
    </row>
    <row r="135" spans="1:6" ht="13.5">
      <c r="A135" s="3118">
        <v>63</v>
      </c>
      <c r="B135" s="3905" t="s">
        <v>2788</v>
      </c>
      <c r="C135" s="3118" t="s">
        <v>2789</v>
      </c>
      <c r="D135" s="3092" t="s">
        <v>2790</v>
      </c>
      <c r="E135" s="3118">
        <v>0.1</v>
      </c>
      <c r="F135" s="3118">
        <v>15</v>
      </c>
    </row>
    <row r="136" spans="1:6" ht="13.5">
      <c r="A136" s="3118">
        <v>64</v>
      </c>
      <c r="B136" s="3905"/>
      <c r="C136" s="3118" t="s">
        <v>2791</v>
      </c>
      <c r="D136" s="3092" t="s">
        <v>2792</v>
      </c>
      <c r="E136" s="3118">
        <v>0.1</v>
      </c>
      <c r="F136" s="3118">
        <v>15</v>
      </c>
    </row>
    <row r="137" spans="1:6" ht="13.5">
      <c r="A137" s="3118">
        <v>65</v>
      </c>
      <c r="B137" s="3118" t="s">
        <v>2793</v>
      </c>
      <c r="C137" s="3118" t="s">
        <v>2794</v>
      </c>
      <c r="D137" s="3092" t="s">
        <v>2795</v>
      </c>
      <c r="E137" s="3118">
        <v>0.1</v>
      </c>
      <c r="F137" s="3118">
        <v>15</v>
      </c>
    </row>
    <row r="138" spans="1:6" ht="13.5">
      <c r="A138" s="3118"/>
      <c r="B138" s="3118"/>
      <c r="C138" s="3118"/>
      <c r="D138" s="3118"/>
      <c r="E138" s="3118" t="s">
        <v>2796</v>
      </c>
      <c r="F138" s="3118" t="s">
        <v>2796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2797</v>
      </c>
      <c r="B1" s="3127"/>
      <c r="C1" s="3127"/>
      <c r="D1" s="3127"/>
      <c r="E1" s="3127"/>
      <c r="F1" s="3127"/>
      <c r="G1" s="3127"/>
      <c r="H1" s="3127"/>
      <c r="I1" s="3127"/>
      <c r="J1" s="3127"/>
      <c r="K1" s="3127"/>
      <c r="L1" s="3127"/>
      <c r="M1" s="3127"/>
      <c r="N1" s="749"/>
    </row>
    <row r="2" spans="1:20">
      <c r="A2" s="3128" t="s">
        <v>2798</v>
      </c>
      <c r="B2" s="3129" t="s">
        <v>2594</v>
      </c>
      <c r="C2" s="3129" t="s">
        <v>2595</v>
      </c>
      <c r="D2" s="3129" t="s">
        <v>2596</v>
      </c>
      <c r="E2" s="3129" t="s">
        <v>2597</v>
      </c>
      <c r="F2" s="3129" t="s">
        <v>2598</v>
      </c>
      <c r="G2" s="3129" t="s">
        <v>2599</v>
      </c>
      <c r="H2" s="3130" t="s">
        <v>2600</v>
      </c>
      <c r="I2" s="3130" t="s">
        <v>2601</v>
      </c>
      <c r="J2" s="3131" t="s">
        <v>2602</v>
      </c>
      <c r="K2" s="3131" t="s">
        <v>2603</v>
      </c>
      <c r="L2" s="3131" t="s">
        <v>2604</v>
      </c>
      <c r="M2" s="3132" t="s">
        <v>2605</v>
      </c>
      <c r="Q2" s="3142" t="s">
        <v>2803</v>
      </c>
      <c r="R2" s="3142" t="s">
        <v>2804</v>
      </c>
      <c r="S2" s="3142" t="s">
        <v>2805</v>
      </c>
      <c r="T2" s="3142" t="s">
        <v>2806</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2799</v>
      </c>
      <c r="B93" s="3127"/>
      <c r="C93" s="3127"/>
      <c r="D93" s="3127"/>
      <c r="E93" s="3127"/>
      <c r="F93" s="3127"/>
      <c r="G93" s="3127"/>
      <c r="H93" s="3127"/>
      <c r="I93" s="3127"/>
      <c r="J93" s="3127"/>
      <c r="K93" s="3127"/>
      <c r="L93" s="3127"/>
      <c r="M93" s="3127"/>
    </row>
    <row r="94" spans="1:20">
      <c r="A94" s="3128" t="s">
        <v>2798</v>
      </c>
      <c r="B94" s="3129" t="s">
        <v>2594</v>
      </c>
      <c r="C94" s="3129" t="s">
        <v>2595</v>
      </c>
      <c r="D94" s="3129" t="s">
        <v>2596</v>
      </c>
      <c r="E94" s="3129" t="s">
        <v>2597</v>
      </c>
      <c r="F94" s="3129" t="s">
        <v>2598</v>
      </c>
      <c r="G94" s="3129" t="s">
        <v>2599</v>
      </c>
      <c r="H94" s="3130" t="s">
        <v>2600</v>
      </c>
      <c r="I94" s="3130" t="s">
        <v>2601</v>
      </c>
      <c r="J94" s="3131" t="s">
        <v>2602</v>
      </c>
      <c r="K94" s="3131" t="s">
        <v>2603</v>
      </c>
      <c r="L94" s="3131" t="s">
        <v>2604</v>
      </c>
      <c r="M94" s="3132" t="s">
        <v>2605</v>
      </c>
      <c r="N94" s="750">
        <f>SUMPRODUCT((A95:A184=ROUNDDOWN(基准地价修正!G3,1))*(B94:M94=基准地价修正!G2)*(B95:M184))</f>
        <v>0</v>
      </c>
      <c r="Q94" s="3142" t="s">
        <v>2803</v>
      </c>
      <c r="R94" s="3142" t="s">
        <v>2804</v>
      </c>
      <c r="S94" s="3142" t="s">
        <v>2805</v>
      </c>
      <c r="T94" s="3142" t="s">
        <v>2806</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2800</v>
      </c>
      <c r="B185" s="3127"/>
      <c r="C185" s="3127"/>
      <c r="D185" s="3127"/>
      <c r="E185" s="3127"/>
      <c r="F185" s="3127"/>
      <c r="G185" s="3127"/>
      <c r="H185" s="3127"/>
      <c r="I185" s="3127"/>
      <c r="J185" s="3127"/>
      <c r="K185" s="3127"/>
      <c r="L185" s="3127"/>
      <c r="M185" s="3127"/>
    </row>
    <row r="186" spans="1:20">
      <c r="A186" s="3128" t="s">
        <v>2798</v>
      </c>
      <c r="B186" s="3129" t="s">
        <v>2594</v>
      </c>
      <c r="C186" s="3129" t="s">
        <v>2595</v>
      </c>
      <c r="D186" s="3129" t="s">
        <v>2596</v>
      </c>
      <c r="E186" s="3129" t="s">
        <v>2597</v>
      </c>
      <c r="F186" s="3129" t="s">
        <v>2598</v>
      </c>
      <c r="G186" s="3129" t="s">
        <v>2599</v>
      </c>
      <c r="H186" s="3130" t="s">
        <v>2600</v>
      </c>
      <c r="I186" s="3130" t="s">
        <v>2601</v>
      </c>
      <c r="J186" s="3131" t="s">
        <v>2602</v>
      </c>
      <c r="K186" s="3131" t="s">
        <v>2603</v>
      </c>
      <c r="L186" s="3131" t="s">
        <v>2604</v>
      </c>
      <c r="M186" s="3132" t="s">
        <v>2605</v>
      </c>
      <c r="Q186" s="3142" t="s">
        <v>2803</v>
      </c>
      <c r="R186" s="3142" t="s">
        <v>2804</v>
      </c>
      <c r="S186" s="3142" t="s">
        <v>2805</v>
      </c>
      <c r="T186" s="3142" t="s">
        <v>2806</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2801</v>
      </c>
      <c r="B277" s="3127"/>
      <c r="C277" s="3127"/>
      <c r="D277" s="3127"/>
      <c r="E277" s="3127"/>
      <c r="F277" s="3127"/>
      <c r="G277" s="3127"/>
      <c r="H277" s="3127"/>
      <c r="I277" s="3127"/>
      <c r="J277" s="3127"/>
      <c r="K277" s="3127"/>
      <c r="L277" s="3127"/>
      <c r="M277" s="3127"/>
    </row>
    <row r="278" spans="1:21">
      <c r="A278" s="3128" t="s">
        <v>2798</v>
      </c>
      <c r="B278" s="3129" t="s">
        <v>2594</v>
      </c>
      <c r="C278" s="3129" t="s">
        <v>2595</v>
      </c>
      <c r="D278" s="3129" t="s">
        <v>2596</v>
      </c>
      <c r="E278" s="3129" t="s">
        <v>2597</v>
      </c>
      <c r="F278" s="3129" t="s">
        <v>2598</v>
      </c>
      <c r="G278" s="3129" t="s">
        <v>2599</v>
      </c>
      <c r="H278" s="3130" t="s">
        <v>2600</v>
      </c>
      <c r="I278" s="3130" t="s">
        <v>2601</v>
      </c>
      <c r="J278" s="3131" t="s">
        <v>2602</v>
      </c>
      <c r="K278" s="3131" t="s">
        <v>2603</v>
      </c>
      <c r="L278" s="3131" t="s">
        <v>2604</v>
      </c>
      <c r="M278" s="3132" t="s">
        <v>2605</v>
      </c>
      <c r="Q278" s="3142" t="s">
        <v>2803</v>
      </c>
      <c r="R278" s="3142" t="s">
        <v>2804</v>
      </c>
      <c r="S278" s="3142" t="s">
        <v>2807</v>
      </c>
      <c r="T278" s="3142" t="s">
        <v>2808</v>
      </c>
      <c r="U278" s="3142" t="s">
        <v>2806</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2802</v>
      </c>
      <c r="B369" s="3140"/>
      <c r="C369" s="3140"/>
      <c r="D369" s="3140"/>
      <c r="E369" s="3140"/>
      <c r="F369" s="3140"/>
      <c r="G369" s="3140"/>
      <c r="H369" s="3140"/>
      <c r="I369" s="3140"/>
      <c r="J369" s="3140"/>
      <c r="K369" s="3140"/>
      <c r="L369" s="3140"/>
      <c r="M369" s="3140"/>
    </row>
    <row r="370" spans="1:20">
      <c r="A370" s="3128" t="s">
        <v>2798</v>
      </c>
      <c r="B370" s="3129" t="s">
        <v>2594</v>
      </c>
      <c r="C370" s="3129" t="s">
        <v>2595</v>
      </c>
      <c r="D370" s="3129" t="s">
        <v>2596</v>
      </c>
      <c r="E370" s="3129" t="s">
        <v>2597</v>
      </c>
      <c r="F370" s="3129" t="s">
        <v>2598</v>
      </c>
      <c r="G370" s="3129" t="s">
        <v>2599</v>
      </c>
      <c r="H370" s="3130" t="s">
        <v>2600</v>
      </c>
      <c r="I370" s="3130" t="s">
        <v>2601</v>
      </c>
      <c r="J370" s="3131" t="s">
        <v>2602</v>
      </c>
      <c r="K370" s="3131" t="s">
        <v>2603</v>
      </c>
      <c r="L370" s="3131" t="s">
        <v>2604</v>
      </c>
      <c r="M370" s="3132" t="s">
        <v>2605</v>
      </c>
      <c r="N370" s="750">
        <f>SUMPRODUCT((A371:A460=ROUNDDOWN(基准地价修正!G3,1))*(B370:M370=基准地价修正!G2)*(B371:M460))</f>
        <v>0</v>
      </c>
      <c r="Q370" s="3142" t="s">
        <v>2803</v>
      </c>
      <c r="R370" s="3142" t="s">
        <v>2804</v>
      </c>
      <c r="S370" s="3142" t="s">
        <v>2805</v>
      </c>
      <c r="T370" s="3142" t="s">
        <v>2806</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30517</v>
      </c>
      <c r="C2" s="2" t="s">
        <v>106</v>
      </c>
      <c r="D2" s="199"/>
      <c r="E2" s="199"/>
      <c r="F2" s="199"/>
      <c r="G2" s="199"/>
    </row>
    <row r="3" spans="1:7" s="200" customFormat="1" ht="18" customHeight="1" thickBot="1">
      <c r="A3" s="203" t="s">
        <v>58</v>
      </c>
      <c r="B3" s="204">
        <f ca="1">ROUND(B2*10000/'数据-汇总表'!E3,0)</f>
        <v>32938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185</v>
      </c>
      <c r="D10" s="845">
        <f>'数据-汇总表'!E6</f>
        <v>9265.11</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185</v>
      </c>
      <c r="D19" s="849">
        <f>'数据-汇总表'!E3</f>
        <v>9265.11</v>
      </c>
      <c r="E19" s="211">
        <f>'数据-取费表'!B31</f>
        <v>200</v>
      </c>
      <c r="F19" s="231"/>
      <c r="G19" s="1" t="s">
        <v>436</v>
      </c>
    </row>
    <row r="20" spans="1:7" s="214" customFormat="1" ht="13.5" customHeight="1">
      <c r="A20" s="777" t="s">
        <v>419</v>
      </c>
      <c r="B20" s="210" t="s">
        <v>77</v>
      </c>
      <c r="C20" s="232">
        <f>ROUND((C5+C19)*F20,0)</f>
        <v>208</v>
      </c>
      <c r="D20" s="232"/>
      <c r="E20" s="232"/>
      <c r="F20" s="233">
        <f>'数据-取费表'!B37</f>
        <v>0.01</v>
      </c>
      <c r="G20" s="1067" t="s">
        <v>430</v>
      </c>
    </row>
    <row r="21" spans="1:7" s="214" customFormat="1" ht="13.5" customHeight="1">
      <c r="A21" s="777" t="s">
        <v>421</v>
      </c>
      <c r="B21" s="210" t="s">
        <v>78</v>
      </c>
      <c r="C21" s="235">
        <f>F21</f>
        <v>0.01</v>
      </c>
      <c r="D21" s="236" t="s">
        <v>99</v>
      </c>
      <c r="E21" s="232"/>
      <c r="F21" s="233">
        <f>'数据-取费表'!B38</f>
        <v>0.01</v>
      </c>
      <c r="G21" s="234" t="s">
        <v>79</v>
      </c>
    </row>
    <row r="22" spans="1:7" s="214" customFormat="1" ht="13.5" customHeight="1">
      <c r="A22" s="777" t="s">
        <v>341</v>
      </c>
      <c r="B22" s="210" t="s">
        <v>80</v>
      </c>
      <c r="C22" s="1104">
        <f ca="1">ROUND(SUM(C23:C25),0)</f>
        <v>910</v>
      </c>
      <c r="D22" s="235">
        <f ca="1">C26</f>
        <v>2.0000000000000001E-4</v>
      </c>
      <c r="E22" s="236" t="s">
        <v>99</v>
      </c>
      <c r="F22" s="237">
        <f ca="1">'数据-取费表'!B40</f>
        <v>4.3499999999999997E-2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897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8</v>
      </c>
      <c r="D24" s="238"/>
      <c r="E24" s="238"/>
      <c r="F24" s="239"/>
      <c r="G24" s="240" t="s">
        <v>82</v>
      </c>
    </row>
    <row r="25" spans="1:7" s="214" customFormat="1" ht="24">
      <c r="A25" s="780" t="s">
        <v>348</v>
      </c>
      <c r="B25" s="215" t="s">
        <v>420</v>
      </c>
      <c r="C25" s="1105">
        <f ca="1">ROUND(IF('数据-取费表'!B22&lt;=1,C20*F22*'数据-取费表'!B23/2,C20*(POWER((1+F22),'数据-取费表'!B23/2)-1)),0)</f>
        <v>5</v>
      </c>
      <c r="D25" s="238"/>
      <c r="E25" s="241"/>
      <c r="F25" s="239"/>
      <c r="G25" s="242" t="s">
        <v>83</v>
      </c>
    </row>
    <row r="26" spans="1:7" s="214" customFormat="1">
      <c r="A26" s="780" t="s">
        <v>350</v>
      </c>
      <c r="B26" s="215" t="s">
        <v>422</v>
      </c>
      <c r="C26" s="238">
        <f ca="1">ROUND(IF('数据-取费表'!B22&lt;=1,F21*F22*'数据-取费表'!B23/2,F21*(POWER((1+F22),'数据-取费表'!B23/2)-1)),4)</f>
        <v>2.0000000000000001E-4</v>
      </c>
      <c r="D26" s="238"/>
      <c r="E26" s="241"/>
      <c r="F26" s="239"/>
      <c r="G26" s="243"/>
    </row>
    <row r="27" spans="1:7" s="214" customFormat="1" ht="24.75">
      <c r="A27" s="777" t="s">
        <v>342</v>
      </c>
      <c r="B27" s="244" t="s">
        <v>85</v>
      </c>
      <c r="C27" s="245">
        <f>C28</f>
        <v>3150</v>
      </c>
      <c r="D27" s="235">
        <f>C29</f>
        <v>1.5E-3</v>
      </c>
      <c r="E27" s="236" t="s">
        <v>99</v>
      </c>
      <c r="F27" s="246">
        <f>'数据-取费表'!Q16</f>
        <v>0.15</v>
      </c>
      <c r="G27" s="247" t="s">
        <v>431</v>
      </c>
    </row>
    <row r="28" spans="1:7" s="214" customFormat="1" ht="13.5" customHeight="1">
      <c r="A28" s="780" t="s">
        <v>349</v>
      </c>
      <c r="B28" s="248" t="s">
        <v>424</v>
      </c>
      <c r="C28" s="249">
        <f>ROUND((C5+C19+C20)*F27*'数据-取费表'!B21/'数据-取费表'!B20,0)</f>
        <v>3150</v>
      </c>
      <c r="D28" s="235"/>
      <c r="E28" s="236"/>
      <c r="F28" s="246"/>
      <c r="G28" s="247"/>
    </row>
    <row r="29" spans="1:7" s="214" customFormat="1" ht="13.5" customHeight="1">
      <c r="A29" s="780" t="s">
        <v>347</v>
      </c>
      <c r="B29" s="248" t="s">
        <v>425</v>
      </c>
      <c r="C29" s="238">
        <f>ROUND(C21*F27*'数据-取费表'!B21/'数据-取费表'!B20,4)</f>
        <v>1.5E-3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26806</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3574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3243</v>
      </c>
      <c r="D34" s="217"/>
      <c r="E34" s="220"/>
      <c r="F34" s="257">
        <f>IF('数据-取费表'!B24=0,1,'数据-取费表'!N16)</f>
        <v>1</v>
      </c>
      <c r="G34" s="219" t="s">
        <v>89</v>
      </c>
    </row>
    <row r="35" spans="1:7" ht="13.5" customHeight="1">
      <c r="A35" s="780" t="s">
        <v>351</v>
      </c>
      <c r="B35" s="215" t="s">
        <v>33</v>
      </c>
      <c r="C35" s="220">
        <f>ROUND(C34*F35,0)</f>
        <v>97</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185</v>
      </c>
      <c r="D37" s="217">
        <f>'数据-汇总表'!E3</f>
        <v>9265.11</v>
      </c>
      <c r="E37" s="249">
        <f>'数据-取费表'!B35</f>
        <v>200</v>
      </c>
      <c r="F37" s="259"/>
      <c r="G37" s="261" t="s">
        <v>92</v>
      </c>
    </row>
    <row r="38" spans="1:7" ht="13.5" customHeight="1">
      <c r="A38" s="780" t="s">
        <v>354</v>
      </c>
      <c r="B38" s="215" t="s">
        <v>36</v>
      </c>
      <c r="C38" s="220">
        <f>ROUND(C34*F38,0)</f>
        <v>49</v>
      </c>
      <c r="D38" s="220"/>
      <c r="E38" s="220"/>
      <c r="F38" s="259">
        <f>'数据-取费表'!B36</f>
        <v>1.4999999999999999E-2</v>
      </c>
      <c r="G38" s="219" t="s">
        <v>90</v>
      </c>
    </row>
    <row r="39" spans="1:7" s="214" customFormat="1" ht="13.5" customHeight="1">
      <c r="A39" s="777" t="s">
        <v>338</v>
      </c>
      <c r="B39" s="210" t="s">
        <v>77</v>
      </c>
      <c r="C39" s="232">
        <f>ROUND(C33*F20,0)</f>
        <v>36</v>
      </c>
      <c r="D39" s="232"/>
      <c r="E39" s="232"/>
      <c r="F39" s="233"/>
      <c r="G39" s="1067" t="s">
        <v>433</v>
      </c>
    </row>
    <row r="40" spans="1:7" s="214" customFormat="1" ht="13.5" customHeight="1">
      <c r="A40" s="777" t="s">
        <v>339</v>
      </c>
      <c r="B40" s="210" t="s">
        <v>78</v>
      </c>
      <c r="C40" s="262">
        <f>F21</f>
        <v>0.01</v>
      </c>
      <c r="D40" s="236" t="s">
        <v>102</v>
      </c>
      <c r="E40" s="232"/>
      <c r="F40" s="233"/>
      <c r="G40" s="234" t="s">
        <v>93</v>
      </c>
    </row>
    <row r="41" spans="1:7" s="214" customFormat="1" ht="13.5" customHeight="1">
      <c r="A41" s="777" t="s">
        <v>340</v>
      </c>
      <c r="B41" s="210" t="s">
        <v>80</v>
      </c>
      <c r="C41" s="232">
        <f ca="1">ROUND(SUM(C42:C43),0)</f>
        <v>79</v>
      </c>
      <c r="D41" s="235">
        <f ca="1">C44</f>
        <v>2.0000000000000001E-4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78</v>
      </c>
      <c r="D42" s="238"/>
      <c r="E42" s="238"/>
      <c r="F42" s="239"/>
      <c r="G42" s="3826" t="s">
        <v>94</v>
      </c>
    </row>
    <row r="43" spans="1:7" ht="13.5" customHeight="1">
      <c r="A43" s="780" t="s">
        <v>347</v>
      </c>
      <c r="B43" s="215" t="s">
        <v>426</v>
      </c>
      <c r="C43" s="238">
        <f ca="1">ROUND(IF('数据-取费表'!B22&lt;=1,C39*F22*'数据-取费表'!B21/2,C39*(POWER((1+F22),'数据-取费表'!B21/2)-1)),0)</f>
        <v>1</v>
      </c>
      <c r="D43" s="238"/>
      <c r="E43" s="238"/>
      <c r="F43" s="239"/>
      <c r="G43" s="3827"/>
    </row>
    <row r="44" spans="1:7" ht="13.5" customHeight="1">
      <c r="A44" s="780" t="s">
        <v>348</v>
      </c>
      <c r="B44" s="215" t="s">
        <v>428</v>
      </c>
      <c r="C44" s="238">
        <f ca="1">ROUND(IF('数据-取费表'!B22&lt;=1,C40*F22*'数据-取费表'!B21/2,C40*(POWER((1+F22),'数据-取费表'!B21/2)-1)),4)</f>
        <v>2.0000000000000001E-4</v>
      </c>
      <c r="D44" s="238"/>
      <c r="E44" s="238"/>
      <c r="F44" s="239"/>
      <c r="G44" s="3828"/>
    </row>
    <row r="45" spans="1:7" s="214" customFormat="1" ht="13.5" customHeight="1">
      <c r="A45" s="777" t="s">
        <v>341</v>
      </c>
      <c r="B45" s="244" t="s">
        <v>85</v>
      </c>
      <c r="C45" s="245">
        <f>C46</f>
        <v>542</v>
      </c>
      <c r="D45" s="235">
        <f>C47</f>
        <v>1.5E-3</v>
      </c>
      <c r="E45" s="236" t="s">
        <v>102</v>
      </c>
      <c r="F45" s="246"/>
      <c r="G45" s="247" t="s">
        <v>434</v>
      </c>
    </row>
    <row r="46" spans="1:7" s="214" customFormat="1" ht="13.5" customHeight="1">
      <c r="A46" s="780" t="s">
        <v>349</v>
      </c>
      <c r="B46" s="248" t="s">
        <v>427</v>
      </c>
      <c r="C46" s="249">
        <f>ROUND((C33+C39)*F27,0)</f>
        <v>542</v>
      </c>
      <c r="D46" s="263"/>
      <c r="E46" s="236"/>
      <c r="F46" s="246"/>
      <c r="G46" s="247"/>
    </row>
    <row r="47" spans="1:7" s="214" customFormat="1" ht="13.5" customHeight="1">
      <c r="A47" s="780" t="s">
        <v>347</v>
      </c>
      <c r="B47" s="248" t="s">
        <v>429</v>
      </c>
      <c r="C47" s="238">
        <f>ROUND(C40*F27,4)</f>
        <v>1.5E-3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4525</v>
      </c>
      <c r="D49" s="232"/>
      <c r="E49" s="232"/>
      <c r="F49" s="264"/>
      <c r="G49" s="234" t="s">
        <v>435</v>
      </c>
    </row>
    <row r="50" spans="1:7" s="258" customFormat="1" ht="24">
      <c r="A50" s="777" t="s">
        <v>344</v>
      </c>
      <c r="B50" s="210" t="s">
        <v>97</v>
      </c>
      <c r="C50" s="232"/>
      <c r="D50" s="232"/>
      <c r="E50" s="232"/>
      <c r="F50" s="264">
        <f>IF('数据-取费表'!B24=0,'数据-取费表'!N16,1)</f>
        <v>0.82</v>
      </c>
      <c r="G50" s="247" t="s">
        <v>98</v>
      </c>
    </row>
    <row r="51" spans="1:7" ht="16.5" customHeight="1">
      <c r="A51" s="777" t="s">
        <v>345</v>
      </c>
      <c r="B51" s="210" t="s">
        <v>105</v>
      </c>
      <c r="C51" s="232">
        <f ca="1">ROUND(C49*F50,0)</f>
        <v>3711</v>
      </c>
      <c r="D51" s="232"/>
      <c r="E51" s="232"/>
      <c r="F51" s="264"/>
      <c r="G51" s="234" t="s">
        <v>37</v>
      </c>
    </row>
    <row r="52" spans="1:7" s="208" customFormat="1" ht="16.5" thickBot="1">
      <c r="A52" s="265" t="s">
        <v>38</v>
      </c>
      <c r="B52" s="266"/>
      <c r="C52" s="267">
        <f ca="1">C31+C51</f>
        <v>30517</v>
      </c>
      <c r="D52" s="266"/>
      <c r="E52" s="266"/>
      <c r="F52" s="266"/>
      <c r="G52" s="268"/>
    </row>
    <row r="55" spans="1:7" ht="15">
      <c r="B55" s="270" t="s">
        <v>39</v>
      </c>
      <c r="C55" s="271"/>
    </row>
    <row r="56" spans="1:7">
      <c r="B56" s="273" t="s">
        <v>40</v>
      </c>
      <c r="C56" s="274">
        <f ca="1">ROUND(C51/C52,3)</f>
        <v>0.122</v>
      </c>
    </row>
    <row r="57" spans="1:7">
      <c r="B57" s="273" t="s">
        <v>41</v>
      </c>
      <c r="C57" s="275">
        <f ca="1">1-C56</f>
        <v>0.878</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E9A95-0928-4857-A826-88FE89E1F853}">
  <dimension ref="B2:D10"/>
  <sheetViews>
    <sheetView topLeftCell="A26" workbookViewId="0">
      <selection activeCell="J108" sqref="J108"/>
    </sheetView>
  </sheetViews>
  <sheetFormatPr defaultRowHeight="13.5"/>
  <cols>
    <col min="1" max="1" width="9" style="3458"/>
    <col min="2" max="2" width="13" style="3458" bestFit="1" customWidth="1"/>
    <col min="3" max="3" width="6.375" style="3458" bestFit="1" customWidth="1"/>
    <col min="4" max="16384" width="9" style="3458"/>
  </cols>
  <sheetData>
    <row r="2" spans="2:4">
      <c r="C2" s="3458" t="s">
        <v>3373</v>
      </c>
      <c r="D2" s="3458" t="s">
        <v>654</v>
      </c>
    </row>
    <row r="3" spans="2:4">
      <c r="B3" s="3458" t="s">
        <v>3374</v>
      </c>
      <c r="C3" s="3458" t="s">
        <v>3375</v>
      </c>
      <c r="D3" s="3458" t="s">
        <v>3376</v>
      </c>
    </row>
    <row r="4" spans="2:4">
      <c r="B4" s="3458" t="s">
        <v>3377</v>
      </c>
      <c r="C4" s="3458" t="s">
        <v>3375</v>
      </c>
      <c r="D4" s="3459" t="s">
        <v>3378</v>
      </c>
    </row>
    <row r="5" spans="2:4">
      <c r="B5" s="3458" t="s">
        <v>3379</v>
      </c>
      <c r="C5" s="3458" t="s">
        <v>3380</v>
      </c>
      <c r="D5" s="3458" t="s">
        <v>3381</v>
      </c>
    </row>
    <row r="6" spans="2:4">
      <c r="B6" s="3458" t="s">
        <v>3382</v>
      </c>
      <c r="C6" s="3458" t="s">
        <v>3383</v>
      </c>
      <c r="D6" s="3458" t="s">
        <v>3384</v>
      </c>
    </row>
    <row r="7" spans="2:4">
      <c r="B7" s="3458" t="s">
        <v>3385</v>
      </c>
      <c r="D7" s="3458" t="s">
        <v>3386</v>
      </c>
    </row>
    <row r="8" spans="2:4">
      <c r="B8" s="3458" t="s">
        <v>3387</v>
      </c>
      <c r="C8" s="3458" t="s">
        <v>3375</v>
      </c>
    </row>
    <row r="9" spans="2:4">
      <c r="B9" s="3458" t="s">
        <v>3388</v>
      </c>
      <c r="D9" s="3458" t="s">
        <v>3389</v>
      </c>
    </row>
    <row r="10" spans="2:4">
      <c r="B10" s="3458" t="s">
        <v>3390</v>
      </c>
      <c r="D10" s="3458" t="s">
        <v>3391</v>
      </c>
    </row>
  </sheetData>
  <phoneticPr fontId="134"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908" t="s">
        <v>2840</v>
      </c>
      <c r="B1" s="3908"/>
      <c r="C1" s="3908"/>
      <c r="D1" s="3908"/>
      <c r="E1" s="3908"/>
      <c r="F1" s="3908"/>
      <c r="G1" s="3909"/>
      <c r="I1" s="3223" t="s">
        <v>2841</v>
      </c>
      <c r="J1" s="3224" t="s">
        <v>2842</v>
      </c>
      <c r="K1" s="3224" t="s">
        <v>2843</v>
      </c>
      <c r="L1" s="3224" t="s">
        <v>2844</v>
      </c>
      <c r="M1" s="3224" t="s">
        <v>2845</v>
      </c>
      <c r="N1" s="3224" t="s">
        <v>2846</v>
      </c>
      <c r="O1" s="3224" t="s">
        <v>2847</v>
      </c>
      <c r="P1" s="3224" t="s">
        <v>2848</v>
      </c>
      <c r="Q1" s="3224" t="s">
        <v>2849</v>
      </c>
      <c r="R1" s="3224" t="s">
        <v>2850</v>
      </c>
      <c r="S1" s="3224" t="s">
        <v>2851</v>
      </c>
      <c r="T1" s="3225" t="s">
        <v>2852</v>
      </c>
    </row>
    <row r="2" spans="1:20" ht="12" thickBot="1">
      <c r="A2" s="3227" t="s">
        <v>2853</v>
      </c>
      <c r="B2" s="3227"/>
      <c r="C2" s="3227"/>
      <c r="D2" s="3227"/>
      <c r="E2" s="3227"/>
      <c r="F2" s="3227"/>
      <c r="G2" s="3228" t="s">
        <v>2854</v>
      </c>
      <c r="I2" s="3229" t="s">
        <v>2855</v>
      </c>
      <c r="J2" s="3229" t="s">
        <v>2856</v>
      </c>
      <c r="K2" s="3229" t="s">
        <v>2857</v>
      </c>
      <c r="L2" s="3229" t="s">
        <v>2858</v>
      </c>
      <c r="M2" s="3229" t="s">
        <v>2859</v>
      </c>
      <c r="N2" s="3229" t="s">
        <v>2860</v>
      </c>
      <c r="O2" s="3229" t="s">
        <v>2861</v>
      </c>
      <c r="P2" s="3229" t="s">
        <v>2862</v>
      </c>
      <c r="Q2" s="3229" t="s">
        <v>2863</v>
      </c>
      <c r="R2" s="3229" t="s">
        <v>2864</v>
      </c>
      <c r="S2" s="3229" t="s">
        <v>2865</v>
      </c>
      <c r="T2" s="3229" t="s">
        <v>2866</v>
      </c>
    </row>
    <row r="3" spans="1:20" s="3235" customFormat="1">
      <c r="A3" s="3906" t="s">
        <v>2867</v>
      </c>
      <c r="B3" s="3230"/>
      <c r="C3" s="3231" t="s">
        <v>2810</v>
      </c>
      <c r="D3" s="3231" t="s">
        <v>2868</v>
      </c>
      <c r="E3" s="3231" t="s">
        <v>2812</v>
      </c>
      <c r="F3" s="3231" t="s">
        <v>2869</v>
      </c>
      <c r="G3" s="3231" t="s">
        <v>2630</v>
      </c>
      <c r="H3" s="3232"/>
      <c r="I3" s="3233" t="s">
        <v>2870</v>
      </c>
      <c r="J3" s="3234" t="s">
        <v>128</v>
      </c>
      <c r="K3" s="3234" t="s">
        <v>129</v>
      </c>
      <c r="L3" s="3233" t="s">
        <v>130</v>
      </c>
      <c r="M3" s="3233" t="s">
        <v>131</v>
      </c>
      <c r="N3" s="3233" t="s">
        <v>132</v>
      </c>
      <c r="O3" s="3233" t="s">
        <v>133</v>
      </c>
      <c r="P3" s="3233" t="s">
        <v>134</v>
      </c>
      <c r="Q3" s="3233" t="s">
        <v>135</v>
      </c>
      <c r="R3" s="3233" t="s">
        <v>136</v>
      </c>
      <c r="S3" s="3233" t="s">
        <v>2871</v>
      </c>
      <c r="T3" s="3233" t="s">
        <v>2872</v>
      </c>
    </row>
    <row r="4" spans="1:20" s="3235" customFormat="1" ht="12" thickBot="1">
      <c r="A4" s="3907"/>
      <c r="B4" s="3236" t="s">
        <v>2873</v>
      </c>
      <c r="C4" s="3236" t="s">
        <v>2874</v>
      </c>
      <c r="D4" s="3236" t="s">
        <v>2874</v>
      </c>
      <c r="E4" s="3236" t="s">
        <v>2874</v>
      </c>
      <c r="F4" s="3237" t="s">
        <v>2874</v>
      </c>
      <c r="G4" s="3237" t="s">
        <v>2874</v>
      </c>
      <c r="H4" s="3232"/>
      <c r="I4" s="3234" t="s">
        <v>137</v>
      </c>
      <c r="J4" s="3234" t="s">
        <v>111</v>
      </c>
      <c r="K4" s="3234" t="s">
        <v>138</v>
      </c>
      <c r="L4" s="3233" t="s">
        <v>139</v>
      </c>
      <c r="M4" s="3233" t="s">
        <v>140</v>
      </c>
      <c r="N4" s="3233" t="s">
        <v>141</v>
      </c>
      <c r="O4" s="3233" t="s">
        <v>142</v>
      </c>
      <c r="P4" s="3233" t="s">
        <v>143</v>
      </c>
      <c r="Q4" s="3233" t="s">
        <v>2875</v>
      </c>
      <c r="R4" s="3233" t="s">
        <v>2876</v>
      </c>
      <c r="S4" s="3233" t="s">
        <v>2877</v>
      </c>
      <c r="T4" s="3233" t="s">
        <v>2878</v>
      </c>
    </row>
    <row r="5" spans="1:20">
      <c r="A5" s="3238" t="s">
        <v>2841</v>
      </c>
      <c r="B5" s="3229" t="s">
        <v>2855</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2879</v>
      </c>
      <c r="R5" s="3233" t="s">
        <v>2880</v>
      </c>
      <c r="S5" s="3233" t="s">
        <v>153</v>
      </c>
      <c r="T5" s="3233" t="s">
        <v>2881</v>
      </c>
    </row>
    <row r="6" spans="1:20" ht="12" thickBot="1">
      <c r="A6" s="3233" t="s">
        <v>144</v>
      </c>
      <c r="B6" s="3233" t="s">
        <v>2870</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2882</v>
      </c>
      <c r="Q6" s="3233" t="s">
        <v>2883</v>
      </c>
      <c r="R6" s="3233" t="s">
        <v>161</v>
      </c>
      <c r="S6" s="3233" t="s">
        <v>2884</v>
      </c>
      <c r="T6" s="3233" t="s">
        <v>2885</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2886</v>
      </c>
      <c r="Q7" s="3233" t="s">
        <v>2887</v>
      </c>
      <c r="R7" s="3233" t="s">
        <v>2888</v>
      </c>
      <c r="S7" s="3233" t="s">
        <v>2889</v>
      </c>
      <c r="T7" s="3233" t="s">
        <v>2890</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2891</v>
      </c>
      <c r="Q8" s="3233" t="s">
        <v>174</v>
      </c>
      <c r="R8" s="3233" t="s">
        <v>2892</v>
      </c>
      <c r="S8" s="3233" t="s">
        <v>2893</v>
      </c>
      <c r="T8" s="3240" t="s">
        <v>2894</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2895</v>
      </c>
      <c r="Q9" s="3233" t="s">
        <v>182</v>
      </c>
      <c r="R9" s="3233" t="s">
        <v>183</v>
      </c>
      <c r="S9" s="3233" t="s">
        <v>200</v>
      </c>
    </row>
    <row r="10" spans="1:20">
      <c r="A10" s="3238" t="s">
        <v>184</v>
      </c>
      <c r="B10" s="3229" t="s">
        <v>2856</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2896</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2897</v>
      </c>
      <c r="P11" s="3233" t="s">
        <v>191</v>
      </c>
      <c r="Q11" s="3233" t="s">
        <v>199</v>
      </c>
      <c r="R11" s="3233" t="s">
        <v>2898</v>
      </c>
      <c r="S11" s="3233" t="s">
        <v>2899</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2900</v>
      </c>
      <c r="P12" s="3233" t="s">
        <v>2901</v>
      </c>
      <c r="Q12" s="3233" t="s">
        <v>2902</v>
      </c>
      <c r="R12" s="3233" t="s">
        <v>2903</v>
      </c>
      <c r="S12" s="3233" t="s">
        <v>2904</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2905</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2906</v>
      </c>
      <c r="K14" s="3234" t="s">
        <v>215</v>
      </c>
      <c r="L14" s="3233" t="s">
        <v>216</v>
      </c>
      <c r="M14" s="3233" t="s">
        <v>217</v>
      </c>
      <c r="N14" s="3233" t="s">
        <v>218</v>
      </c>
      <c r="O14" s="3233" t="s">
        <v>240</v>
      </c>
      <c r="P14" s="3233" t="s">
        <v>213</v>
      </c>
      <c r="Q14" s="3233" t="s">
        <v>2907</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2908</v>
      </c>
      <c r="P15" s="3233" t="s">
        <v>2909</v>
      </c>
      <c r="Q15" s="3233" t="s">
        <v>242</v>
      </c>
      <c r="R15" s="3233" t="s">
        <v>2910</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2911</v>
      </c>
      <c r="P16" s="3233" t="s">
        <v>227</v>
      </c>
      <c r="Q16" s="3233" t="s">
        <v>250</v>
      </c>
      <c r="R16" s="3233" t="s">
        <v>207</v>
      </c>
      <c r="S16" s="3233" t="s">
        <v>2912</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2913</v>
      </c>
      <c r="P17" s="3233" t="s">
        <v>2914</v>
      </c>
      <c r="Q17" s="3233" t="s">
        <v>256</v>
      </c>
      <c r="R17" s="3233" t="s">
        <v>2915</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2916</v>
      </c>
      <c r="P18" s="3233" t="s">
        <v>241</v>
      </c>
      <c r="Q18" s="3233" t="s">
        <v>2917</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2918</v>
      </c>
      <c r="P19" s="3233" t="s">
        <v>249</v>
      </c>
      <c r="Q19" s="3233" t="s">
        <v>2919</v>
      </c>
      <c r="R19" s="3233" t="s">
        <v>265</v>
      </c>
      <c r="S19" s="3233" t="s">
        <v>2920</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2921</v>
      </c>
      <c r="P20" s="3233" t="s">
        <v>2922</v>
      </c>
      <c r="Q20" s="3233" t="s">
        <v>290</v>
      </c>
      <c r="R20" s="3233" t="s">
        <v>2923</v>
      </c>
      <c r="S20" s="3233" t="s">
        <v>277</v>
      </c>
    </row>
    <row r="21" spans="1:19" ht="14.25" customHeight="1" thickBot="1">
      <c r="A21" s="3233" t="s">
        <v>184</v>
      </c>
      <c r="B21" s="3234" t="s">
        <v>208</v>
      </c>
      <c r="C21" s="3233">
        <v>32370</v>
      </c>
      <c r="D21" s="3233">
        <v>26730</v>
      </c>
      <c r="E21" s="3233">
        <v>26640</v>
      </c>
      <c r="F21" s="3233"/>
      <c r="G21" s="3233">
        <v>19440</v>
      </c>
      <c r="J21" s="3240" t="s">
        <v>2924</v>
      </c>
      <c r="K21" s="3234" t="s">
        <v>267</v>
      </c>
      <c r="L21" s="3233" t="s">
        <v>268</v>
      </c>
      <c r="M21" s="3233" t="s">
        <v>269</v>
      </c>
      <c r="N21" s="3233" t="s">
        <v>270</v>
      </c>
      <c r="O21" s="3233" t="s">
        <v>264</v>
      </c>
      <c r="P21" s="3233" t="s">
        <v>283</v>
      </c>
      <c r="Q21" s="3233" t="s">
        <v>293</v>
      </c>
      <c r="R21" s="3233" t="s">
        <v>2925</v>
      </c>
      <c r="S21" s="3240" t="s">
        <v>2926</v>
      </c>
    </row>
    <row r="22" spans="1:19" ht="14.25" customHeight="1">
      <c r="A22" s="3233" t="s">
        <v>184</v>
      </c>
      <c r="B22" s="3234" t="s">
        <v>2906</v>
      </c>
      <c r="C22" s="3233">
        <v>29830</v>
      </c>
      <c r="D22" s="3233">
        <v>27600</v>
      </c>
      <c r="E22" s="3233">
        <v>28150</v>
      </c>
      <c r="F22" s="3233"/>
      <c r="G22" s="3233">
        <v>20080</v>
      </c>
      <c r="K22" s="3234" t="s">
        <v>2927</v>
      </c>
      <c r="L22" s="3233" t="s">
        <v>272</v>
      </c>
      <c r="M22" s="3233" t="s">
        <v>273</v>
      </c>
      <c r="N22" s="3233" t="s">
        <v>274</v>
      </c>
      <c r="O22" s="3233" t="s">
        <v>2928</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2929</v>
      </c>
      <c r="L23" s="3233" t="s">
        <v>278</v>
      </c>
      <c r="M23" s="3233" t="s">
        <v>279</v>
      </c>
      <c r="N23" s="3233" t="s">
        <v>2930</v>
      </c>
      <c r="O23" s="3233" t="s">
        <v>2931</v>
      </c>
      <c r="P23" s="3233" t="s">
        <v>289</v>
      </c>
      <c r="Q23" s="3233" t="s">
        <v>298</v>
      </c>
      <c r="R23" s="3233" t="s">
        <v>2932</v>
      </c>
    </row>
    <row r="24" spans="1:19" ht="14.25" customHeight="1">
      <c r="A24" s="3233" t="s">
        <v>184</v>
      </c>
      <c r="B24" s="3234" t="s">
        <v>230</v>
      </c>
      <c r="C24" s="3233">
        <v>27930</v>
      </c>
      <c r="D24" s="3233">
        <v>32260</v>
      </c>
      <c r="E24" s="3233">
        <v>32120</v>
      </c>
      <c r="F24" s="3233"/>
      <c r="G24" s="3233">
        <v>23470</v>
      </c>
      <c r="K24" s="3234" t="s">
        <v>2933</v>
      </c>
      <c r="L24" s="3233" t="s">
        <v>281</v>
      </c>
      <c r="M24" s="3233" t="s">
        <v>282</v>
      </c>
      <c r="N24" s="3233" t="s">
        <v>2934</v>
      </c>
      <c r="O24" s="3233" t="s">
        <v>285</v>
      </c>
      <c r="P24" s="3233" t="s">
        <v>2935</v>
      </c>
      <c r="Q24" s="3242" t="s">
        <v>2936</v>
      </c>
      <c r="R24" s="3233" t="s">
        <v>2937</v>
      </c>
    </row>
    <row r="25" spans="1:19" ht="14.25" customHeight="1">
      <c r="A25" s="3233" t="s">
        <v>184</v>
      </c>
      <c r="B25" s="3234" t="s">
        <v>235</v>
      </c>
      <c r="C25" s="3233">
        <v>32230</v>
      </c>
      <c r="D25" s="3233">
        <v>29640</v>
      </c>
      <c r="E25" s="3233">
        <v>29510</v>
      </c>
      <c r="F25" s="3233"/>
      <c r="G25" s="3233">
        <v>21560</v>
      </c>
      <c r="K25" s="3234" t="s">
        <v>2938</v>
      </c>
      <c r="L25" s="3233" t="s">
        <v>2939</v>
      </c>
      <c r="M25" s="3233" t="s">
        <v>284</v>
      </c>
      <c r="N25" s="3233" t="s">
        <v>292</v>
      </c>
      <c r="O25" s="3233" t="s">
        <v>288</v>
      </c>
      <c r="P25" s="3233" t="s">
        <v>275</v>
      </c>
      <c r="Q25" s="3242" t="s">
        <v>271</v>
      </c>
      <c r="R25" s="3233" t="s">
        <v>2940</v>
      </c>
    </row>
    <row r="26" spans="1:19" ht="14.25" customHeight="1" thickBot="1">
      <c r="A26" s="3233" t="s">
        <v>184</v>
      </c>
      <c r="B26" s="3234" t="s">
        <v>244</v>
      </c>
      <c r="C26" s="3233">
        <v>31690</v>
      </c>
      <c r="D26" s="3233">
        <v>27650</v>
      </c>
      <c r="E26" s="3233">
        <v>28200</v>
      </c>
      <c r="F26" s="3233"/>
      <c r="G26" s="3233">
        <v>20110</v>
      </c>
      <c r="K26" s="3239" t="s">
        <v>2941</v>
      </c>
      <c r="L26" s="3233" t="s">
        <v>2942</v>
      </c>
      <c r="M26" s="3233" t="s">
        <v>287</v>
      </c>
      <c r="N26" s="3233" t="s">
        <v>294</v>
      </c>
      <c r="O26" s="3233" t="s">
        <v>2943</v>
      </c>
      <c r="P26" s="3233" t="s">
        <v>2944</v>
      </c>
      <c r="Q26" s="3242" t="s">
        <v>276</v>
      </c>
      <c r="R26" s="3233" t="s">
        <v>2945</v>
      </c>
    </row>
    <row r="27" spans="1:19" ht="14.25" customHeight="1">
      <c r="A27" s="3233" t="s">
        <v>184</v>
      </c>
      <c r="B27" s="3234" t="s">
        <v>251</v>
      </c>
      <c r="C27" s="3233">
        <v>29610</v>
      </c>
      <c r="D27" s="3233">
        <v>27770</v>
      </c>
      <c r="E27" s="3233">
        <v>28300</v>
      </c>
      <c r="F27" s="3233"/>
      <c r="G27" s="3233">
        <v>20210</v>
      </c>
      <c r="L27" s="3233" t="s">
        <v>2946</v>
      </c>
      <c r="M27" s="3233" t="s">
        <v>291</v>
      </c>
      <c r="N27" s="3233" t="s">
        <v>297</v>
      </c>
      <c r="O27" s="3233" t="s">
        <v>2947</v>
      </c>
      <c r="P27" s="3233" t="s">
        <v>2948</v>
      </c>
      <c r="Q27" s="3233" t="s">
        <v>2949</v>
      </c>
      <c r="R27" s="3233" t="s">
        <v>2950</v>
      </c>
    </row>
    <row r="28" spans="1:19" ht="14.25" customHeight="1">
      <c r="A28" s="3233" t="s">
        <v>184</v>
      </c>
      <c r="B28" s="3234" t="s">
        <v>259</v>
      </c>
      <c r="C28" s="3233"/>
      <c r="D28" s="3233">
        <v>31520</v>
      </c>
      <c r="E28" s="3233">
        <v>31410</v>
      </c>
      <c r="F28" s="3233"/>
      <c r="G28" s="3233">
        <v>22940</v>
      </c>
      <c r="L28" s="3233" t="s">
        <v>2951</v>
      </c>
      <c r="M28" s="3233" t="s">
        <v>2952</v>
      </c>
      <c r="N28" s="3233" t="s">
        <v>2953</v>
      </c>
      <c r="O28" s="3233" t="s">
        <v>2954</v>
      </c>
      <c r="P28" s="3233" t="s">
        <v>2955</v>
      </c>
      <c r="Q28" s="3233" t="s">
        <v>2956</v>
      </c>
      <c r="R28" s="3233" t="s">
        <v>2957</v>
      </c>
    </row>
    <row r="29" spans="1:19" ht="14.25" customHeight="1" thickBot="1">
      <c r="A29" s="3241" t="s">
        <v>184</v>
      </c>
      <c r="B29" s="3243" t="s">
        <v>2924</v>
      </c>
      <c r="C29" s="3244"/>
      <c r="D29" s="3244">
        <v>29460</v>
      </c>
      <c r="E29" s="3244">
        <v>28640</v>
      </c>
      <c r="F29" s="3244"/>
      <c r="G29" s="3244">
        <v>21430</v>
      </c>
      <c r="L29" s="3233" t="s">
        <v>2958</v>
      </c>
      <c r="M29" s="3233" t="s">
        <v>2959</v>
      </c>
      <c r="N29" s="3233" t="s">
        <v>2960</v>
      </c>
      <c r="O29" s="3233" t="s">
        <v>2961</v>
      </c>
      <c r="P29" s="3233" t="s">
        <v>2962</v>
      </c>
      <c r="Q29" s="3233" t="s">
        <v>2963</v>
      </c>
      <c r="R29" s="3233" t="s">
        <v>280</v>
      </c>
    </row>
    <row r="30" spans="1:19" ht="14.25" customHeight="1">
      <c r="A30" s="3238" t="s">
        <v>296</v>
      </c>
      <c r="B30" s="3229" t="s">
        <v>2857</v>
      </c>
      <c r="C30" s="3229">
        <v>26890</v>
      </c>
      <c r="D30" s="3229">
        <v>26770</v>
      </c>
      <c r="E30" s="3229">
        <v>25700</v>
      </c>
      <c r="F30" s="3229">
        <v>8180</v>
      </c>
      <c r="G30" s="3245">
        <v>18740</v>
      </c>
      <c r="L30" s="3233" t="s">
        <v>2964</v>
      </c>
      <c r="M30" s="3233" t="s">
        <v>2965</v>
      </c>
      <c r="N30" s="3233" t="s">
        <v>2966</v>
      </c>
      <c r="O30" s="3233" t="s">
        <v>2967</v>
      </c>
      <c r="P30" s="3233" t="s">
        <v>2968</v>
      </c>
      <c r="Q30" s="3233" t="s">
        <v>2969</v>
      </c>
      <c r="R30" s="3233" t="s">
        <v>2970</v>
      </c>
    </row>
    <row r="31" spans="1:19" ht="14.25" customHeight="1">
      <c r="A31" s="3233" t="s">
        <v>296</v>
      </c>
      <c r="B31" s="3234" t="s">
        <v>129</v>
      </c>
      <c r="C31" s="3233">
        <v>24550</v>
      </c>
      <c r="D31" s="3233">
        <v>23990</v>
      </c>
      <c r="E31" s="3233">
        <v>22930</v>
      </c>
      <c r="F31" s="3233">
        <v>7470</v>
      </c>
      <c r="G31" s="3246">
        <v>16790</v>
      </c>
      <c r="L31" s="3233" t="s">
        <v>2971</v>
      </c>
      <c r="M31" s="3233" t="s">
        <v>2972</v>
      </c>
      <c r="N31" s="3233" t="s">
        <v>2973</v>
      </c>
      <c r="O31" s="3233" t="s">
        <v>2974</v>
      </c>
      <c r="P31" s="3233" t="s">
        <v>2975</v>
      </c>
      <c r="Q31" s="3233" t="s">
        <v>2976</v>
      </c>
      <c r="R31" s="3233" t="s">
        <v>2977</v>
      </c>
    </row>
    <row r="32" spans="1:19" ht="14.25" customHeight="1" thickBot="1">
      <c r="A32" s="3233" t="s">
        <v>296</v>
      </c>
      <c r="B32" s="3234" t="s">
        <v>138</v>
      </c>
      <c r="C32" s="3233">
        <v>27210</v>
      </c>
      <c r="D32" s="3233">
        <v>23240</v>
      </c>
      <c r="E32" s="3233">
        <v>23260</v>
      </c>
      <c r="F32" s="3233">
        <v>7130</v>
      </c>
      <c r="G32" s="3246">
        <v>16270</v>
      </c>
      <c r="L32" s="3233" t="s">
        <v>2978</v>
      </c>
      <c r="M32" s="3233" t="s">
        <v>2979</v>
      </c>
      <c r="N32" s="3233" t="s">
        <v>300</v>
      </c>
      <c r="O32" s="3233" t="s">
        <v>2980</v>
      </c>
      <c r="P32" s="3233" t="s">
        <v>299</v>
      </c>
      <c r="Q32" s="3233" t="s">
        <v>2981</v>
      </c>
      <c r="R32" s="3240" t="s">
        <v>2982</v>
      </c>
    </row>
    <row r="33" spans="1:17" ht="14.25" customHeight="1" thickBot="1">
      <c r="A33" s="3233" t="s">
        <v>296</v>
      </c>
      <c r="B33" s="3234" t="s">
        <v>147</v>
      </c>
      <c r="C33" s="3233">
        <v>27300</v>
      </c>
      <c r="D33" s="3233">
        <v>22980</v>
      </c>
      <c r="E33" s="3233">
        <v>24260</v>
      </c>
      <c r="F33" s="3233">
        <v>5860</v>
      </c>
      <c r="G33" s="3246">
        <v>16090</v>
      </c>
      <c r="L33" s="3240" t="s">
        <v>2983</v>
      </c>
      <c r="M33" s="3233" t="s">
        <v>2984</v>
      </c>
      <c r="N33" s="3233" t="s">
        <v>301</v>
      </c>
      <c r="O33" s="3233" t="s">
        <v>2985</v>
      </c>
      <c r="P33" s="3233" t="s">
        <v>2986</v>
      </c>
      <c r="Q33" s="3233" t="s">
        <v>2987</v>
      </c>
    </row>
    <row r="34" spans="1:17" ht="14.25" customHeight="1">
      <c r="A34" s="3233" t="s">
        <v>296</v>
      </c>
      <c r="B34" s="3234" t="s">
        <v>156</v>
      </c>
      <c r="C34" s="3233">
        <v>23090</v>
      </c>
      <c r="D34" s="3233">
        <v>23390</v>
      </c>
      <c r="E34" s="3233">
        <v>23510</v>
      </c>
      <c r="F34" s="3233">
        <v>6700</v>
      </c>
      <c r="G34" s="3246">
        <v>16370</v>
      </c>
      <c r="M34" s="3233" t="s">
        <v>2988</v>
      </c>
      <c r="N34" s="3233" t="s">
        <v>302</v>
      </c>
      <c r="O34" s="3233" t="s">
        <v>2989</v>
      </c>
      <c r="P34" s="3233" t="s">
        <v>2990</v>
      </c>
      <c r="Q34" s="3233" t="s">
        <v>2991</v>
      </c>
    </row>
    <row r="35" spans="1:17" ht="14.25" customHeight="1">
      <c r="A35" s="3233" t="s">
        <v>296</v>
      </c>
      <c r="B35" s="3234" t="s">
        <v>163</v>
      </c>
      <c r="C35" s="3233">
        <v>27270</v>
      </c>
      <c r="D35" s="3233">
        <v>24270</v>
      </c>
      <c r="E35" s="3233">
        <v>24950</v>
      </c>
      <c r="F35" s="3233">
        <v>6600</v>
      </c>
      <c r="G35" s="3246">
        <v>16990</v>
      </c>
      <c r="M35" s="3233" t="s">
        <v>2992</v>
      </c>
      <c r="N35" s="3233" t="s">
        <v>2993</v>
      </c>
      <c r="O35" s="3233" t="s">
        <v>2994</v>
      </c>
      <c r="P35" s="3233" t="s">
        <v>2995</v>
      </c>
      <c r="Q35" s="3233" t="s">
        <v>2996</v>
      </c>
    </row>
    <row r="36" spans="1:17" ht="14.25" customHeight="1">
      <c r="A36" s="3233" t="s">
        <v>296</v>
      </c>
      <c r="B36" s="3234" t="s">
        <v>169</v>
      </c>
      <c r="C36" s="3233">
        <v>23490</v>
      </c>
      <c r="D36" s="3233">
        <v>23020</v>
      </c>
      <c r="E36" s="3233">
        <v>25230</v>
      </c>
      <c r="F36" s="3233">
        <v>6780</v>
      </c>
      <c r="G36" s="3246">
        <v>16120</v>
      </c>
      <c r="M36" s="3233" t="s">
        <v>2997</v>
      </c>
      <c r="N36" s="3233" t="s">
        <v>2998</v>
      </c>
      <c r="O36" s="3233" t="s">
        <v>2999</v>
      </c>
      <c r="P36" s="3233" t="s">
        <v>3000</v>
      </c>
      <c r="Q36" s="3233" t="s">
        <v>3001</v>
      </c>
    </row>
    <row r="37" spans="1:17" ht="14.25" customHeight="1">
      <c r="A37" s="3233" t="s">
        <v>296</v>
      </c>
      <c r="B37" s="3234" t="s">
        <v>176</v>
      </c>
      <c r="C37" s="3233">
        <v>24380</v>
      </c>
      <c r="D37" s="3233">
        <v>22240</v>
      </c>
      <c r="E37" s="3233">
        <v>25980</v>
      </c>
      <c r="F37" s="3233">
        <v>8160</v>
      </c>
      <c r="G37" s="3246">
        <v>15570</v>
      </c>
      <c r="M37" s="3233" t="s">
        <v>3002</v>
      </c>
      <c r="N37" s="3233" t="s">
        <v>3003</v>
      </c>
      <c r="O37" s="3233" t="s">
        <v>3004</v>
      </c>
      <c r="P37" s="3233" t="s">
        <v>3005</v>
      </c>
      <c r="Q37" s="3233" t="s">
        <v>3006</v>
      </c>
    </row>
    <row r="38" spans="1:17" ht="14.25" customHeight="1">
      <c r="A38" s="3233" t="s">
        <v>296</v>
      </c>
      <c r="B38" s="3234" t="s">
        <v>186</v>
      </c>
      <c r="C38" s="3233">
        <v>23120</v>
      </c>
      <c r="D38" s="3233">
        <v>24630</v>
      </c>
      <c r="E38" s="3233">
        <v>25030</v>
      </c>
      <c r="F38" s="3233">
        <v>7710</v>
      </c>
      <c r="G38" s="3246">
        <v>17240</v>
      </c>
      <c r="M38" s="3233" t="s">
        <v>3007</v>
      </c>
      <c r="N38" s="3233" t="s">
        <v>3008</v>
      </c>
      <c r="O38" s="3233" t="s">
        <v>3009</v>
      </c>
      <c r="P38" s="3233" t="s">
        <v>3010</v>
      </c>
      <c r="Q38" s="3233" t="s">
        <v>3011</v>
      </c>
    </row>
    <row r="39" spans="1:17" ht="14.25" customHeight="1">
      <c r="A39" s="3233" t="s">
        <v>296</v>
      </c>
      <c r="B39" s="3234" t="s">
        <v>195</v>
      </c>
      <c r="C39" s="3233">
        <v>22330</v>
      </c>
      <c r="D39" s="3233">
        <v>21140</v>
      </c>
      <c r="E39" s="3233">
        <v>23970</v>
      </c>
      <c r="F39" s="3233">
        <v>7940</v>
      </c>
      <c r="G39" s="3246">
        <v>14790</v>
      </c>
      <c r="M39" s="3233" t="s">
        <v>3012</v>
      </c>
      <c r="N39" s="3233" t="s">
        <v>3013</v>
      </c>
      <c r="O39" s="3233" t="s">
        <v>3014</v>
      </c>
      <c r="P39" s="3233" t="s">
        <v>3015</v>
      </c>
      <c r="Q39" s="3233" t="s">
        <v>3016</v>
      </c>
    </row>
    <row r="40" spans="1:17" ht="14.25" customHeight="1">
      <c r="A40" s="3233" t="s">
        <v>296</v>
      </c>
      <c r="B40" s="3234" t="s">
        <v>202</v>
      </c>
      <c r="C40" s="3233">
        <v>24740</v>
      </c>
      <c r="D40" s="3233">
        <v>24690</v>
      </c>
      <c r="E40" s="3233">
        <v>22610</v>
      </c>
      <c r="F40" s="3233"/>
      <c r="G40" s="3246">
        <v>17280</v>
      </c>
      <c r="M40" s="3233" t="s">
        <v>3017</v>
      </c>
      <c r="N40" s="3233" t="s">
        <v>3018</v>
      </c>
      <c r="O40" s="3233" t="s">
        <v>3019</v>
      </c>
      <c r="P40" s="3233" t="s">
        <v>3020</v>
      </c>
      <c r="Q40" s="3233" t="s">
        <v>3021</v>
      </c>
    </row>
    <row r="41" spans="1:17" ht="14.25" customHeight="1" thickBot="1">
      <c r="A41" s="3233" t="s">
        <v>296</v>
      </c>
      <c r="B41" s="3234" t="s">
        <v>209</v>
      </c>
      <c r="C41" s="3233">
        <v>21220</v>
      </c>
      <c r="D41" s="3233">
        <v>21120</v>
      </c>
      <c r="E41" s="3233">
        <v>22590</v>
      </c>
      <c r="F41" s="3233"/>
      <c r="G41" s="3246">
        <v>14780</v>
      </c>
      <c r="M41" s="3240" t="s">
        <v>3022</v>
      </c>
      <c r="N41" s="3233" t="s">
        <v>3023</v>
      </c>
      <c r="O41" s="3233" t="s">
        <v>3024</v>
      </c>
      <c r="P41" s="3233" t="s">
        <v>3025</v>
      </c>
      <c r="Q41" s="3233" t="s">
        <v>3026</v>
      </c>
    </row>
    <row r="42" spans="1:17" ht="14.25" customHeight="1">
      <c r="A42" s="3233" t="s">
        <v>296</v>
      </c>
      <c r="B42" s="3234" t="s">
        <v>215</v>
      </c>
      <c r="C42" s="3233">
        <v>24800</v>
      </c>
      <c r="D42" s="3233">
        <v>22280</v>
      </c>
      <c r="E42" s="3233">
        <v>24350</v>
      </c>
      <c r="F42" s="3233"/>
      <c r="G42" s="3246">
        <v>15590</v>
      </c>
      <c r="N42" s="3233" t="s">
        <v>3027</v>
      </c>
      <c r="O42" s="3233" t="s">
        <v>3028</v>
      </c>
      <c r="P42" s="3233" t="s">
        <v>3029</v>
      </c>
      <c r="Q42" s="3233" t="s">
        <v>3030</v>
      </c>
    </row>
    <row r="43" spans="1:17" ht="14.25" customHeight="1">
      <c r="A43" s="3233" t="s">
        <v>3031</v>
      </c>
      <c r="B43" s="3234" t="s">
        <v>223</v>
      </c>
      <c r="C43" s="3233">
        <v>21210</v>
      </c>
      <c r="D43" s="3233">
        <v>21160</v>
      </c>
      <c r="E43" s="3233">
        <v>22650</v>
      </c>
      <c r="F43" s="3233"/>
      <c r="G43" s="3246">
        <v>14800</v>
      </c>
      <c r="N43" s="3233" t="s">
        <v>3032</v>
      </c>
      <c r="O43" s="3233" t="s">
        <v>3033</v>
      </c>
      <c r="P43" s="3233" t="s">
        <v>3034</v>
      </c>
      <c r="Q43" s="3233" t="s">
        <v>3035</v>
      </c>
    </row>
    <row r="44" spans="1:17" ht="14.25" customHeight="1" thickBot="1">
      <c r="A44" s="3233" t="s">
        <v>296</v>
      </c>
      <c r="B44" s="3234" t="s">
        <v>231</v>
      </c>
      <c r="C44" s="3233">
        <v>22370</v>
      </c>
      <c r="D44" s="3233">
        <v>23140</v>
      </c>
      <c r="E44" s="3233">
        <v>25090</v>
      </c>
      <c r="F44" s="3233"/>
      <c r="G44" s="3246">
        <v>16190</v>
      </c>
      <c r="N44" s="3233" t="s">
        <v>3036</v>
      </c>
      <c r="O44" s="3233" t="s">
        <v>3037</v>
      </c>
      <c r="P44" s="3240" t="s">
        <v>3038</v>
      </c>
      <c r="Q44" s="3233" t="s">
        <v>3039</v>
      </c>
    </row>
    <row r="45" spans="1:17" ht="14.25" customHeight="1" thickBot="1">
      <c r="A45" s="3233" t="s">
        <v>296</v>
      </c>
      <c r="B45" s="3234" t="s">
        <v>236</v>
      </c>
      <c r="C45" s="3233">
        <v>21240</v>
      </c>
      <c r="D45" s="3233">
        <v>27050</v>
      </c>
      <c r="E45" s="3233">
        <v>28000</v>
      </c>
      <c r="F45" s="3233"/>
      <c r="G45" s="3246">
        <v>18940</v>
      </c>
      <c r="N45" s="3233" t="s">
        <v>3040</v>
      </c>
      <c r="O45" s="3240" t="s">
        <v>3041</v>
      </c>
      <c r="Q45" s="3233" t="s">
        <v>3042</v>
      </c>
    </row>
    <row r="46" spans="1:17" ht="14.25" customHeight="1">
      <c r="A46" s="3233" t="s">
        <v>296</v>
      </c>
      <c r="B46" s="3234" t="s">
        <v>245</v>
      </c>
      <c r="C46" s="3233">
        <v>23240</v>
      </c>
      <c r="D46" s="3233">
        <v>23000</v>
      </c>
      <c r="E46" s="3233">
        <v>24980</v>
      </c>
      <c r="F46" s="3233"/>
      <c r="G46" s="3246">
        <v>16100</v>
      </c>
      <c r="N46" s="3233" t="s">
        <v>3043</v>
      </c>
      <c r="Q46" s="3233" t="s">
        <v>3044</v>
      </c>
    </row>
    <row r="47" spans="1:17" ht="14.25" customHeight="1">
      <c r="A47" s="3233" t="s">
        <v>296</v>
      </c>
      <c r="B47" s="3234" t="s">
        <v>252</v>
      </c>
      <c r="C47" s="3233">
        <v>27150</v>
      </c>
      <c r="D47" s="3233">
        <v>23310</v>
      </c>
      <c r="E47" s="3233">
        <v>25150</v>
      </c>
      <c r="F47" s="3233"/>
      <c r="G47" s="3246">
        <v>16310</v>
      </c>
      <c r="N47" s="3233" t="s">
        <v>3045</v>
      </c>
      <c r="Q47" s="3233" t="s">
        <v>3046</v>
      </c>
    </row>
    <row r="48" spans="1:17" ht="14.25" customHeight="1">
      <c r="A48" s="3233" t="s">
        <v>296</v>
      </c>
      <c r="B48" s="3234" t="s">
        <v>260</v>
      </c>
      <c r="C48" s="3233">
        <v>23100</v>
      </c>
      <c r="D48" s="3233">
        <v>21110</v>
      </c>
      <c r="E48" s="3233">
        <v>23080</v>
      </c>
      <c r="F48" s="3233"/>
      <c r="G48" s="3246">
        <v>14780</v>
      </c>
      <c r="N48" s="3233" t="s">
        <v>3047</v>
      </c>
      <c r="Q48" s="3233" t="s">
        <v>3048</v>
      </c>
    </row>
    <row r="49" spans="1:17" ht="14.25" customHeight="1">
      <c r="A49" s="3233" t="s">
        <v>296</v>
      </c>
      <c r="B49" s="3234" t="s">
        <v>267</v>
      </c>
      <c r="C49" s="3233">
        <v>23400</v>
      </c>
      <c r="D49" s="3233">
        <v>22920</v>
      </c>
      <c r="E49" s="3233">
        <v>24900</v>
      </c>
      <c r="F49" s="3233"/>
      <c r="G49" s="3246">
        <v>16040</v>
      </c>
      <c r="N49" s="3233" t="s">
        <v>3049</v>
      </c>
      <c r="Q49" s="3233" t="s">
        <v>3050</v>
      </c>
    </row>
    <row r="50" spans="1:17" ht="14.25" customHeight="1">
      <c r="A50" s="3233" t="s">
        <v>296</v>
      </c>
      <c r="B50" s="3234" t="s">
        <v>2927</v>
      </c>
      <c r="C50" s="3233">
        <v>21200</v>
      </c>
      <c r="D50" s="3233">
        <v>26540</v>
      </c>
      <c r="E50" s="3233">
        <v>23200</v>
      </c>
      <c r="F50" s="3233"/>
      <c r="G50" s="3246">
        <v>18580</v>
      </c>
      <c r="N50" s="3233" t="s">
        <v>3051</v>
      </c>
      <c r="Q50" s="3234" t="s">
        <v>3052</v>
      </c>
    </row>
    <row r="51" spans="1:17" ht="14.25" customHeight="1" thickBot="1">
      <c r="A51" s="3233" t="s">
        <v>296</v>
      </c>
      <c r="B51" s="3234" t="s">
        <v>2929</v>
      </c>
      <c r="C51" s="3233">
        <v>23000</v>
      </c>
      <c r="D51" s="3233">
        <v>23460</v>
      </c>
      <c r="E51" s="3233">
        <v>25290</v>
      </c>
      <c r="F51" s="3233"/>
      <c r="G51" s="3246">
        <v>16420</v>
      </c>
      <c r="N51" s="3233" t="s">
        <v>3053</v>
      </c>
      <c r="Q51" s="3240" t="s">
        <v>3054</v>
      </c>
    </row>
    <row r="52" spans="1:17" ht="14.25" customHeight="1">
      <c r="A52" s="3233" t="s">
        <v>296</v>
      </c>
      <c r="B52" s="3234" t="s">
        <v>2933</v>
      </c>
      <c r="C52" s="3233">
        <v>26660</v>
      </c>
      <c r="D52" s="3233">
        <v>22350</v>
      </c>
      <c r="E52" s="3233">
        <v>22920</v>
      </c>
      <c r="F52" s="3233"/>
      <c r="G52" s="3246">
        <v>15640</v>
      </c>
      <c r="N52" s="3233" t="s">
        <v>3055</v>
      </c>
    </row>
    <row r="53" spans="1:17" ht="14.25" customHeight="1">
      <c r="A53" s="3233" t="s">
        <v>296</v>
      </c>
      <c r="B53" s="3234" t="s">
        <v>2938</v>
      </c>
      <c r="C53" s="3233">
        <v>23580</v>
      </c>
      <c r="D53" s="3233"/>
      <c r="E53" s="3233">
        <v>24280</v>
      </c>
      <c r="F53" s="3233"/>
      <c r="G53" s="3246"/>
      <c r="N53" s="3233" t="s">
        <v>3056</v>
      </c>
    </row>
    <row r="54" spans="1:17" ht="14.25" customHeight="1" thickBot="1">
      <c r="A54" s="3247" t="s">
        <v>296</v>
      </c>
      <c r="B54" s="3239" t="s">
        <v>2941</v>
      </c>
      <c r="C54" s="3240">
        <v>22460</v>
      </c>
      <c r="D54" s="3240"/>
      <c r="E54" s="3240"/>
      <c r="F54" s="3240"/>
      <c r="G54" s="3248"/>
      <c r="N54" s="3233" t="s">
        <v>3057</v>
      </c>
    </row>
    <row r="55" spans="1:17" ht="14.25" customHeight="1">
      <c r="A55" s="3238" t="s">
        <v>110</v>
      </c>
      <c r="B55" s="3229" t="s">
        <v>3058</v>
      </c>
      <c r="C55" s="3233">
        <v>21970</v>
      </c>
      <c r="D55" s="3233">
        <v>20370</v>
      </c>
      <c r="E55" s="3233">
        <v>20180</v>
      </c>
      <c r="F55" s="3233">
        <v>5730</v>
      </c>
      <c r="G55" s="3233">
        <v>13820</v>
      </c>
      <c r="N55" s="3233" t="s">
        <v>3059</v>
      </c>
    </row>
    <row r="56" spans="1:17" ht="14.25" customHeight="1">
      <c r="A56" s="3233" t="s">
        <v>110</v>
      </c>
      <c r="B56" s="3233" t="s">
        <v>130</v>
      </c>
      <c r="C56" s="3233">
        <v>20470</v>
      </c>
      <c r="D56" s="3233">
        <v>20700</v>
      </c>
      <c r="E56" s="3233">
        <v>20380</v>
      </c>
      <c r="F56" s="3233">
        <v>4760</v>
      </c>
      <c r="G56" s="3233">
        <v>14050</v>
      </c>
      <c r="N56" s="3233" t="s">
        <v>3060</v>
      </c>
    </row>
    <row r="57" spans="1:17" ht="14.25" customHeight="1">
      <c r="A57" s="3233" t="s">
        <v>110</v>
      </c>
      <c r="B57" s="3233" t="s">
        <v>139</v>
      </c>
      <c r="C57" s="3233">
        <v>20790</v>
      </c>
      <c r="D57" s="3233">
        <v>21370</v>
      </c>
      <c r="E57" s="3233">
        <v>20890</v>
      </c>
      <c r="F57" s="3233">
        <v>4910</v>
      </c>
      <c r="G57" s="3233">
        <v>14510</v>
      </c>
      <c r="N57" s="3233" t="s">
        <v>3061</v>
      </c>
    </row>
    <row r="58" spans="1:17" ht="14.25" customHeight="1">
      <c r="A58" s="3233" t="s">
        <v>110</v>
      </c>
      <c r="B58" s="3233" t="s">
        <v>148</v>
      </c>
      <c r="C58" s="3233">
        <v>21460</v>
      </c>
      <c r="D58" s="3233">
        <v>20920</v>
      </c>
      <c r="E58" s="3233">
        <v>23410</v>
      </c>
      <c r="F58" s="3233">
        <v>5100</v>
      </c>
      <c r="G58" s="3233">
        <v>14200</v>
      </c>
      <c r="N58" s="3233" t="s">
        <v>3062</v>
      </c>
    </row>
    <row r="59" spans="1:17" ht="14.25" customHeight="1">
      <c r="A59" s="3233" t="s">
        <v>110</v>
      </c>
      <c r="B59" s="3233" t="s">
        <v>157</v>
      </c>
      <c r="C59" s="3233">
        <v>21000</v>
      </c>
      <c r="D59" s="3233">
        <v>21550</v>
      </c>
      <c r="E59" s="3233">
        <v>21150</v>
      </c>
      <c r="F59" s="3233">
        <v>5250</v>
      </c>
      <c r="G59" s="3233">
        <v>14630</v>
      </c>
      <c r="N59" s="3233" t="s">
        <v>3063</v>
      </c>
    </row>
    <row r="60" spans="1:17" ht="14.25" customHeight="1">
      <c r="A60" s="3233" t="s">
        <v>110</v>
      </c>
      <c r="B60" s="3233" t="s">
        <v>164</v>
      </c>
      <c r="C60" s="3233">
        <v>21640</v>
      </c>
      <c r="D60" s="3233">
        <v>21260</v>
      </c>
      <c r="E60" s="3233">
        <v>24040</v>
      </c>
      <c r="F60" s="3233">
        <v>4470</v>
      </c>
      <c r="G60" s="3233">
        <v>14430</v>
      </c>
      <c r="N60" s="3233" t="s">
        <v>3064</v>
      </c>
    </row>
    <row r="61" spans="1:17" ht="14.25" customHeight="1">
      <c r="A61" s="3233" t="s">
        <v>110</v>
      </c>
      <c r="B61" s="3233" t="s">
        <v>170</v>
      </c>
      <c r="C61" s="3233">
        <v>21330</v>
      </c>
      <c r="D61" s="3233">
        <v>18640</v>
      </c>
      <c r="E61" s="3233">
        <v>21190</v>
      </c>
      <c r="F61" s="3233">
        <v>4180</v>
      </c>
      <c r="G61" s="3233">
        <v>12650</v>
      </c>
      <c r="N61" s="3233" t="s">
        <v>3065</v>
      </c>
    </row>
    <row r="62" spans="1:17" ht="14.25" customHeight="1">
      <c r="A62" s="3233" t="s">
        <v>110</v>
      </c>
      <c r="B62" s="3233" t="s">
        <v>177</v>
      </c>
      <c r="C62" s="3233">
        <v>18710</v>
      </c>
      <c r="D62" s="3233">
        <v>19400</v>
      </c>
      <c r="E62" s="3233">
        <v>23750</v>
      </c>
      <c r="F62" s="3233">
        <v>4860</v>
      </c>
      <c r="G62" s="3233">
        <v>13170</v>
      </c>
      <c r="N62" s="3233" t="s">
        <v>3066</v>
      </c>
    </row>
    <row r="63" spans="1:17" ht="14.25" customHeight="1">
      <c r="A63" s="3233" t="s">
        <v>110</v>
      </c>
      <c r="B63" s="3233" t="s">
        <v>187</v>
      </c>
      <c r="C63" s="3233">
        <v>19480</v>
      </c>
      <c r="D63" s="3233">
        <v>16830</v>
      </c>
      <c r="E63" s="3233">
        <v>21590</v>
      </c>
      <c r="F63" s="3233">
        <v>4560</v>
      </c>
      <c r="G63" s="3233">
        <v>11420</v>
      </c>
      <c r="N63" s="3233" t="s">
        <v>3067</v>
      </c>
    </row>
    <row r="64" spans="1:17" ht="14.25" customHeight="1" thickBot="1">
      <c r="A64" s="3233" t="s">
        <v>110</v>
      </c>
      <c r="B64" s="3233" t="s">
        <v>196</v>
      </c>
      <c r="C64" s="3233">
        <v>16920</v>
      </c>
      <c r="D64" s="3233">
        <v>19190</v>
      </c>
      <c r="E64" s="3233">
        <v>22200</v>
      </c>
      <c r="F64" s="3233">
        <v>4390</v>
      </c>
      <c r="G64" s="3233">
        <v>13030</v>
      </c>
      <c r="N64" s="3240" t="s">
        <v>3068</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2939</v>
      </c>
      <c r="C78" s="3233">
        <v>19820</v>
      </c>
      <c r="D78" s="3233">
        <v>19780</v>
      </c>
      <c r="E78" s="3233">
        <v>18560</v>
      </c>
      <c r="F78" s="3233"/>
      <c r="G78" s="3233">
        <v>13430</v>
      </c>
    </row>
    <row r="79" spans="1:7" s="3222" customFormat="1" ht="14.25" customHeight="1">
      <c r="A79" s="3233" t="s">
        <v>110</v>
      </c>
      <c r="B79" s="3233" t="s">
        <v>2942</v>
      </c>
      <c r="C79" s="3233">
        <v>21660</v>
      </c>
      <c r="D79" s="3233">
        <v>18000</v>
      </c>
      <c r="E79" s="3233">
        <v>22570</v>
      </c>
      <c r="F79" s="3233"/>
      <c r="G79" s="3233">
        <v>12220</v>
      </c>
    </row>
    <row r="80" spans="1:7" s="3222" customFormat="1" ht="14.25" customHeight="1">
      <c r="A80" s="3233" t="s">
        <v>110</v>
      </c>
      <c r="B80" s="3233" t="s">
        <v>2946</v>
      </c>
      <c r="C80" s="3233">
        <v>19850</v>
      </c>
      <c r="D80" s="3233"/>
      <c r="E80" s="3233">
        <v>21700</v>
      </c>
      <c r="F80" s="3233"/>
      <c r="G80" s="3233"/>
    </row>
    <row r="81" spans="1:7" s="3222" customFormat="1" ht="14.25" customHeight="1">
      <c r="A81" s="3233" t="s">
        <v>110</v>
      </c>
      <c r="B81" s="3233" t="s">
        <v>2951</v>
      </c>
      <c r="C81" s="3233">
        <v>18080</v>
      </c>
      <c r="D81" s="3233"/>
      <c r="E81" s="3233">
        <v>20900</v>
      </c>
      <c r="F81" s="3233"/>
      <c r="G81" s="3233"/>
    </row>
    <row r="82" spans="1:7" s="3222" customFormat="1" ht="14.25" customHeight="1">
      <c r="A82" s="3233" t="s">
        <v>110</v>
      </c>
      <c r="B82" s="3233" t="s">
        <v>2958</v>
      </c>
      <c r="C82" s="3233"/>
      <c r="D82" s="3233"/>
      <c r="E82" s="3233">
        <v>20840</v>
      </c>
      <c r="F82" s="3233"/>
      <c r="G82" s="3233"/>
    </row>
    <row r="83" spans="1:7" s="3222" customFormat="1" ht="14.25" customHeight="1">
      <c r="A83" s="3233" t="s">
        <v>110</v>
      </c>
      <c r="B83" s="3233" t="s">
        <v>3069</v>
      </c>
      <c r="C83" s="3233"/>
      <c r="D83" s="3233"/>
      <c r="E83" s="3233"/>
      <c r="F83" s="3233">
        <v>4770</v>
      </c>
      <c r="G83" s="3233"/>
    </row>
    <row r="84" spans="1:7" s="3222" customFormat="1" ht="14.25" customHeight="1">
      <c r="A84" s="3233" t="s">
        <v>110</v>
      </c>
      <c r="B84" s="3233" t="s">
        <v>3070</v>
      </c>
      <c r="C84" s="3233"/>
      <c r="D84" s="3233"/>
      <c r="E84" s="3233"/>
      <c r="F84" s="3233">
        <v>4600</v>
      </c>
      <c r="G84" s="3233"/>
    </row>
    <row r="85" spans="1:7" s="3222" customFormat="1" ht="14.25" customHeight="1">
      <c r="A85" s="3233" t="s">
        <v>110</v>
      </c>
      <c r="B85" s="3233" t="s">
        <v>3071</v>
      </c>
      <c r="C85" s="3233"/>
      <c r="D85" s="3233"/>
      <c r="E85" s="3233"/>
      <c r="F85" s="3233">
        <v>4680</v>
      </c>
      <c r="G85" s="3233"/>
    </row>
    <row r="86" spans="1:7" s="3222" customFormat="1" ht="14.25" customHeight="1" thickBot="1">
      <c r="A86" s="3241" t="s">
        <v>110</v>
      </c>
      <c r="B86" s="3243" t="s">
        <v>3072</v>
      </c>
      <c r="C86" s="3244">
        <v>16610</v>
      </c>
      <c r="D86" s="3244">
        <v>16540</v>
      </c>
      <c r="E86" s="3244">
        <v>18850</v>
      </c>
      <c r="F86" s="3244"/>
      <c r="G86" s="3244">
        <v>11220</v>
      </c>
    </row>
    <row r="87" spans="1:7" s="3222" customFormat="1" ht="14.25" customHeight="1">
      <c r="A87" s="3238" t="s">
        <v>303</v>
      </c>
      <c r="B87" s="3229" t="s">
        <v>3073</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2952</v>
      </c>
      <c r="C113" s="3233">
        <v>15520</v>
      </c>
      <c r="D113" s="3233">
        <v>15450</v>
      </c>
      <c r="E113" s="3233"/>
      <c r="F113" s="3233"/>
      <c r="G113" s="3246">
        <v>10210</v>
      </c>
    </row>
    <row r="114" spans="1:7" s="3222" customFormat="1" ht="14.25" customHeight="1">
      <c r="A114" s="3233" t="s">
        <v>303</v>
      </c>
      <c r="B114" s="3233" t="s">
        <v>2959</v>
      </c>
      <c r="C114" s="3233">
        <v>13110</v>
      </c>
      <c r="D114" s="3233">
        <v>13050</v>
      </c>
      <c r="E114" s="3233"/>
      <c r="F114" s="3233"/>
      <c r="G114" s="3246">
        <v>8620</v>
      </c>
    </row>
    <row r="115" spans="1:7" s="3222" customFormat="1" ht="14.25" customHeight="1">
      <c r="A115" s="3233" t="s">
        <v>303</v>
      </c>
      <c r="B115" s="3233" t="s">
        <v>2965</v>
      </c>
      <c r="C115" s="3233">
        <v>12460</v>
      </c>
      <c r="D115" s="3233">
        <v>12390</v>
      </c>
      <c r="E115" s="3233"/>
      <c r="F115" s="3233"/>
      <c r="G115" s="3246">
        <v>8190</v>
      </c>
    </row>
    <row r="116" spans="1:7" s="3222" customFormat="1" ht="14.25" customHeight="1">
      <c r="A116" s="3233" t="s">
        <v>303</v>
      </c>
      <c r="B116" s="3233" t="s">
        <v>2972</v>
      </c>
      <c r="C116" s="3233">
        <v>13580</v>
      </c>
      <c r="D116" s="3233">
        <v>13520</v>
      </c>
      <c r="E116" s="3233"/>
      <c r="F116" s="3233"/>
      <c r="G116" s="3246">
        <v>8930</v>
      </c>
    </row>
    <row r="117" spans="1:7" s="3222" customFormat="1" ht="14.25" customHeight="1">
      <c r="A117" s="3233" t="s">
        <v>303</v>
      </c>
      <c r="B117" s="3233" t="s">
        <v>2979</v>
      </c>
      <c r="C117" s="3233">
        <v>17120</v>
      </c>
      <c r="D117" s="3233">
        <v>17040</v>
      </c>
      <c r="E117" s="3233"/>
      <c r="F117" s="3233"/>
      <c r="G117" s="3246">
        <v>11260</v>
      </c>
    </row>
    <row r="118" spans="1:7" s="3222" customFormat="1" ht="14.25" customHeight="1">
      <c r="A118" s="3233" t="s">
        <v>303</v>
      </c>
      <c r="B118" s="3233" t="s">
        <v>2984</v>
      </c>
      <c r="C118" s="3233">
        <v>14860</v>
      </c>
      <c r="D118" s="3233">
        <v>14790</v>
      </c>
      <c r="E118" s="3233"/>
      <c r="F118" s="3233"/>
      <c r="G118" s="3246">
        <v>9780</v>
      </c>
    </row>
    <row r="119" spans="1:7" s="3222" customFormat="1" ht="14.25" customHeight="1">
      <c r="A119" s="3233" t="s">
        <v>303</v>
      </c>
      <c r="B119" s="3233" t="s">
        <v>2988</v>
      </c>
      <c r="C119" s="3233">
        <v>16470</v>
      </c>
      <c r="D119" s="3233">
        <v>16400</v>
      </c>
      <c r="E119" s="3233"/>
      <c r="F119" s="3233"/>
      <c r="G119" s="3246">
        <v>10840</v>
      </c>
    </row>
    <row r="120" spans="1:7" s="3222" customFormat="1" ht="14.25" customHeight="1">
      <c r="A120" s="3233" t="s">
        <v>303</v>
      </c>
      <c r="B120" s="3233" t="s">
        <v>3074</v>
      </c>
      <c r="C120" s="3233"/>
      <c r="D120" s="3233"/>
      <c r="E120" s="3233"/>
      <c r="F120" s="3233">
        <v>4160</v>
      </c>
      <c r="G120" s="3246"/>
    </row>
    <row r="121" spans="1:7" s="3222" customFormat="1" ht="14.25" customHeight="1">
      <c r="A121" s="3233" t="s">
        <v>303</v>
      </c>
      <c r="B121" s="3233" t="s">
        <v>3075</v>
      </c>
      <c r="C121" s="3233"/>
      <c r="D121" s="3233"/>
      <c r="E121" s="3233"/>
      <c r="F121" s="3233">
        <v>3880</v>
      </c>
      <c r="G121" s="3246"/>
    </row>
    <row r="122" spans="1:7" s="3222" customFormat="1" ht="14.25" customHeight="1">
      <c r="A122" s="3233" t="s">
        <v>303</v>
      </c>
      <c r="B122" s="3233" t="s">
        <v>3076</v>
      </c>
      <c r="C122" s="3233">
        <v>13750</v>
      </c>
      <c r="D122" s="3233">
        <v>13680</v>
      </c>
      <c r="E122" s="3233">
        <v>16460</v>
      </c>
      <c r="F122" s="3233">
        <v>2880</v>
      </c>
      <c r="G122" s="3246">
        <v>9040</v>
      </c>
    </row>
    <row r="123" spans="1:7" s="3222" customFormat="1" ht="14.25" customHeight="1">
      <c r="A123" s="3233" t="s">
        <v>303</v>
      </c>
      <c r="B123" s="3233" t="s">
        <v>3007</v>
      </c>
      <c r="C123" s="3233">
        <v>13590</v>
      </c>
      <c r="D123" s="3233">
        <v>13520</v>
      </c>
      <c r="E123" s="3233">
        <v>16290</v>
      </c>
      <c r="F123" s="3233">
        <v>2790</v>
      </c>
      <c r="G123" s="3246">
        <v>8930</v>
      </c>
    </row>
    <row r="124" spans="1:7" s="3222" customFormat="1" ht="14.25" customHeight="1">
      <c r="A124" s="3233" t="s">
        <v>303</v>
      </c>
      <c r="B124" s="3233" t="s">
        <v>3012</v>
      </c>
      <c r="C124" s="3233">
        <v>13400</v>
      </c>
      <c r="D124" s="3233">
        <v>13320</v>
      </c>
      <c r="E124" s="3233">
        <v>16100</v>
      </c>
      <c r="F124" s="3233">
        <v>2320</v>
      </c>
      <c r="G124" s="3246">
        <v>8800</v>
      </c>
    </row>
    <row r="125" spans="1:7" s="3222" customFormat="1" ht="14.25" customHeight="1">
      <c r="A125" s="3233" t="s">
        <v>303</v>
      </c>
      <c r="B125" s="3233" t="s">
        <v>3017</v>
      </c>
      <c r="C125" s="3233">
        <v>12860</v>
      </c>
      <c r="D125" s="3233">
        <v>12790</v>
      </c>
      <c r="E125" s="3233">
        <v>15370</v>
      </c>
      <c r="F125" s="3233">
        <v>2280</v>
      </c>
      <c r="G125" s="3246">
        <v>8450</v>
      </c>
    </row>
    <row r="126" spans="1:7" s="3222" customFormat="1" ht="14.25" customHeight="1" thickBot="1">
      <c r="A126" s="3247" t="s">
        <v>303</v>
      </c>
      <c r="B126" s="3240" t="s">
        <v>3022</v>
      </c>
      <c r="C126" s="3240">
        <v>12960</v>
      </c>
      <c r="D126" s="3240">
        <v>12890</v>
      </c>
      <c r="E126" s="3240">
        <v>15530</v>
      </c>
      <c r="F126" s="3240">
        <v>2910</v>
      </c>
      <c r="G126" s="3248">
        <v>8520</v>
      </c>
    </row>
    <row r="127" spans="1:7" s="3222" customFormat="1" ht="14.25" customHeight="1">
      <c r="A127" s="3238" t="s">
        <v>29</v>
      </c>
      <c r="B127" s="3229" t="s">
        <v>3077</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3078</v>
      </c>
      <c r="C148" s="3233">
        <v>10370</v>
      </c>
      <c r="D148" s="3233">
        <v>10310</v>
      </c>
      <c r="E148" s="3233">
        <v>12970</v>
      </c>
      <c r="F148" s="3233"/>
      <c r="G148" s="3233">
        <v>6630</v>
      </c>
    </row>
    <row r="149" spans="1:7" s="3222" customFormat="1" ht="14.25" customHeight="1">
      <c r="A149" s="3233" t="s">
        <v>29</v>
      </c>
      <c r="B149" s="3233" t="s">
        <v>3079</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2953</v>
      </c>
      <c r="C153" s="3233">
        <v>10880</v>
      </c>
      <c r="D153" s="3233">
        <v>10820</v>
      </c>
      <c r="E153" s="3233">
        <v>13660</v>
      </c>
      <c r="F153" s="3233">
        <v>2260</v>
      </c>
      <c r="G153" s="3233">
        <v>6970</v>
      </c>
    </row>
    <row r="154" spans="1:7" s="3222" customFormat="1" ht="14.25" customHeight="1">
      <c r="A154" s="3233" t="s">
        <v>29</v>
      </c>
      <c r="B154" s="3233" t="s">
        <v>3080</v>
      </c>
      <c r="C154" s="3233">
        <v>11220</v>
      </c>
      <c r="D154" s="3233">
        <v>11160</v>
      </c>
      <c r="E154" s="3233">
        <v>14130</v>
      </c>
      <c r="F154" s="3233">
        <v>2230</v>
      </c>
      <c r="G154" s="3233">
        <v>7180</v>
      </c>
    </row>
    <row r="155" spans="1:7" s="3222" customFormat="1" ht="14.25" customHeight="1">
      <c r="A155" s="3233" t="s">
        <v>29</v>
      </c>
      <c r="B155" s="3233" t="s">
        <v>2966</v>
      </c>
      <c r="C155" s="3233">
        <v>10430</v>
      </c>
      <c r="D155" s="3233">
        <v>10380</v>
      </c>
      <c r="E155" s="3233">
        <v>13140</v>
      </c>
      <c r="F155" s="3233">
        <v>2080</v>
      </c>
      <c r="G155" s="3233">
        <v>6650</v>
      </c>
    </row>
    <row r="156" spans="1:7" s="3222" customFormat="1" ht="14.25" customHeight="1">
      <c r="A156" s="3233" t="s">
        <v>29</v>
      </c>
      <c r="B156" s="3233" t="s">
        <v>3081</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3082</v>
      </c>
      <c r="C160" s="3233">
        <v>11180</v>
      </c>
      <c r="D160" s="3233">
        <v>11140</v>
      </c>
      <c r="E160" s="3233">
        <v>14050</v>
      </c>
      <c r="F160" s="3233">
        <v>2270</v>
      </c>
      <c r="G160" s="3233">
        <v>7170</v>
      </c>
    </row>
    <row r="161" spans="1:7" s="3222" customFormat="1" ht="14.25" customHeight="1">
      <c r="A161" s="3233" t="s">
        <v>29</v>
      </c>
      <c r="B161" s="3233" t="s">
        <v>2998</v>
      </c>
      <c r="C161" s="3233">
        <v>11160</v>
      </c>
      <c r="D161" s="3233">
        <v>11120</v>
      </c>
      <c r="E161" s="3233">
        <v>14020</v>
      </c>
      <c r="F161" s="3233">
        <v>2150</v>
      </c>
      <c r="G161" s="3233">
        <v>7160</v>
      </c>
    </row>
    <row r="162" spans="1:7" s="3222" customFormat="1" ht="14.25" customHeight="1">
      <c r="A162" s="3233" t="s">
        <v>29</v>
      </c>
      <c r="B162" s="3233" t="s">
        <v>3003</v>
      </c>
      <c r="C162" s="3233">
        <v>9620</v>
      </c>
      <c r="D162" s="3233">
        <v>9570</v>
      </c>
      <c r="E162" s="3233">
        <v>12320</v>
      </c>
      <c r="F162" s="3233">
        <v>2010</v>
      </c>
      <c r="G162" s="3233">
        <v>6160</v>
      </c>
    </row>
    <row r="163" spans="1:7" s="3222" customFormat="1" ht="14.25" customHeight="1">
      <c r="A163" s="3233" t="s">
        <v>29</v>
      </c>
      <c r="B163" s="3233" t="s">
        <v>3008</v>
      </c>
      <c r="C163" s="3233">
        <v>9320</v>
      </c>
      <c r="D163" s="3233">
        <v>9270</v>
      </c>
      <c r="E163" s="3233">
        <v>11790</v>
      </c>
      <c r="F163" s="3233">
        <v>1920</v>
      </c>
      <c r="G163" s="3233">
        <v>5960</v>
      </c>
    </row>
    <row r="164" spans="1:7" s="3222" customFormat="1" ht="14.25" customHeight="1">
      <c r="A164" s="3233" t="s">
        <v>29</v>
      </c>
      <c r="B164" s="3233" t="s">
        <v>3013</v>
      </c>
      <c r="C164" s="3233"/>
      <c r="D164" s="3233"/>
      <c r="E164" s="3233"/>
      <c r="F164" s="3233">
        <v>1980</v>
      </c>
      <c r="G164" s="3233"/>
    </row>
    <row r="165" spans="1:7" s="3222" customFormat="1" ht="14.25" customHeight="1">
      <c r="A165" s="3233" t="s">
        <v>29</v>
      </c>
      <c r="B165" s="3233" t="s">
        <v>3083</v>
      </c>
      <c r="C165" s="3233">
        <v>11060</v>
      </c>
      <c r="D165" s="3233">
        <v>11030</v>
      </c>
      <c r="E165" s="3233">
        <v>13850</v>
      </c>
      <c r="F165" s="3233">
        <v>2170</v>
      </c>
      <c r="G165" s="3233">
        <v>7090</v>
      </c>
    </row>
    <row r="166" spans="1:7" s="3222" customFormat="1" ht="14.25" customHeight="1">
      <c r="A166" s="3233" t="s">
        <v>29</v>
      </c>
      <c r="B166" s="3233" t="s">
        <v>3023</v>
      </c>
      <c r="C166" s="3233">
        <v>11050</v>
      </c>
      <c r="D166" s="3233">
        <v>11010</v>
      </c>
      <c r="E166" s="3233">
        <v>13920</v>
      </c>
      <c r="F166" s="3233">
        <v>2140</v>
      </c>
      <c r="G166" s="3233">
        <v>7080</v>
      </c>
    </row>
    <row r="167" spans="1:7" s="3222" customFormat="1" ht="14.25" customHeight="1">
      <c r="A167" s="3233" t="s">
        <v>29</v>
      </c>
      <c r="B167" s="3233" t="s">
        <v>3027</v>
      </c>
      <c r="C167" s="3233">
        <v>10930</v>
      </c>
      <c r="D167" s="3233">
        <v>10890</v>
      </c>
      <c r="E167" s="3233">
        <v>13790</v>
      </c>
      <c r="F167" s="3233">
        <v>2010</v>
      </c>
      <c r="G167" s="3233">
        <v>7000</v>
      </c>
    </row>
    <row r="168" spans="1:7" s="3222" customFormat="1" ht="14.25" customHeight="1">
      <c r="A168" s="3233" t="s">
        <v>29</v>
      </c>
      <c r="B168" s="3233" t="s">
        <v>3032</v>
      </c>
      <c r="C168" s="3233">
        <v>9420</v>
      </c>
      <c r="D168" s="3233">
        <v>9380</v>
      </c>
      <c r="E168" s="3233">
        <v>11970</v>
      </c>
      <c r="F168" s="3233"/>
      <c r="G168" s="3233">
        <v>6040</v>
      </c>
    </row>
    <row r="169" spans="1:7" s="3222" customFormat="1" ht="14.25" customHeight="1">
      <c r="A169" s="3233" t="s">
        <v>29</v>
      </c>
      <c r="B169" s="3233" t="s">
        <v>3084</v>
      </c>
      <c r="C169" s="3233"/>
      <c r="D169" s="3233"/>
      <c r="E169" s="3233"/>
      <c r="F169" s="3233">
        <v>2880</v>
      </c>
      <c r="G169" s="3233"/>
    </row>
    <row r="170" spans="1:7" s="3222" customFormat="1" ht="14.25" customHeight="1">
      <c r="A170" s="3233" t="s">
        <v>29</v>
      </c>
      <c r="B170" s="3233" t="s">
        <v>3040</v>
      </c>
      <c r="C170" s="3233"/>
      <c r="D170" s="3233"/>
      <c r="E170" s="3233"/>
      <c r="F170" s="3233">
        <v>2880</v>
      </c>
      <c r="G170" s="3233"/>
    </row>
    <row r="171" spans="1:7" s="3222" customFormat="1" ht="14.25" customHeight="1">
      <c r="A171" s="3233" t="s">
        <v>29</v>
      </c>
      <c r="B171" s="3233" t="s">
        <v>3043</v>
      </c>
      <c r="C171" s="3233"/>
      <c r="D171" s="3233"/>
      <c r="E171" s="3233"/>
      <c r="F171" s="3233">
        <v>2880</v>
      </c>
      <c r="G171" s="3233"/>
    </row>
    <row r="172" spans="1:7" s="3222" customFormat="1" ht="14.25" customHeight="1">
      <c r="A172" s="3233" t="s">
        <v>29</v>
      </c>
      <c r="B172" s="3233" t="s">
        <v>3045</v>
      </c>
      <c r="C172" s="3233"/>
      <c r="D172" s="3233"/>
      <c r="E172" s="3233"/>
      <c r="F172" s="3233">
        <v>2880</v>
      </c>
      <c r="G172" s="3233"/>
    </row>
    <row r="173" spans="1:7" s="3222" customFormat="1" ht="14.25" customHeight="1">
      <c r="A173" s="3233" t="s">
        <v>29</v>
      </c>
      <c r="B173" s="3233" t="s">
        <v>3047</v>
      </c>
      <c r="C173" s="3233"/>
      <c r="D173" s="3233"/>
      <c r="E173" s="3233"/>
      <c r="F173" s="3233">
        <v>2150</v>
      </c>
      <c r="G173" s="3233"/>
    </row>
    <row r="174" spans="1:7" s="3222" customFormat="1" ht="14.25" customHeight="1">
      <c r="A174" s="3233" t="s">
        <v>29</v>
      </c>
      <c r="B174" s="3233" t="s">
        <v>3049</v>
      </c>
      <c r="C174" s="3233"/>
      <c r="D174" s="3233"/>
      <c r="E174" s="3233"/>
      <c r="F174" s="3233">
        <v>2030</v>
      </c>
      <c r="G174" s="3233"/>
    </row>
    <row r="175" spans="1:7" s="3222" customFormat="1" ht="14.25" customHeight="1">
      <c r="A175" s="3233" t="s">
        <v>29</v>
      </c>
      <c r="B175" s="3233" t="s">
        <v>3051</v>
      </c>
      <c r="C175" s="3233"/>
      <c r="D175" s="3233"/>
      <c r="E175" s="3233"/>
      <c r="F175" s="3233">
        <v>2780</v>
      </c>
      <c r="G175" s="3233"/>
    </row>
    <row r="176" spans="1:7" s="3222" customFormat="1" ht="14.25" customHeight="1">
      <c r="A176" s="3233" t="s">
        <v>29</v>
      </c>
      <c r="B176" s="3233" t="s">
        <v>3053</v>
      </c>
      <c r="C176" s="3233"/>
      <c r="D176" s="3233"/>
      <c r="E176" s="3233"/>
      <c r="F176" s="3233">
        <v>2780</v>
      </c>
      <c r="G176" s="3233"/>
    </row>
    <row r="177" spans="1:7" s="3222" customFormat="1" ht="14.25" customHeight="1">
      <c r="A177" s="3233" t="s">
        <v>29</v>
      </c>
      <c r="B177" s="3233" t="s">
        <v>3085</v>
      </c>
      <c r="C177" s="3233"/>
      <c r="D177" s="3233"/>
      <c r="E177" s="3233"/>
      <c r="F177" s="3233">
        <v>2780</v>
      </c>
      <c r="G177" s="3233"/>
    </row>
    <row r="178" spans="1:7" s="3222" customFormat="1" ht="14.25" customHeight="1">
      <c r="A178" s="3233" t="s">
        <v>29</v>
      </c>
      <c r="B178" s="3233" t="s">
        <v>3086</v>
      </c>
      <c r="C178" s="3233"/>
      <c r="D178" s="3233"/>
      <c r="E178" s="3233"/>
      <c r="F178" s="3233">
        <v>2060</v>
      </c>
      <c r="G178" s="3233"/>
    </row>
    <row r="179" spans="1:7" s="3222" customFormat="1" ht="14.25" customHeight="1">
      <c r="A179" s="3233" t="s">
        <v>29</v>
      </c>
      <c r="B179" s="3233" t="s">
        <v>3087</v>
      </c>
      <c r="C179" s="3233"/>
      <c r="D179" s="3233"/>
      <c r="E179" s="3233"/>
      <c r="F179" s="3233">
        <v>2120</v>
      </c>
      <c r="G179" s="3233"/>
    </row>
    <row r="180" spans="1:7" s="3222" customFormat="1" ht="14.25" customHeight="1">
      <c r="A180" s="3233" t="s">
        <v>29</v>
      </c>
      <c r="B180" s="3233" t="s">
        <v>3059</v>
      </c>
      <c r="C180" s="3233"/>
      <c r="D180" s="3233"/>
      <c r="E180" s="3233"/>
      <c r="F180" s="3233">
        <v>2340</v>
      </c>
      <c r="G180" s="3233"/>
    </row>
    <row r="181" spans="1:7" s="3222" customFormat="1" ht="14.25" customHeight="1">
      <c r="A181" s="3233" t="s">
        <v>29</v>
      </c>
      <c r="B181" s="3233" t="s">
        <v>3060</v>
      </c>
      <c r="C181" s="3233"/>
      <c r="D181" s="3233"/>
      <c r="E181" s="3233"/>
      <c r="F181" s="3233">
        <v>2340</v>
      </c>
      <c r="G181" s="3233"/>
    </row>
    <row r="182" spans="1:7" s="3222" customFormat="1" ht="14.25" customHeight="1">
      <c r="A182" s="3233" t="s">
        <v>29</v>
      </c>
      <c r="B182" s="3233" t="s">
        <v>3061</v>
      </c>
      <c r="C182" s="3233"/>
      <c r="D182" s="3233"/>
      <c r="E182" s="3233"/>
      <c r="F182" s="3233">
        <v>2340</v>
      </c>
      <c r="G182" s="3233"/>
    </row>
    <row r="183" spans="1:7" s="3222" customFormat="1" ht="14.25" customHeight="1">
      <c r="A183" s="3233" t="s">
        <v>29</v>
      </c>
      <c r="B183" s="3233" t="s">
        <v>3062</v>
      </c>
      <c r="C183" s="3233"/>
      <c r="D183" s="3233"/>
      <c r="E183" s="3233"/>
      <c r="F183" s="3233">
        <v>2340</v>
      </c>
      <c r="G183" s="3233"/>
    </row>
    <row r="184" spans="1:7" s="3222" customFormat="1" ht="14.25" customHeight="1">
      <c r="A184" s="3233" t="s">
        <v>29</v>
      </c>
      <c r="B184" s="3233" t="s">
        <v>3063</v>
      </c>
      <c r="C184" s="3233"/>
      <c r="D184" s="3233"/>
      <c r="E184" s="3233"/>
      <c r="F184" s="3233">
        <v>2340</v>
      </c>
      <c r="G184" s="3233"/>
    </row>
    <row r="185" spans="1:7" s="3222" customFormat="1" ht="14.25" customHeight="1">
      <c r="A185" s="3233" t="s">
        <v>29</v>
      </c>
      <c r="B185" s="3233" t="s">
        <v>3064</v>
      </c>
      <c r="C185" s="3233"/>
      <c r="D185" s="3233"/>
      <c r="E185" s="3233"/>
      <c r="F185" s="3233">
        <v>2530</v>
      </c>
      <c r="G185" s="3233"/>
    </row>
    <row r="186" spans="1:7" s="3222" customFormat="1" ht="14.25" customHeight="1">
      <c r="A186" s="3233" t="s">
        <v>29</v>
      </c>
      <c r="B186" s="3233" t="s">
        <v>3065</v>
      </c>
      <c r="C186" s="3233"/>
      <c r="D186" s="3233"/>
      <c r="E186" s="3233"/>
      <c r="F186" s="3233">
        <v>2550</v>
      </c>
      <c r="G186" s="3233"/>
    </row>
    <row r="187" spans="1:7" s="3222" customFormat="1" ht="14.25" customHeight="1">
      <c r="A187" s="3233" t="s">
        <v>29</v>
      </c>
      <c r="B187" s="3233" t="s">
        <v>3066</v>
      </c>
      <c r="C187" s="3233"/>
      <c r="D187" s="3233"/>
      <c r="E187" s="3233"/>
      <c r="F187" s="3233">
        <v>2070</v>
      </c>
      <c r="G187" s="3233"/>
    </row>
    <row r="188" spans="1:7" s="3222" customFormat="1" ht="14.25" customHeight="1">
      <c r="A188" s="3233" t="s">
        <v>29</v>
      </c>
      <c r="B188" s="3233" t="s">
        <v>3067</v>
      </c>
      <c r="C188" s="3233"/>
      <c r="D188" s="3233"/>
      <c r="E188" s="3233"/>
      <c r="F188" s="3233">
        <v>2340</v>
      </c>
      <c r="G188" s="3233"/>
    </row>
    <row r="189" spans="1:7" s="3222" customFormat="1" ht="14.25" customHeight="1" thickBot="1">
      <c r="A189" s="3241" t="s">
        <v>29</v>
      </c>
      <c r="B189" s="3244" t="s">
        <v>3068</v>
      </c>
      <c r="C189" s="3244"/>
      <c r="D189" s="3244"/>
      <c r="E189" s="3244"/>
      <c r="F189" s="3244">
        <v>2050</v>
      </c>
      <c r="G189" s="3244"/>
    </row>
    <row r="190" spans="1:7" s="3222" customFormat="1" ht="14.25" customHeight="1">
      <c r="A190" s="3238" t="s">
        <v>304</v>
      </c>
      <c r="B190" s="3229" t="s">
        <v>3088</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3089</v>
      </c>
      <c r="C199" s="3233">
        <v>8690</v>
      </c>
      <c r="D199" s="3233">
        <v>8630</v>
      </c>
      <c r="E199" s="3233">
        <v>11350</v>
      </c>
      <c r="F199" s="3233">
        <v>1600</v>
      </c>
      <c r="G199" s="3246">
        <v>5450</v>
      </c>
    </row>
    <row r="200" spans="1:7" s="3222" customFormat="1" ht="14.25" customHeight="1">
      <c r="A200" s="3233" t="s">
        <v>304</v>
      </c>
      <c r="B200" s="3233" t="s">
        <v>2900</v>
      </c>
      <c r="C200" s="3233"/>
      <c r="D200" s="3233"/>
      <c r="E200" s="3233"/>
      <c r="F200" s="3233">
        <v>1510</v>
      </c>
      <c r="G200" s="3246"/>
    </row>
    <row r="201" spans="1:7" s="3222" customFormat="1" ht="14.25" customHeight="1">
      <c r="A201" s="3233" t="s">
        <v>304</v>
      </c>
      <c r="B201" s="3233" t="s">
        <v>3090</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3091</v>
      </c>
      <c r="C203" s="3233">
        <v>8130</v>
      </c>
      <c r="D203" s="3233">
        <v>8070</v>
      </c>
      <c r="E203" s="3233">
        <v>10820</v>
      </c>
      <c r="F203" s="3233">
        <v>1690</v>
      </c>
      <c r="G203" s="3246">
        <v>5100</v>
      </c>
    </row>
    <row r="204" spans="1:7" s="3222" customFormat="1" ht="14.25" customHeight="1">
      <c r="A204" s="3233" t="s">
        <v>304</v>
      </c>
      <c r="B204" s="3233" t="s">
        <v>2911</v>
      </c>
      <c r="C204" s="3233">
        <v>8350</v>
      </c>
      <c r="D204" s="3233">
        <v>8290</v>
      </c>
      <c r="E204" s="3233">
        <v>11080</v>
      </c>
      <c r="F204" s="3233">
        <v>1450</v>
      </c>
      <c r="G204" s="3246">
        <v>5240</v>
      </c>
    </row>
    <row r="205" spans="1:7" s="3222" customFormat="1" ht="14.25" customHeight="1">
      <c r="A205" s="3233" t="s">
        <v>304</v>
      </c>
      <c r="B205" s="3233" t="s">
        <v>2913</v>
      </c>
      <c r="C205" s="3233">
        <v>7190</v>
      </c>
      <c r="D205" s="3233">
        <v>7130</v>
      </c>
      <c r="E205" s="3233">
        <v>9490</v>
      </c>
      <c r="F205" s="3233">
        <v>1470</v>
      </c>
      <c r="G205" s="3246">
        <v>4510</v>
      </c>
    </row>
    <row r="206" spans="1:7" s="3222" customFormat="1" ht="14.25" customHeight="1">
      <c r="A206" s="3233" t="s">
        <v>304</v>
      </c>
      <c r="B206" s="3233" t="s">
        <v>2916</v>
      </c>
      <c r="C206" s="3233">
        <v>7000</v>
      </c>
      <c r="D206" s="3233">
        <v>6950</v>
      </c>
      <c r="E206" s="3233">
        <v>9170</v>
      </c>
      <c r="F206" s="3233">
        <v>1400</v>
      </c>
      <c r="G206" s="3246">
        <v>4380</v>
      </c>
    </row>
    <row r="207" spans="1:7" s="3222" customFormat="1" ht="14.25" customHeight="1">
      <c r="A207" s="3233" t="s">
        <v>304</v>
      </c>
      <c r="B207" s="3233" t="s">
        <v>2918</v>
      </c>
      <c r="C207" s="3233">
        <v>6950</v>
      </c>
      <c r="D207" s="3233">
        <v>6900</v>
      </c>
      <c r="E207" s="3233">
        <v>9110</v>
      </c>
      <c r="F207" s="3233">
        <v>1790</v>
      </c>
      <c r="G207" s="3246">
        <v>4360</v>
      </c>
    </row>
    <row r="208" spans="1:7" s="3222" customFormat="1" ht="14.25" customHeight="1">
      <c r="A208" s="3233" t="s">
        <v>304</v>
      </c>
      <c r="B208" s="3233" t="s">
        <v>3092</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2928</v>
      </c>
      <c r="C210" s="3233">
        <v>8710</v>
      </c>
      <c r="D210" s="3233">
        <v>8660</v>
      </c>
      <c r="E210" s="3233">
        <v>11440</v>
      </c>
      <c r="F210" s="3233">
        <v>1740</v>
      </c>
      <c r="G210" s="3246">
        <v>5470</v>
      </c>
    </row>
    <row r="211" spans="1:7" s="3222" customFormat="1" ht="14.25" customHeight="1">
      <c r="A211" s="3233" t="s">
        <v>304</v>
      </c>
      <c r="B211" s="3233" t="s">
        <v>3093</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3094</v>
      </c>
      <c r="C214" s="3233">
        <v>8090</v>
      </c>
      <c r="D214" s="3233">
        <v>8030</v>
      </c>
      <c r="E214" s="3233">
        <v>10780</v>
      </c>
      <c r="F214" s="3233">
        <v>1570</v>
      </c>
      <c r="G214" s="3246">
        <v>5070</v>
      </c>
    </row>
    <row r="215" spans="1:7" s="3222" customFormat="1" ht="14.25" customHeight="1">
      <c r="A215" s="3233" t="s">
        <v>304</v>
      </c>
      <c r="B215" s="3233" t="s">
        <v>3095</v>
      </c>
      <c r="C215" s="3233">
        <v>7950</v>
      </c>
      <c r="D215" s="3233">
        <v>7900</v>
      </c>
      <c r="E215" s="3233">
        <v>10560</v>
      </c>
      <c r="F215" s="3233">
        <v>1630</v>
      </c>
      <c r="G215" s="3246">
        <v>4990</v>
      </c>
    </row>
    <row r="216" spans="1:7" s="3222" customFormat="1" ht="14.25" customHeight="1">
      <c r="A216" s="3233" t="s">
        <v>304</v>
      </c>
      <c r="B216" s="3233" t="s">
        <v>3096</v>
      </c>
      <c r="C216" s="3233">
        <v>8490</v>
      </c>
      <c r="D216" s="3233">
        <v>8440</v>
      </c>
      <c r="E216" s="3233">
        <v>11260</v>
      </c>
      <c r="F216" s="3233">
        <v>1690</v>
      </c>
      <c r="G216" s="3246">
        <v>5330</v>
      </c>
    </row>
    <row r="217" spans="1:7" s="3222" customFormat="1" ht="14.25" customHeight="1">
      <c r="A217" s="3233" t="s">
        <v>304</v>
      </c>
      <c r="B217" s="3233" t="s">
        <v>2961</v>
      </c>
      <c r="C217" s="3233">
        <v>8200</v>
      </c>
      <c r="D217" s="3233">
        <v>8150</v>
      </c>
      <c r="E217" s="3233">
        <v>10910</v>
      </c>
      <c r="F217" s="3233">
        <v>1670</v>
      </c>
      <c r="G217" s="3246">
        <v>5150</v>
      </c>
    </row>
    <row r="218" spans="1:7" s="3222" customFormat="1" ht="14.25" customHeight="1">
      <c r="A218" s="3233" t="s">
        <v>304</v>
      </c>
      <c r="B218" s="3233" t="s">
        <v>3097</v>
      </c>
      <c r="C218" s="3233"/>
      <c r="D218" s="3233"/>
      <c r="E218" s="3233"/>
      <c r="F218" s="3233">
        <v>2040</v>
      </c>
      <c r="G218" s="3246"/>
    </row>
    <row r="219" spans="1:7" s="3222" customFormat="1" ht="14.25" customHeight="1">
      <c r="A219" s="3233" t="s">
        <v>304</v>
      </c>
      <c r="B219" s="3233" t="s">
        <v>3098</v>
      </c>
      <c r="C219" s="3233"/>
      <c r="D219" s="3233"/>
      <c r="E219" s="3233"/>
      <c r="F219" s="3233">
        <v>2040</v>
      </c>
      <c r="G219" s="3246"/>
    </row>
    <row r="220" spans="1:7" s="3222" customFormat="1" ht="14.25" customHeight="1">
      <c r="A220" s="3233" t="s">
        <v>304</v>
      </c>
      <c r="B220" s="3233" t="s">
        <v>3099</v>
      </c>
      <c r="C220" s="3233"/>
      <c r="D220" s="3233"/>
      <c r="E220" s="3233"/>
      <c r="F220" s="3233">
        <v>2040</v>
      </c>
      <c r="G220" s="3246"/>
    </row>
    <row r="221" spans="1:7" s="3222" customFormat="1" ht="14.25" customHeight="1">
      <c r="A221" s="3233" t="s">
        <v>304</v>
      </c>
      <c r="B221" s="3233" t="s">
        <v>3100</v>
      </c>
      <c r="C221" s="3233"/>
      <c r="D221" s="3233"/>
      <c r="E221" s="3233"/>
      <c r="F221" s="3233">
        <v>2040</v>
      </c>
      <c r="G221" s="3246"/>
    </row>
    <row r="222" spans="1:7" s="3222" customFormat="1" ht="14.25" customHeight="1">
      <c r="A222" s="3233" t="s">
        <v>304</v>
      </c>
      <c r="B222" s="3233" t="s">
        <v>3101</v>
      </c>
      <c r="C222" s="3233"/>
      <c r="D222" s="3233"/>
      <c r="E222" s="3233"/>
      <c r="F222" s="3233">
        <v>2040</v>
      </c>
      <c r="G222" s="3246"/>
    </row>
    <row r="223" spans="1:7" s="3222" customFormat="1" ht="14.25" customHeight="1">
      <c r="A223" s="3233" t="s">
        <v>304</v>
      </c>
      <c r="B223" s="3233" t="s">
        <v>3102</v>
      </c>
      <c r="C223" s="3233"/>
      <c r="D223" s="3233"/>
      <c r="E223" s="3233"/>
      <c r="F223" s="3233">
        <v>1930</v>
      </c>
      <c r="G223" s="3246"/>
    </row>
    <row r="224" spans="1:7" s="3222" customFormat="1" ht="14.25" customHeight="1">
      <c r="A224" s="3233" t="s">
        <v>304</v>
      </c>
      <c r="B224" s="3233" t="s">
        <v>3103</v>
      </c>
      <c r="C224" s="3233"/>
      <c r="D224" s="3233"/>
      <c r="E224" s="3233"/>
      <c r="F224" s="3233">
        <v>1930</v>
      </c>
      <c r="G224" s="3246"/>
    </row>
    <row r="225" spans="1:7" s="3222" customFormat="1" ht="14.25" customHeight="1">
      <c r="A225" s="3233" t="s">
        <v>304</v>
      </c>
      <c r="B225" s="3233" t="s">
        <v>3104</v>
      </c>
      <c r="C225" s="3233"/>
      <c r="D225" s="3233"/>
      <c r="E225" s="3233"/>
      <c r="F225" s="3233">
        <v>1930</v>
      </c>
      <c r="G225" s="3246"/>
    </row>
    <row r="226" spans="1:7" s="3222" customFormat="1" ht="14.25" customHeight="1">
      <c r="A226" s="3233" t="s">
        <v>304</v>
      </c>
      <c r="B226" s="3233" t="s">
        <v>3105</v>
      </c>
      <c r="C226" s="3233"/>
      <c r="D226" s="3233"/>
      <c r="E226" s="3233"/>
      <c r="F226" s="3233">
        <v>1700</v>
      </c>
      <c r="G226" s="3246"/>
    </row>
    <row r="227" spans="1:7" s="3222" customFormat="1" ht="14.25" customHeight="1">
      <c r="A227" s="3233" t="s">
        <v>304</v>
      </c>
      <c r="B227" s="3233" t="s">
        <v>3106</v>
      </c>
      <c r="C227" s="3233"/>
      <c r="D227" s="3233"/>
      <c r="E227" s="3233"/>
      <c r="F227" s="3233">
        <v>1520</v>
      </c>
      <c r="G227" s="3246"/>
    </row>
    <row r="228" spans="1:7" s="3222" customFormat="1" ht="14.25" customHeight="1">
      <c r="A228" s="3233" t="s">
        <v>304</v>
      </c>
      <c r="B228" s="3233" t="s">
        <v>3107</v>
      </c>
      <c r="C228" s="3233"/>
      <c r="D228" s="3233"/>
      <c r="E228" s="3233"/>
      <c r="F228" s="3233">
        <v>1520</v>
      </c>
      <c r="G228" s="3246"/>
    </row>
    <row r="229" spans="1:7" s="3222" customFormat="1" ht="14.25" customHeight="1">
      <c r="A229" s="3233" t="s">
        <v>304</v>
      </c>
      <c r="B229" s="3233" t="s">
        <v>3024</v>
      </c>
      <c r="C229" s="3233"/>
      <c r="D229" s="3233"/>
      <c r="E229" s="3233"/>
      <c r="F229" s="3233">
        <v>1520</v>
      </c>
      <c r="G229" s="3246"/>
    </row>
    <row r="230" spans="1:7" s="3222" customFormat="1" ht="14.25" customHeight="1">
      <c r="A230" s="3233" t="s">
        <v>304</v>
      </c>
      <c r="B230" s="3233" t="s">
        <v>3108</v>
      </c>
      <c r="C230" s="3233"/>
      <c r="D230" s="3233"/>
      <c r="E230" s="3233"/>
      <c r="F230" s="3233">
        <v>1820</v>
      </c>
      <c r="G230" s="3246"/>
    </row>
    <row r="231" spans="1:7" s="3222" customFormat="1" ht="14.25" customHeight="1">
      <c r="A231" s="3233" t="s">
        <v>304</v>
      </c>
      <c r="B231" s="3233" t="s">
        <v>3109</v>
      </c>
      <c r="C231" s="3233"/>
      <c r="D231" s="3233"/>
      <c r="E231" s="3233"/>
      <c r="F231" s="3233">
        <v>1760</v>
      </c>
      <c r="G231" s="3246"/>
    </row>
    <row r="232" spans="1:7" s="3222" customFormat="1" ht="14.25" customHeight="1">
      <c r="A232" s="3233" t="s">
        <v>304</v>
      </c>
      <c r="B232" s="3233" t="s">
        <v>3110</v>
      </c>
      <c r="C232" s="3233"/>
      <c r="D232" s="3233"/>
      <c r="E232" s="3233"/>
      <c r="F232" s="3233">
        <v>1840</v>
      </c>
      <c r="G232" s="3246"/>
    </row>
    <row r="233" spans="1:7" s="3222" customFormat="1" ht="14.25" customHeight="1" thickBot="1">
      <c r="A233" s="3247" t="s">
        <v>304</v>
      </c>
      <c r="B233" s="3240" t="s">
        <v>3041</v>
      </c>
      <c r="C233" s="3240"/>
      <c r="D233" s="3240"/>
      <c r="E233" s="3240"/>
      <c r="F233" s="3240">
        <v>1770</v>
      </c>
      <c r="G233" s="3248"/>
    </row>
    <row r="234" spans="1:7" s="3222" customFormat="1" ht="14.25" customHeight="1">
      <c r="A234" s="3238" t="s">
        <v>305</v>
      </c>
      <c r="B234" s="3229" t="s">
        <v>3111</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2882</v>
      </c>
      <c r="C238" s="3233">
        <v>6920</v>
      </c>
      <c r="D238" s="3233">
        <v>6890</v>
      </c>
      <c r="E238" s="3233">
        <v>8640</v>
      </c>
      <c r="F238" s="3233">
        <v>1310</v>
      </c>
      <c r="G238" s="3233">
        <v>4230</v>
      </c>
    </row>
    <row r="239" spans="1:7" s="3222" customFormat="1" ht="14.25" customHeight="1">
      <c r="A239" s="3233" t="s">
        <v>305</v>
      </c>
      <c r="B239" s="3233" t="s">
        <v>3112</v>
      </c>
      <c r="C239" s="3233">
        <v>6780</v>
      </c>
      <c r="D239" s="3233">
        <v>6750</v>
      </c>
      <c r="E239" s="3233">
        <v>8440</v>
      </c>
      <c r="F239" s="3233">
        <v>1160</v>
      </c>
      <c r="G239" s="3233">
        <v>4140</v>
      </c>
    </row>
    <row r="240" spans="1:7" s="3222" customFormat="1" ht="14.25" customHeight="1">
      <c r="A240" s="3233" t="s">
        <v>305</v>
      </c>
      <c r="B240" s="3233" t="s">
        <v>3113</v>
      </c>
      <c r="C240" s="3233">
        <v>5420</v>
      </c>
      <c r="D240" s="3233">
        <v>5380</v>
      </c>
      <c r="E240" s="3233">
        <v>6640</v>
      </c>
      <c r="F240" s="3233">
        <v>1020</v>
      </c>
      <c r="G240" s="3233">
        <v>3300</v>
      </c>
    </row>
    <row r="241" spans="1:7" s="3222" customFormat="1" ht="14.25" customHeight="1">
      <c r="A241" s="3233" t="s">
        <v>305</v>
      </c>
      <c r="B241" s="3233" t="s">
        <v>3114</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3115</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3116</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3117</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3118</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3119</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2944</v>
      </c>
      <c r="C258" s="3233">
        <v>6190</v>
      </c>
      <c r="D258" s="3233">
        <v>6160</v>
      </c>
      <c r="E258" s="3233">
        <v>7680</v>
      </c>
      <c r="F258" s="3233">
        <v>1170</v>
      </c>
      <c r="G258" s="3233">
        <v>3780</v>
      </c>
    </row>
    <row r="259" spans="1:7" s="3222" customFormat="1" ht="14.25" customHeight="1">
      <c r="A259" s="3233" t="s">
        <v>305</v>
      </c>
      <c r="B259" s="3233" t="s">
        <v>3120</v>
      </c>
      <c r="C259" s="3233">
        <v>7610</v>
      </c>
      <c r="D259" s="3233">
        <v>7570</v>
      </c>
      <c r="E259" s="3233">
        <v>9350</v>
      </c>
      <c r="F259" s="3233">
        <v>1350</v>
      </c>
      <c r="G259" s="3233">
        <v>4650</v>
      </c>
    </row>
    <row r="260" spans="1:7" s="3222" customFormat="1" ht="14.25" customHeight="1">
      <c r="A260" s="3233" t="s">
        <v>305</v>
      </c>
      <c r="B260" s="3233" t="s">
        <v>3121</v>
      </c>
      <c r="C260" s="3233">
        <v>6920</v>
      </c>
      <c r="D260" s="3233">
        <v>6880</v>
      </c>
      <c r="E260" s="3233">
        <v>8380</v>
      </c>
      <c r="F260" s="3233">
        <v>1160</v>
      </c>
      <c r="G260" s="3233">
        <v>4220</v>
      </c>
    </row>
    <row r="261" spans="1:7" s="3222" customFormat="1" ht="14.25" customHeight="1">
      <c r="A261" s="3233" t="s">
        <v>305</v>
      </c>
      <c r="B261" s="3233" t="s">
        <v>3122</v>
      </c>
      <c r="C261" s="3233">
        <v>6850</v>
      </c>
      <c r="D261" s="3233">
        <v>6810</v>
      </c>
      <c r="E261" s="3233">
        <v>8290</v>
      </c>
      <c r="F261" s="3233">
        <v>1130</v>
      </c>
      <c r="G261" s="3233">
        <v>4180</v>
      </c>
    </row>
    <row r="262" spans="1:7" s="3222" customFormat="1" ht="14.25" customHeight="1">
      <c r="A262" s="3233" t="s">
        <v>305</v>
      </c>
      <c r="B262" s="3233" t="s">
        <v>3123</v>
      </c>
      <c r="C262" s="3233">
        <v>5860</v>
      </c>
      <c r="D262" s="3233">
        <v>5820</v>
      </c>
      <c r="E262" s="3233">
        <v>7640</v>
      </c>
      <c r="F262" s="3233">
        <v>1070</v>
      </c>
      <c r="G262" s="3233">
        <v>3570</v>
      </c>
    </row>
    <row r="263" spans="1:7" s="3222" customFormat="1" ht="14.25" customHeight="1">
      <c r="A263" s="3233" t="s">
        <v>305</v>
      </c>
      <c r="B263" s="3233" t="s">
        <v>3124</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3125</v>
      </c>
      <c r="C265" s="3233"/>
      <c r="D265" s="3233"/>
      <c r="E265" s="3233"/>
      <c r="F265" s="3233">
        <v>1500</v>
      </c>
      <c r="G265" s="3233"/>
    </row>
    <row r="266" spans="1:7" s="3222" customFormat="1" ht="14.25" customHeight="1">
      <c r="A266" s="3233" t="s">
        <v>305</v>
      </c>
      <c r="B266" s="3233" t="s">
        <v>3126</v>
      </c>
      <c r="C266" s="3233"/>
      <c r="D266" s="3233"/>
      <c r="E266" s="3233"/>
      <c r="F266" s="3233">
        <v>1500</v>
      </c>
      <c r="G266" s="3233"/>
    </row>
    <row r="267" spans="1:7" s="3222" customFormat="1" ht="14.25" customHeight="1">
      <c r="A267" s="3233" t="s">
        <v>305</v>
      </c>
      <c r="B267" s="3233" t="s">
        <v>3127</v>
      </c>
      <c r="C267" s="3233"/>
      <c r="D267" s="3233"/>
      <c r="E267" s="3233"/>
      <c r="F267" s="3233">
        <v>1500</v>
      </c>
      <c r="G267" s="3233"/>
    </row>
    <row r="268" spans="1:7" s="3222" customFormat="1" ht="14.25" customHeight="1">
      <c r="A268" s="3233" t="s">
        <v>305</v>
      </c>
      <c r="B268" s="3233" t="s">
        <v>3128</v>
      </c>
      <c r="C268" s="3233"/>
      <c r="D268" s="3233"/>
      <c r="E268" s="3233"/>
      <c r="F268" s="3233">
        <v>1290</v>
      </c>
      <c r="G268" s="3233"/>
    </row>
    <row r="269" spans="1:7" s="3222" customFormat="1" ht="14.25" customHeight="1">
      <c r="A269" s="3233" t="s">
        <v>305</v>
      </c>
      <c r="B269" s="3233" t="s">
        <v>3129</v>
      </c>
      <c r="C269" s="3233"/>
      <c r="D269" s="3233"/>
      <c r="E269" s="3233"/>
      <c r="F269" s="3233">
        <v>1150</v>
      </c>
      <c r="G269" s="3233"/>
    </row>
    <row r="270" spans="1:7" s="3222" customFormat="1" ht="14.25" customHeight="1">
      <c r="A270" s="3233" t="s">
        <v>305</v>
      </c>
      <c r="B270" s="3233" t="s">
        <v>3130</v>
      </c>
      <c r="C270" s="3233"/>
      <c r="D270" s="3233"/>
      <c r="E270" s="3233"/>
      <c r="F270" s="3233">
        <v>1380</v>
      </c>
      <c r="G270" s="3233"/>
    </row>
    <row r="271" spans="1:7" s="3222" customFormat="1" ht="14.25" customHeight="1">
      <c r="A271" s="3233" t="s">
        <v>305</v>
      </c>
      <c r="B271" s="3233" t="s">
        <v>3131</v>
      </c>
      <c r="C271" s="3233"/>
      <c r="D271" s="3233"/>
      <c r="E271" s="3233"/>
      <c r="F271" s="3233">
        <v>1460</v>
      </c>
      <c r="G271" s="3233"/>
    </row>
    <row r="272" spans="1:7" s="3222" customFormat="1" ht="14.25" customHeight="1">
      <c r="A272" s="3233" t="s">
        <v>305</v>
      </c>
      <c r="B272" s="3233" t="s">
        <v>3132</v>
      </c>
      <c r="C272" s="3233"/>
      <c r="D272" s="3233"/>
      <c r="E272" s="3233"/>
      <c r="F272" s="3233">
        <v>1460</v>
      </c>
      <c r="G272" s="3233"/>
    </row>
    <row r="273" spans="1:7" s="3222" customFormat="1" ht="14.25" customHeight="1">
      <c r="A273" s="3233" t="s">
        <v>305</v>
      </c>
      <c r="B273" s="3233" t="s">
        <v>3025</v>
      </c>
      <c r="C273" s="3233"/>
      <c r="D273" s="3233"/>
      <c r="E273" s="3233"/>
      <c r="F273" s="3233">
        <v>1490</v>
      </c>
      <c r="G273" s="3233"/>
    </row>
    <row r="274" spans="1:7" s="3222" customFormat="1" ht="14.25" customHeight="1">
      <c r="A274" s="3233" t="s">
        <v>305</v>
      </c>
      <c r="B274" s="3233" t="s">
        <v>3133</v>
      </c>
      <c r="C274" s="3233"/>
      <c r="D274" s="3233"/>
      <c r="E274" s="3233"/>
      <c r="F274" s="3233">
        <v>1490</v>
      </c>
      <c r="G274" s="3233"/>
    </row>
    <row r="275" spans="1:7" s="3222" customFormat="1" ht="14.25" customHeight="1">
      <c r="A275" s="3233" t="s">
        <v>305</v>
      </c>
      <c r="B275" s="3233" t="s">
        <v>3134</v>
      </c>
      <c r="C275" s="3233"/>
      <c r="D275" s="3233"/>
      <c r="E275" s="3233"/>
      <c r="F275" s="3233">
        <v>1220</v>
      </c>
      <c r="G275" s="3233"/>
    </row>
    <row r="276" spans="1:7" s="3222" customFormat="1" ht="14.25" customHeight="1" thickBot="1">
      <c r="A276" s="3241" t="s">
        <v>305</v>
      </c>
      <c r="B276" s="3243" t="s">
        <v>3135</v>
      </c>
      <c r="C276" s="3244"/>
      <c r="D276" s="3244"/>
      <c r="E276" s="3244"/>
      <c r="F276" s="3244">
        <v>1380</v>
      </c>
      <c r="G276" s="3244"/>
    </row>
    <row r="277" spans="1:7" s="3222" customFormat="1" ht="14.25" customHeight="1">
      <c r="A277" s="3238" t="s">
        <v>306</v>
      </c>
      <c r="B277" s="3229" t="s">
        <v>3136</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3137</v>
      </c>
      <c r="C279" s="3233">
        <v>4760</v>
      </c>
      <c r="D279" s="3233">
        <v>4720</v>
      </c>
      <c r="E279" s="3233">
        <v>5540</v>
      </c>
      <c r="F279" s="3233">
        <v>810</v>
      </c>
      <c r="G279" s="3246">
        <v>2850</v>
      </c>
    </row>
    <row r="280" spans="1:7" s="3222" customFormat="1" ht="14.25" customHeight="1">
      <c r="A280" s="3233" t="s">
        <v>306</v>
      </c>
      <c r="B280" s="3233" t="s">
        <v>3138</v>
      </c>
      <c r="C280" s="3233">
        <v>4010</v>
      </c>
      <c r="D280" s="3233">
        <v>3950</v>
      </c>
      <c r="E280" s="3233">
        <v>4710</v>
      </c>
      <c r="F280" s="3233">
        <v>800</v>
      </c>
      <c r="G280" s="3246">
        <v>2390</v>
      </c>
    </row>
    <row r="281" spans="1:7" s="3222" customFormat="1" ht="14.25" customHeight="1">
      <c r="A281" s="3233" t="s">
        <v>306</v>
      </c>
      <c r="B281" s="3233" t="s">
        <v>3139</v>
      </c>
      <c r="C281" s="3233">
        <v>4480</v>
      </c>
      <c r="D281" s="3233">
        <v>4420</v>
      </c>
      <c r="E281" s="3233">
        <v>5230</v>
      </c>
      <c r="F281" s="3233">
        <v>870</v>
      </c>
      <c r="G281" s="3246">
        <v>2660</v>
      </c>
    </row>
    <row r="282" spans="1:7" s="3222" customFormat="1" ht="14.25" customHeight="1">
      <c r="A282" s="3233" t="s">
        <v>306</v>
      </c>
      <c r="B282" s="3233" t="s">
        <v>3140</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3141</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3142</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2917</v>
      </c>
      <c r="C293" s="3233">
        <v>5320</v>
      </c>
      <c r="D293" s="3233">
        <v>5270</v>
      </c>
      <c r="E293" s="3233">
        <v>6160</v>
      </c>
      <c r="F293" s="3233">
        <v>990</v>
      </c>
      <c r="G293" s="3246">
        <v>3170</v>
      </c>
    </row>
    <row r="294" spans="1:7" s="3222" customFormat="1" ht="14.25" customHeight="1">
      <c r="A294" s="3233" t="s">
        <v>306</v>
      </c>
      <c r="B294" s="3233" t="s">
        <v>3143</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2936</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3144</v>
      </c>
      <c r="C302" s="3233">
        <v>5520</v>
      </c>
      <c r="D302" s="3233">
        <v>5470</v>
      </c>
      <c r="E302" s="3233">
        <v>6410</v>
      </c>
      <c r="F302" s="3233">
        <v>950</v>
      </c>
      <c r="G302" s="3246">
        <v>3300</v>
      </c>
    </row>
    <row r="303" spans="1:7" s="3222" customFormat="1" ht="14.25" customHeight="1">
      <c r="A303" s="3233" t="s">
        <v>306</v>
      </c>
      <c r="B303" s="3233" t="s">
        <v>2956</v>
      </c>
      <c r="C303" s="3233">
        <v>5630</v>
      </c>
      <c r="D303" s="3233">
        <v>5590</v>
      </c>
      <c r="E303" s="3233">
        <v>6550</v>
      </c>
      <c r="F303" s="3233">
        <v>1010</v>
      </c>
      <c r="G303" s="3246">
        <v>3370</v>
      </c>
    </row>
    <row r="304" spans="1:7" s="3222" customFormat="1" ht="14.25" customHeight="1">
      <c r="A304" s="3233" t="s">
        <v>306</v>
      </c>
      <c r="B304" s="3233" t="s">
        <v>2963</v>
      </c>
      <c r="C304" s="3233">
        <v>5680</v>
      </c>
      <c r="D304" s="3233">
        <v>5620</v>
      </c>
      <c r="E304" s="3233">
        <v>6620</v>
      </c>
      <c r="F304" s="3233">
        <v>1050</v>
      </c>
      <c r="G304" s="3246">
        <v>3390</v>
      </c>
    </row>
    <row r="305" spans="1:7" s="3222" customFormat="1" ht="14.25" customHeight="1">
      <c r="A305" s="3233" t="s">
        <v>306</v>
      </c>
      <c r="B305" s="3233" t="s">
        <v>2969</v>
      </c>
      <c r="C305" s="3233">
        <v>5590</v>
      </c>
      <c r="D305" s="3233">
        <v>5530</v>
      </c>
      <c r="E305" s="3233">
        <v>6460</v>
      </c>
      <c r="F305" s="3233">
        <v>900</v>
      </c>
      <c r="G305" s="3246">
        <v>3340</v>
      </c>
    </row>
    <row r="306" spans="1:7" s="3222" customFormat="1" ht="14.25" customHeight="1">
      <c r="A306" s="3233" t="s">
        <v>306</v>
      </c>
      <c r="B306" s="3233" t="s">
        <v>3145</v>
      </c>
      <c r="C306" s="3233">
        <v>5560</v>
      </c>
      <c r="D306" s="3233">
        <v>5510</v>
      </c>
      <c r="E306" s="3233">
        <v>6440</v>
      </c>
      <c r="F306" s="3233">
        <v>900</v>
      </c>
      <c r="G306" s="3246">
        <v>3320</v>
      </c>
    </row>
    <row r="307" spans="1:7" s="3222" customFormat="1" ht="14.25" customHeight="1">
      <c r="A307" s="3233" t="s">
        <v>306</v>
      </c>
      <c r="B307" s="3233" t="s">
        <v>2981</v>
      </c>
      <c r="C307" s="3233">
        <v>5650</v>
      </c>
      <c r="D307" s="3233">
        <v>5600</v>
      </c>
      <c r="E307" s="3233">
        <v>6590</v>
      </c>
      <c r="F307" s="3233">
        <v>930</v>
      </c>
      <c r="G307" s="3246">
        <v>3380</v>
      </c>
    </row>
    <row r="308" spans="1:7" s="3222" customFormat="1" ht="14.25" customHeight="1">
      <c r="A308" s="3233" t="s">
        <v>306</v>
      </c>
      <c r="B308" s="3233" t="s">
        <v>3146</v>
      </c>
      <c r="C308" s="3233">
        <v>5620</v>
      </c>
      <c r="D308" s="3233">
        <v>5580</v>
      </c>
      <c r="E308" s="3233">
        <v>6540</v>
      </c>
      <c r="F308" s="3233">
        <v>910</v>
      </c>
      <c r="G308" s="3246">
        <v>3370</v>
      </c>
    </row>
    <row r="309" spans="1:7" s="3222" customFormat="1" ht="14.25" customHeight="1">
      <c r="A309" s="3233" t="s">
        <v>306</v>
      </c>
      <c r="B309" s="3233" t="s">
        <v>3147</v>
      </c>
      <c r="C309" s="3233">
        <v>5060</v>
      </c>
      <c r="D309" s="3233">
        <v>5020</v>
      </c>
      <c r="E309" s="3233">
        <v>6370</v>
      </c>
      <c r="F309" s="3233">
        <v>800</v>
      </c>
      <c r="G309" s="3246">
        <v>3020</v>
      </c>
    </row>
    <row r="310" spans="1:7" s="3222" customFormat="1" ht="14.25" customHeight="1">
      <c r="A310" s="3233" t="s">
        <v>306</v>
      </c>
      <c r="B310" s="3233" t="s">
        <v>2996</v>
      </c>
      <c r="C310" s="3233">
        <v>5150</v>
      </c>
      <c r="D310" s="3233">
        <v>5110</v>
      </c>
      <c r="E310" s="3233">
        <v>6500</v>
      </c>
      <c r="F310" s="3233">
        <v>880</v>
      </c>
      <c r="G310" s="3246">
        <v>3080</v>
      </c>
    </row>
    <row r="311" spans="1:7" s="3222" customFormat="1" ht="14.25" customHeight="1">
      <c r="A311" s="3233" t="s">
        <v>306</v>
      </c>
      <c r="B311" s="3233" t="s">
        <v>3148</v>
      </c>
      <c r="C311" s="3233">
        <v>4750</v>
      </c>
      <c r="D311" s="3233">
        <v>4710</v>
      </c>
      <c r="E311" s="3233">
        <v>5510</v>
      </c>
      <c r="F311" s="3233">
        <v>880</v>
      </c>
      <c r="G311" s="3246">
        <v>2840</v>
      </c>
    </row>
    <row r="312" spans="1:7" s="3222" customFormat="1" ht="14.25" customHeight="1">
      <c r="A312" s="3233" t="s">
        <v>306</v>
      </c>
      <c r="B312" s="3233" t="s">
        <v>3006</v>
      </c>
      <c r="C312" s="3233">
        <v>4690</v>
      </c>
      <c r="D312" s="3233">
        <v>4640</v>
      </c>
      <c r="E312" s="3233">
        <v>5420</v>
      </c>
      <c r="F312" s="3233">
        <v>800</v>
      </c>
      <c r="G312" s="3246">
        <v>2800</v>
      </c>
    </row>
    <row r="313" spans="1:7" s="3222" customFormat="1" ht="14.25" customHeight="1">
      <c r="A313" s="3233" t="s">
        <v>306</v>
      </c>
      <c r="B313" s="3233" t="s">
        <v>3011</v>
      </c>
      <c r="C313" s="3233">
        <v>4810</v>
      </c>
      <c r="D313" s="3233">
        <v>4760</v>
      </c>
      <c r="E313" s="3233">
        <v>5550</v>
      </c>
      <c r="F313" s="3233">
        <v>920</v>
      </c>
      <c r="G313" s="3246">
        <v>2870</v>
      </c>
    </row>
    <row r="314" spans="1:7" s="3222" customFormat="1" ht="14.25" customHeight="1">
      <c r="A314" s="3233" t="s">
        <v>306</v>
      </c>
      <c r="B314" s="3233" t="s">
        <v>3149</v>
      </c>
      <c r="C314" s="3233"/>
      <c r="D314" s="3233"/>
      <c r="E314" s="3233"/>
      <c r="F314" s="3233">
        <v>1020</v>
      </c>
      <c r="G314" s="3246"/>
    </row>
    <row r="315" spans="1:7" s="3222" customFormat="1" ht="14.25" customHeight="1">
      <c r="A315" s="3233" t="s">
        <v>306</v>
      </c>
      <c r="B315" s="3233" t="s">
        <v>3150</v>
      </c>
      <c r="C315" s="3233"/>
      <c r="D315" s="3233"/>
      <c r="E315" s="3233"/>
      <c r="F315" s="3233">
        <v>1050</v>
      </c>
      <c r="G315" s="3246"/>
    </row>
    <row r="316" spans="1:7" s="3222" customFormat="1" ht="14.25" customHeight="1">
      <c r="A316" s="3233" t="s">
        <v>306</v>
      </c>
      <c r="B316" s="3233" t="s">
        <v>3026</v>
      </c>
      <c r="C316" s="3233"/>
      <c r="D316" s="3233"/>
      <c r="E316" s="3233"/>
      <c r="F316" s="3233">
        <v>900</v>
      </c>
      <c r="G316" s="3246"/>
    </row>
    <row r="317" spans="1:7" s="3222" customFormat="1" ht="14.25" customHeight="1">
      <c r="A317" s="3233" t="s">
        <v>306</v>
      </c>
      <c r="B317" s="3233" t="s">
        <v>3151</v>
      </c>
      <c r="C317" s="3233"/>
      <c r="D317" s="3233"/>
      <c r="E317" s="3233"/>
      <c r="F317" s="3233">
        <v>920</v>
      </c>
      <c r="G317" s="3246"/>
    </row>
    <row r="318" spans="1:7" s="3222" customFormat="1" ht="14.25" customHeight="1">
      <c r="A318" s="3233" t="s">
        <v>306</v>
      </c>
      <c r="B318" s="3233" t="s">
        <v>3152</v>
      </c>
      <c r="C318" s="3233"/>
      <c r="D318" s="3233"/>
      <c r="E318" s="3233"/>
      <c r="F318" s="3233">
        <v>1080</v>
      </c>
      <c r="G318" s="3246"/>
    </row>
    <row r="319" spans="1:7" s="3222" customFormat="1" ht="14.25" customHeight="1">
      <c r="A319" s="3233" t="s">
        <v>306</v>
      </c>
      <c r="B319" s="3233" t="s">
        <v>3039</v>
      </c>
      <c r="C319" s="3233"/>
      <c r="D319" s="3233"/>
      <c r="E319" s="3233"/>
      <c r="F319" s="3233">
        <v>1020</v>
      </c>
      <c r="G319" s="3246"/>
    </row>
    <row r="320" spans="1:7" s="3222" customFormat="1" ht="14.25" customHeight="1">
      <c r="A320" s="3233" t="s">
        <v>306</v>
      </c>
      <c r="B320" s="3233" t="s">
        <v>3042</v>
      </c>
      <c r="C320" s="3233"/>
      <c r="D320" s="3233"/>
      <c r="E320" s="3233"/>
      <c r="F320" s="3233">
        <v>1050</v>
      </c>
      <c r="G320" s="3246"/>
    </row>
    <row r="321" spans="1:7" s="3222" customFormat="1" ht="14.25" customHeight="1">
      <c r="A321" s="3233" t="s">
        <v>306</v>
      </c>
      <c r="B321" s="3233" t="s">
        <v>3044</v>
      </c>
      <c r="C321" s="3233"/>
      <c r="D321" s="3233"/>
      <c r="E321" s="3233"/>
      <c r="F321" s="3233">
        <v>960</v>
      </c>
      <c r="G321" s="3246"/>
    </row>
    <row r="322" spans="1:7" s="3222" customFormat="1" ht="14.25" customHeight="1">
      <c r="A322" s="3233" t="s">
        <v>306</v>
      </c>
      <c r="B322" s="3233" t="s">
        <v>3046</v>
      </c>
      <c r="C322" s="3233"/>
      <c r="D322" s="3233"/>
      <c r="E322" s="3233"/>
      <c r="F322" s="3233">
        <v>960</v>
      </c>
      <c r="G322" s="3246"/>
    </row>
    <row r="323" spans="1:7" s="3222" customFormat="1" ht="14.25" customHeight="1">
      <c r="A323" s="3233" t="s">
        <v>306</v>
      </c>
      <c r="B323" s="3233" t="s">
        <v>3048</v>
      </c>
      <c r="C323" s="3233"/>
      <c r="D323" s="3233"/>
      <c r="E323" s="3233"/>
      <c r="F323" s="3233">
        <v>880</v>
      </c>
      <c r="G323" s="3246"/>
    </row>
    <row r="324" spans="1:7" s="3222" customFormat="1" ht="14.25" customHeight="1">
      <c r="A324" s="3233" t="s">
        <v>306</v>
      </c>
      <c r="B324" s="3233" t="s">
        <v>3050</v>
      </c>
      <c r="C324" s="3233"/>
      <c r="D324" s="3233"/>
      <c r="E324" s="3233"/>
      <c r="F324" s="3233">
        <v>930</v>
      </c>
      <c r="G324" s="3246"/>
    </row>
    <row r="325" spans="1:7" s="3222" customFormat="1" ht="14.25" customHeight="1">
      <c r="A325" s="3233" t="s">
        <v>306</v>
      </c>
      <c r="B325" s="3234" t="s">
        <v>3052</v>
      </c>
      <c r="C325" s="3233"/>
      <c r="D325" s="3233"/>
      <c r="E325" s="3233"/>
      <c r="F325" s="3233">
        <v>900</v>
      </c>
      <c r="G325" s="3246"/>
    </row>
    <row r="326" spans="1:7" s="3222" customFormat="1" ht="14.25" customHeight="1" thickBot="1">
      <c r="A326" s="3247" t="s">
        <v>306</v>
      </c>
      <c r="B326" s="3240" t="s">
        <v>3054</v>
      </c>
      <c r="C326" s="3240"/>
      <c r="D326" s="3240"/>
      <c r="E326" s="3240"/>
      <c r="F326" s="3240">
        <v>790</v>
      </c>
      <c r="G326" s="3248"/>
    </row>
    <row r="327" spans="1:7" s="3222" customFormat="1" ht="14.25" customHeight="1">
      <c r="A327" s="3238" t="s">
        <v>307</v>
      </c>
      <c r="B327" s="3229" t="s">
        <v>3153</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3154</v>
      </c>
      <c r="C329" s="3233">
        <v>2730</v>
      </c>
      <c r="D329" s="3233">
        <v>2690</v>
      </c>
      <c r="E329" s="3233">
        <v>3100</v>
      </c>
      <c r="F329" s="3233">
        <v>660</v>
      </c>
      <c r="G329" s="3233">
        <v>1610</v>
      </c>
    </row>
    <row r="330" spans="1:7" s="3222" customFormat="1" ht="14.25" customHeight="1">
      <c r="A330" s="3233" t="s">
        <v>307</v>
      </c>
      <c r="B330" s="3233" t="s">
        <v>3155</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2888</v>
      </c>
      <c r="C332" s="3233">
        <v>3520</v>
      </c>
      <c r="D332" s="3233">
        <v>3480</v>
      </c>
      <c r="E332" s="3233">
        <v>3830</v>
      </c>
      <c r="F332" s="3233">
        <v>720</v>
      </c>
      <c r="G332" s="3233">
        <v>2090</v>
      </c>
    </row>
    <row r="333" spans="1:7" s="3222" customFormat="1" ht="14.25" customHeight="1">
      <c r="A333" s="3233" t="s">
        <v>307</v>
      </c>
      <c r="B333" s="3233" t="s">
        <v>3156</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2898</v>
      </c>
      <c r="C336" s="3233">
        <v>3570</v>
      </c>
      <c r="D336" s="3233">
        <v>3530</v>
      </c>
      <c r="E336" s="3233">
        <v>3880</v>
      </c>
      <c r="F336" s="3233">
        <v>770</v>
      </c>
      <c r="G336" s="3233">
        <v>2110</v>
      </c>
    </row>
    <row r="337" spans="1:10" s="3222" customFormat="1" ht="14.25" customHeight="1">
      <c r="A337" s="3233" t="s">
        <v>307</v>
      </c>
      <c r="B337" s="3233" t="s">
        <v>3157</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3158</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3159</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2923</v>
      </c>
      <c r="C345" s="3233">
        <v>3190</v>
      </c>
      <c r="D345" s="3233">
        <v>3140</v>
      </c>
      <c r="E345" s="3233">
        <v>3450</v>
      </c>
      <c r="F345" s="3233">
        <v>720</v>
      </c>
      <c r="G345" s="3233">
        <v>1880</v>
      </c>
      <c r="J345" s="3222"/>
    </row>
    <row r="346" spans="1:10">
      <c r="A346" s="3233" t="s">
        <v>307</v>
      </c>
      <c r="B346" s="3233" t="s">
        <v>3160</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2932</v>
      </c>
      <c r="C348" s="3233">
        <v>4000</v>
      </c>
      <c r="D348" s="3233">
        <v>3950</v>
      </c>
      <c r="E348" s="3233">
        <v>4430</v>
      </c>
      <c r="F348" s="3233">
        <v>760</v>
      </c>
      <c r="G348" s="3233">
        <v>2360</v>
      </c>
      <c r="J348" s="3222"/>
    </row>
    <row r="349" spans="1:10">
      <c r="A349" s="3233" t="s">
        <v>307</v>
      </c>
      <c r="B349" s="3233" t="s">
        <v>2937</v>
      </c>
      <c r="C349" s="3233">
        <v>3820</v>
      </c>
      <c r="D349" s="3233">
        <v>3780</v>
      </c>
      <c r="E349" s="3233">
        <v>4170</v>
      </c>
      <c r="F349" s="3233">
        <v>710</v>
      </c>
      <c r="G349" s="3233">
        <v>2260</v>
      </c>
      <c r="J349" s="3222"/>
    </row>
    <row r="350" spans="1:10">
      <c r="A350" s="3233" t="s">
        <v>307</v>
      </c>
      <c r="B350" s="3233" t="s">
        <v>3161</v>
      </c>
      <c r="C350" s="3233">
        <v>3760</v>
      </c>
      <c r="D350" s="3233">
        <v>3730</v>
      </c>
      <c r="E350" s="3233">
        <v>4100</v>
      </c>
      <c r="F350" s="3233">
        <v>800</v>
      </c>
      <c r="G350" s="3233">
        <v>2230</v>
      </c>
      <c r="J350" s="3222"/>
    </row>
    <row r="351" spans="1:10">
      <c r="A351" s="3233" t="s">
        <v>307</v>
      </c>
      <c r="B351" s="3233" t="s">
        <v>2945</v>
      </c>
      <c r="C351" s="3233">
        <v>3610</v>
      </c>
      <c r="D351" s="3233">
        <v>3580</v>
      </c>
      <c r="E351" s="3233">
        <v>3930</v>
      </c>
      <c r="F351" s="3233">
        <v>700</v>
      </c>
      <c r="G351" s="3233">
        <v>2140</v>
      </c>
      <c r="J351" s="3222"/>
    </row>
    <row r="352" spans="1:10">
      <c r="A352" s="3233" t="s">
        <v>307</v>
      </c>
      <c r="B352" s="3233" t="s">
        <v>2950</v>
      </c>
      <c r="C352" s="3233">
        <v>3670</v>
      </c>
      <c r="D352" s="3233">
        <v>3630</v>
      </c>
      <c r="E352" s="3233">
        <v>4000</v>
      </c>
      <c r="F352" s="3233">
        <v>750</v>
      </c>
      <c r="G352" s="3233">
        <v>2180</v>
      </c>
    </row>
    <row r="353" spans="1:7" s="3226" customFormat="1">
      <c r="A353" s="3233" t="s">
        <v>307</v>
      </c>
      <c r="B353" s="3233" t="s">
        <v>3162</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2970</v>
      </c>
      <c r="C355" s="3233">
        <v>3650</v>
      </c>
      <c r="D355" s="3233">
        <v>3610</v>
      </c>
      <c r="E355" s="3233">
        <v>4200</v>
      </c>
      <c r="F355" s="3233">
        <v>640</v>
      </c>
      <c r="G355" s="3233">
        <v>2160</v>
      </c>
    </row>
    <row r="356" spans="1:7" s="3226" customFormat="1">
      <c r="A356" s="3233" t="s">
        <v>307</v>
      </c>
      <c r="B356" s="3233" t="s">
        <v>2977</v>
      </c>
      <c r="C356" s="3233">
        <v>3260</v>
      </c>
      <c r="D356" s="3233">
        <v>3230</v>
      </c>
      <c r="E356" s="3233">
        <v>3740</v>
      </c>
      <c r="F356" s="3233">
        <v>600</v>
      </c>
      <c r="G356" s="3233">
        <v>1930</v>
      </c>
    </row>
    <row r="357" spans="1:7" s="3226" customFormat="1" ht="12" thickBot="1">
      <c r="A357" s="3241" t="s">
        <v>307</v>
      </c>
      <c r="B357" s="3244" t="s">
        <v>3163</v>
      </c>
      <c r="C357" s="3244">
        <v>3690</v>
      </c>
      <c r="D357" s="3244">
        <v>3650</v>
      </c>
      <c r="E357" s="3244">
        <v>4020</v>
      </c>
      <c r="F357" s="3244">
        <v>700</v>
      </c>
      <c r="G357" s="3244">
        <v>2190</v>
      </c>
    </row>
    <row r="358" spans="1:7" s="3226" customFormat="1">
      <c r="A358" s="3238" t="s">
        <v>3164</v>
      </c>
      <c r="B358" s="3229" t="s">
        <v>3165</v>
      </c>
      <c r="C358" s="3229">
        <v>2080</v>
      </c>
      <c r="D358" s="3229">
        <v>2040</v>
      </c>
      <c r="E358" s="3229">
        <v>2010</v>
      </c>
      <c r="F358" s="3229">
        <v>530</v>
      </c>
      <c r="G358" s="3245">
        <v>1230</v>
      </c>
    </row>
    <row r="359" spans="1:7" s="3226" customFormat="1">
      <c r="A359" s="3233" t="s">
        <v>3164</v>
      </c>
      <c r="B359" s="3233" t="s">
        <v>3166</v>
      </c>
      <c r="C359" s="3233">
        <v>1850</v>
      </c>
      <c r="D359" s="3233">
        <v>1820</v>
      </c>
      <c r="E359" s="3233">
        <v>1780</v>
      </c>
      <c r="F359" s="3233">
        <v>520</v>
      </c>
      <c r="G359" s="3246">
        <v>1100</v>
      </c>
    </row>
    <row r="360" spans="1:7" s="3226" customFormat="1">
      <c r="A360" s="3233" t="s">
        <v>3164</v>
      </c>
      <c r="B360" s="3233" t="s">
        <v>3167</v>
      </c>
      <c r="C360" s="3233">
        <v>2020</v>
      </c>
      <c r="D360" s="3233">
        <v>1990</v>
      </c>
      <c r="E360" s="3233">
        <v>1950</v>
      </c>
      <c r="F360" s="3233">
        <v>500</v>
      </c>
      <c r="G360" s="3246">
        <v>1200</v>
      </c>
    </row>
    <row r="361" spans="1:7" s="3226" customFormat="1">
      <c r="A361" s="3233" t="s">
        <v>3164</v>
      </c>
      <c r="B361" s="3233" t="s">
        <v>153</v>
      </c>
      <c r="C361" s="3233">
        <v>2260</v>
      </c>
      <c r="D361" s="3233">
        <v>2220</v>
      </c>
      <c r="E361" s="3233">
        <v>2180</v>
      </c>
      <c r="F361" s="3233">
        <v>580</v>
      </c>
      <c r="G361" s="3246">
        <v>1340</v>
      </c>
    </row>
    <row r="362" spans="1:7" s="3226" customFormat="1">
      <c r="A362" s="3233" t="s">
        <v>3164</v>
      </c>
      <c r="B362" s="3233" t="s">
        <v>3168</v>
      </c>
      <c r="C362" s="3233">
        <v>2650</v>
      </c>
      <c r="D362" s="3233">
        <v>2610</v>
      </c>
      <c r="E362" s="3233">
        <v>2570</v>
      </c>
      <c r="F362" s="3233">
        <v>630</v>
      </c>
      <c r="G362" s="3246">
        <v>1570</v>
      </c>
    </row>
    <row r="363" spans="1:7" s="3226" customFormat="1">
      <c r="A363" s="3233" t="s">
        <v>3164</v>
      </c>
      <c r="B363" s="3233" t="s">
        <v>2889</v>
      </c>
      <c r="C363" s="3233">
        <v>2390</v>
      </c>
      <c r="D363" s="3233">
        <v>2360</v>
      </c>
      <c r="E363" s="3233">
        <v>2320</v>
      </c>
      <c r="F363" s="3233">
        <v>600</v>
      </c>
      <c r="G363" s="3246">
        <v>1420</v>
      </c>
    </row>
    <row r="364" spans="1:7" s="3226" customFormat="1">
      <c r="A364" s="3233" t="s">
        <v>3164</v>
      </c>
      <c r="B364" s="3233" t="s">
        <v>3169</v>
      </c>
      <c r="C364" s="3233">
        <v>2050</v>
      </c>
      <c r="D364" s="3233">
        <v>2030</v>
      </c>
      <c r="E364" s="3233">
        <v>1990</v>
      </c>
      <c r="F364" s="3233">
        <v>550</v>
      </c>
      <c r="G364" s="3246">
        <v>1220</v>
      </c>
    </row>
    <row r="365" spans="1:7" s="3226" customFormat="1">
      <c r="A365" s="3233" t="s">
        <v>3164</v>
      </c>
      <c r="B365" s="3233" t="s">
        <v>200</v>
      </c>
      <c r="C365" s="3233">
        <v>2140</v>
      </c>
      <c r="D365" s="3233">
        <v>2100</v>
      </c>
      <c r="E365" s="3233">
        <v>2060</v>
      </c>
      <c r="F365" s="3233">
        <v>540</v>
      </c>
      <c r="G365" s="3246">
        <v>1270</v>
      </c>
    </row>
    <row r="366" spans="1:7" s="3226" customFormat="1">
      <c r="A366" s="3233" t="s">
        <v>3164</v>
      </c>
      <c r="B366" s="3233" t="s">
        <v>2896</v>
      </c>
      <c r="C366" s="3233">
        <v>2410</v>
      </c>
      <c r="D366" s="3233">
        <v>2370</v>
      </c>
      <c r="E366" s="3233">
        <v>2330</v>
      </c>
      <c r="F366" s="3233">
        <v>570</v>
      </c>
      <c r="G366" s="3246">
        <v>1440</v>
      </c>
    </row>
    <row r="367" spans="1:7" s="3226" customFormat="1">
      <c r="A367" s="3233" t="s">
        <v>3164</v>
      </c>
      <c r="B367" s="3233" t="s">
        <v>3170</v>
      </c>
      <c r="C367" s="3233">
        <v>2300</v>
      </c>
      <c r="D367" s="3233">
        <v>2260</v>
      </c>
      <c r="E367" s="3233">
        <v>2220</v>
      </c>
      <c r="F367" s="3233">
        <v>560</v>
      </c>
      <c r="G367" s="3246">
        <v>1370</v>
      </c>
    </row>
    <row r="368" spans="1:7" s="3226" customFormat="1">
      <c r="A368" s="3233" t="s">
        <v>3164</v>
      </c>
      <c r="B368" s="3233" t="s">
        <v>3171</v>
      </c>
      <c r="C368" s="3233">
        <v>2430</v>
      </c>
      <c r="D368" s="3233">
        <v>2390</v>
      </c>
      <c r="E368" s="3233">
        <v>2350</v>
      </c>
      <c r="F368" s="3233">
        <v>570</v>
      </c>
      <c r="G368" s="3246">
        <v>1450</v>
      </c>
    </row>
    <row r="369" spans="1:7" s="3226" customFormat="1">
      <c r="A369" s="3233" t="s">
        <v>3164</v>
      </c>
      <c r="B369" s="3233" t="s">
        <v>214</v>
      </c>
      <c r="C369" s="3233">
        <v>2320</v>
      </c>
      <c r="D369" s="3233">
        <v>2290</v>
      </c>
      <c r="E369" s="3233">
        <v>2250</v>
      </c>
      <c r="F369" s="3233">
        <v>550</v>
      </c>
      <c r="G369" s="3246">
        <v>1380</v>
      </c>
    </row>
    <row r="370" spans="1:7" s="3226" customFormat="1">
      <c r="A370" s="3233" t="s">
        <v>3164</v>
      </c>
      <c r="B370" s="3233" t="s">
        <v>221</v>
      </c>
      <c r="C370" s="3233">
        <v>2190</v>
      </c>
      <c r="D370" s="3233">
        <v>2170</v>
      </c>
      <c r="E370" s="3233">
        <v>2130</v>
      </c>
      <c r="F370" s="3233">
        <v>530</v>
      </c>
      <c r="G370" s="3246">
        <v>1310</v>
      </c>
    </row>
    <row r="371" spans="1:7" s="3226" customFormat="1">
      <c r="A371" s="3233" t="s">
        <v>3164</v>
      </c>
      <c r="B371" s="3233" t="s">
        <v>229</v>
      </c>
      <c r="C371" s="3233">
        <v>2460</v>
      </c>
      <c r="D371" s="3233">
        <v>2420</v>
      </c>
      <c r="E371" s="3233">
        <v>2370</v>
      </c>
      <c r="F371" s="3233">
        <v>560</v>
      </c>
      <c r="G371" s="3246">
        <v>1470</v>
      </c>
    </row>
    <row r="372" spans="1:7" s="3226" customFormat="1">
      <c r="A372" s="3233" t="s">
        <v>3164</v>
      </c>
      <c r="B372" s="3233" t="s">
        <v>3172</v>
      </c>
      <c r="C372" s="3233">
        <v>2250</v>
      </c>
      <c r="D372" s="3233">
        <v>2210</v>
      </c>
      <c r="E372" s="3233">
        <v>2180</v>
      </c>
      <c r="F372" s="3233">
        <v>550</v>
      </c>
      <c r="G372" s="3246">
        <v>1340</v>
      </c>
    </row>
    <row r="373" spans="1:7" s="3226" customFormat="1">
      <c r="A373" s="3233" t="s">
        <v>3164</v>
      </c>
      <c r="B373" s="3233" t="s">
        <v>258</v>
      </c>
      <c r="C373" s="3233">
        <v>2210</v>
      </c>
      <c r="D373" s="3233">
        <v>2190</v>
      </c>
      <c r="E373" s="3233">
        <v>2150</v>
      </c>
      <c r="F373" s="3233">
        <v>530</v>
      </c>
      <c r="G373" s="3246">
        <v>1320</v>
      </c>
    </row>
    <row r="374" spans="1:7" s="3226" customFormat="1">
      <c r="A374" s="3233" t="s">
        <v>3164</v>
      </c>
      <c r="B374" s="3233" t="s">
        <v>266</v>
      </c>
      <c r="C374" s="3233">
        <v>2320</v>
      </c>
      <c r="D374" s="3233">
        <v>2280</v>
      </c>
      <c r="E374" s="3233">
        <v>2230</v>
      </c>
      <c r="F374" s="3233">
        <v>580</v>
      </c>
      <c r="G374" s="3246">
        <v>1380</v>
      </c>
    </row>
    <row r="375" spans="1:7" s="3226" customFormat="1">
      <c r="A375" s="3233" t="s">
        <v>3164</v>
      </c>
      <c r="B375" s="3233" t="s">
        <v>3173</v>
      </c>
      <c r="C375" s="3233">
        <v>2090</v>
      </c>
      <c r="D375" s="3233">
        <v>2050</v>
      </c>
      <c r="E375" s="3233">
        <v>2020</v>
      </c>
      <c r="F375" s="3233">
        <v>520</v>
      </c>
      <c r="G375" s="3246">
        <v>1240</v>
      </c>
    </row>
    <row r="376" spans="1:7" s="3226" customFormat="1">
      <c r="A376" s="3233" t="s">
        <v>3164</v>
      </c>
      <c r="B376" s="3233" t="s">
        <v>277</v>
      </c>
      <c r="C376" s="3233">
        <v>2010</v>
      </c>
      <c r="D376" s="3233">
        <v>1980</v>
      </c>
      <c r="E376" s="3233">
        <v>1940</v>
      </c>
      <c r="F376" s="3233">
        <v>540</v>
      </c>
      <c r="G376" s="3246">
        <v>1190</v>
      </c>
    </row>
    <row r="377" spans="1:7" s="3226" customFormat="1" ht="12" thickBot="1">
      <c r="A377" s="3241" t="s">
        <v>3164</v>
      </c>
      <c r="B377" s="3244" t="s">
        <v>2926</v>
      </c>
      <c r="C377" s="3244">
        <v>1930</v>
      </c>
      <c r="D377" s="3244">
        <v>1890</v>
      </c>
      <c r="E377" s="3244">
        <v>1860</v>
      </c>
      <c r="F377" s="3244">
        <v>530</v>
      </c>
      <c r="G377" s="3249">
        <v>1150</v>
      </c>
    </row>
    <row r="378" spans="1:7" s="3226" customFormat="1">
      <c r="A378" s="3250" t="s">
        <v>3174</v>
      </c>
      <c r="B378" s="3229" t="s">
        <v>3175</v>
      </c>
      <c r="C378" s="3229">
        <v>1520</v>
      </c>
      <c r="D378" s="3229">
        <v>1490</v>
      </c>
      <c r="E378" s="3229">
        <v>1460</v>
      </c>
      <c r="F378" s="3229">
        <v>460</v>
      </c>
      <c r="G378" s="3245">
        <v>940</v>
      </c>
    </row>
    <row r="379" spans="1:7" s="3226" customFormat="1">
      <c r="A379" s="3251" t="s">
        <v>3174</v>
      </c>
      <c r="B379" s="3233" t="s">
        <v>3176</v>
      </c>
      <c r="C379" s="3233">
        <v>1500</v>
      </c>
      <c r="D379" s="3233">
        <v>1470</v>
      </c>
      <c r="E379" s="3233">
        <v>1430</v>
      </c>
      <c r="F379" s="3233">
        <v>460</v>
      </c>
      <c r="G379" s="3246">
        <v>920</v>
      </c>
    </row>
    <row r="380" spans="1:7" s="3226" customFormat="1">
      <c r="A380" s="3251" t="s">
        <v>3174</v>
      </c>
      <c r="B380" s="3233" t="s">
        <v>3177</v>
      </c>
      <c r="C380" s="3233">
        <v>1620</v>
      </c>
      <c r="D380" s="3233">
        <v>1590</v>
      </c>
      <c r="E380" s="3233">
        <v>1560</v>
      </c>
      <c r="F380" s="3233">
        <v>480</v>
      </c>
      <c r="G380" s="3246">
        <v>1000</v>
      </c>
    </row>
    <row r="381" spans="1:7" s="3226" customFormat="1">
      <c r="A381" s="3251" t="s">
        <v>3174</v>
      </c>
      <c r="B381" s="3233" t="s">
        <v>3178</v>
      </c>
      <c r="C381" s="3233">
        <v>1460</v>
      </c>
      <c r="D381" s="3233">
        <v>1430</v>
      </c>
      <c r="E381" s="3233">
        <v>1390</v>
      </c>
      <c r="F381" s="3233">
        <v>450</v>
      </c>
      <c r="G381" s="3246">
        <v>900</v>
      </c>
    </row>
    <row r="382" spans="1:7" s="3226" customFormat="1">
      <c r="A382" s="3251" t="s">
        <v>3174</v>
      </c>
      <c r="B382" s="3233" t="s">
        <v>3179</v>
      </c>
      <c r="C382" s="3233">
        <v>1310</v>
      </c>
      <c r="D382" s="3233">
        <v>1280</v>
      </c>
      <c r="E382" s="3233">
        <v>1250</v>
      </c>
      <c r="F382" s="3233">
        <v>440</v>
      </c>
      <c r="G382" s="3246">
        <v>800</v>
      </c>
    </row>
    <row r="383" spans="1:7" s="3226" customFormat="1">
      <c r="A383" s="3251" t="s">
        <v>3174</v>
      </c>
      <c r="B383" s="3233" t="s">
        <v>3180</v>
      </c>
      <c r="C383" s="3233">
        <v>1260</v>
      </c>
      <c r="D383" s="3233">
        <v>1230</v>
      </c>
      <c r="E383" s="3233">
        <v>1200</v>
      </c>
      <c r="F383" s="3233">
        <v>420</v>
      </c>
      <c r="G383" s="3246">
        <v>770</v>
      </c>
    </row>
    <row r="384" spans="1:7" s="3226" customFormat="1" ht="12" thickBot="1">
      <c r="A384" s="3252" t="s">
        <v>3174</v>
      </c>
      <c r="B384" s="3240" t="s">
        <v>3181</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910" t="s">
        <v>3182</v>
      </c>
      <c r="B1" s="3910"/>
    </row>
    <row r="2" spans="1:7" ht="14.25" thickBot="1">
      <c r="A2" s="3255"/>
      <c r="B2" s="3255"/>
    </row>
    <row r="3" spans="1:7" ht="14.25" thickBot="1">
      <c r="A3" s="3255"/>
      <c r="B3" s="3255"/>
      <c r="C3" s="3256" t="s">
        <v>2810</v>
      </c>
      <c r="D3" s="3256" t="s">
        <v>2868</v>
      </c>
      <c r="E3" s="3256" t="s">
        <v>2812</v>
      </c>
      <c r="F3" s="3256" t="s">
        <v>2869</v>
      </c>
      <c r="G3" s="3256" t="s">
        <v>2630</v>
      </c>
    </row>
    <row r="4" spans="1:7" ht="14.25" thickBot="1">
      <c r="A4" s="3257" t="s">
        <v>2867</v>
      </c>
      <c r="B4" s="3258" t="s">
        <v>2873</v>
      </c>
      <c r="C4" s="3256"/>
      <c r="D4" s="3256"/>
      <c r="E4" s="3256"/>
      <c r="F4" s="3256"/>
      <c r="G4" s="3256"/>
    </row>
    <row r="5" spans="1:7">
      <c r="A5" s="3259" t="s">
        <v>2841</v>
      </c>
      <c r="B5" s="3260" t="s">
        <v>2855</v>
      </c>
      <c r="C5" s="3261">
        <v>9.8000000000000004E-2</v>
      </c>
      <c r="D5" s="3261">
        <v>8.6999999999999994E-2</v>
      </c>
      <c r="E5" s="3261">
        <v>8.6999999999999994E-2</v>
      </c>
      <c r="F5" s="3261">
        <v>9.8000000000000004E-2</v>
      </c>
      <c r="G5" s="3262">
        <v>9.5000000000000001E-2</v>
      </c>
    </row>
    <row r="6" spans="1:7">
      <c r="A6" s="3263" t="s">
        <v>144</v>
      </c>
      <c r="B6" s="3264" t="s">
        <v>2870</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2856</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2906</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2924</v>
      </c>
      <c r="C29" s="3273"/>
      <c r="D29" s="3269">
        <v>5.1999999999999998E-2</v>
      </c>
      <c r="E29" s="3269">
        <v>7.0000000000000007E-2</v>
      </c>
      <c r="F29" s="3273"/>
      <c r="G29" s="3271">
        <v>7.0999999999999994E-2</v>
      </c>
    </row>
    <row r="30" spans="1:7">
      <c r="A30" s="3274" t="s">
        <v>296</v>
      </c>
      <c r="B30" s="3260" t="s">
        <v>2857</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2843</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2927</v>
      </c>
      <c r="C50" s="3265">
        <v>9.8000000000000004E-2</v>
      </c>
      <c r="D50" s="3265">
        <v>7.2999999999999995E-2</v>
      </c>
      <c r="E50" s="3265">
        <v>7.0999999999999994E-2</v>
      </c>
      <c r="F50" s="3276"/>
      <c r="G50" s="3266">
        <v>7.2999999999999995E-2</v>
      </c>
    </row>
    <row r="51" spans="1:7">
      <c r="A51" s="3275" t="s">
        <v>296</v>
      </c>
      <c r="B51" s="3264" t="s">
        <v>2929</v>
      </c>
      <c r="C51" s="3265">
        <v>9.9000000000000005E-2</v>
      </c>
      <c r="D51" s="3265">
        <v>8.5000000000000006E-2</v>
      </c>
      <c r="E51" s="3265">
        <v>6.3E-2</v>
      </c>
      <c r="F51" s="3276"/>
      <c r="G51" s="3266">
        <v>9.6000000000000002E-2</v>
      </c>
    </row>
    <row r="52" spans="1:7">
      <c r="A52" s="3275" t="s">
        <v>296</v>
      </c>
      <c r="B52" s="3264" t="s">
        <v>2933</v>
      </c>
      <c r="C52" s="3265">
        <v>7.3999999999999996E-2</v>
      </c>
      <c r="D52" s="3265">
        <v>9.6000000000000002E-2</v>
      </c>
      <c r="E52" s="3265">
        <v>0.05</v>
      </c>
      <c r="F52" s="3276"/>
      <c r="G52" s="3266">
        <v>9.8000000000000004E-2</v>
      </c>
    </row>
    <row r="53" spans="1:7">
      <c r="A53" s="3275" t="s">
        <v>296</v>
      </c>
      <c r="B53" s="3264" t="s">
        <v>2938</v>
      </c>
      <c r="C53" s="3265">
        <v>8.5999999999999993E-2</v>
      </c>
      <c r="D53" s="3276"/>
      <c r="E53" s="3265">
        <v>9.1999999999999998E-2</v>
      </c>
      <c r="F53" s="3276"/>
      <c r="G53" s="3277"/>
    </row>
    <row r="54" spans="1:7" ht="14.25" thickBot="1">
      <c r="A54" s="3278" t="s">
        <v>296</v>
      </c>
      <c r="B54" s="3268" t="s">
        <v>2941</v>
      </c>
      <c r="C54" s="3269">
        <v>9.6000000000000002E-2</v>
      </c>
      <c r="D54" s="3270"/>
      <c r="E54" s="3279"/>
      <c r="F54" s="3270"/>
      <c r="G54" s="3280"/>
    </row>
    <row r="55" spans="1:7">
      <c r="A55" s="3274" t="s">
        <v>110</v>
      </c>
      <c r="B55" s="3260" t="s">
        <v>2858</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2939</v>
      </c>
      <c r="C78" s="3265">
        <v>0.1</v>
      </c>
      <c r="D78" s="3265">
        <v>8.5000000000000006E-2</v>
      </c>
      <c r="E78" s="3265">
        <v>9.6000000000000002E-2</v>
      </c>
      <c r="F78" s="3276"/>
      <c r="G78" s="3266">
        <v>9.6000000000000002E-2</v>
      </c>
    </row>
    <row r="79" spans="1:7">
      <c r="A79" s="3275" t="s">
        <v>110</v>
      </c>
      <c r="B79" s="3264" t="s">
        <v>2942</v>
      </c>
      <c r="C79" s="3265">
        <v>0.05</v>
      </c>
      <c r="D79" s="3265">
        <v>9.6000000000000002E-2</v>
      </c>
      <c r="E79" s="3265">
        <v>9.5000000000000001E-2</v>
      </c>
      <c r="F79" s="3276"/>
      <c r="G79" s="3266">
        <v>9.8000000000000004E-2</v>
      </c>
    </row>
    <row r="80" spans="1:7">
      <c r="A80" s="3275" t="s">
        <v>110</v>
      </c>
      <c r="B80" s="3264" t="s">
        <v>2946</v>
      </c>
      <c r="C80" s="3265">
        <v>8.5999999999999993E-2</v>
      </c>
      <c r="D80" s="3281"/>
      <c r="E80" s="3265">
        <v>0.1</v>
      </c>
      <c r="F80" s="3276"/>
      <c r="G80" s="3277"/>
    </row>
    <row r="81" spans="1:7">
      <c r="A81" s="3275" t="s">
        <v>110</v>
      </c>
      <c r="B81" s="3264" t="s">
        <v>2951</v>
      </c>
      <c r="C81" s="3265">
        <v>9.6000000000000002E-2</v>
      </c>
      <c r="D81" s="3276"/>
      <c r="E81" s="3265">
        <v>9.8000000000000004E-2</v>
      </c>
      <c r="F81" s="3276"/>
      <c r="G81" s="3277"/>
    </row>
    <row r="82" spans="1:7">
      <c r="A82" s="3275" t="s">
        <v>110</v>
      </c>
      <c r="B82" s="3264" t="s">
        <v>2958</v>
      </c>
      <c r="C82" s="3281"/>
      <c r="D82" s="3276"/>
      <c r="E82" s="3265">
        <v>7.6999999999999999E-2</v>
      </c>
      <c r="F82" s="3276"/>
      <c r="G82" s="3277"/>
    </row>
    <row r="83" spans="1:7">
      <c r="A83" s="3275" t="s">
        <v>110</v>
      </c>
      <c r="B83" s="3264" t="s">
        <v>2964</v>
      </c>
      <c r="C83" s="3276"/>
      <c r="D83" s="3276"/>
      <c r="E83" s="3276"/>
      <c r="F83" s="3265">
        <v>0.1</v>
      </c>
      <c r="G83" s="3282"/>
    </row>
    <row r="84" spans="1:7">
      <c r="A84" s="3275" t="s">
        <v>110</v>
      </c>
      <c r="B84" s="3264" t="s">
        <v>2971</v>
      </c>
      <c r="C84" s="3276"/>
      <c r="D84" s="3276"/>
      <c r="E84" s="3276"/>
      <c r="F84" s="3265">
        <v>0.1</v>
      </c>
      <c r="G84" s="3282"/>
    </row>
    <row r="85" spans="1:7">
      <c r="A85" s="3275" t="s">
        <v>110</v>
      </c>
      <c r="B85" s="3264" t="s">
        <v>2978</v>
      </c>
      <c r="C85" s="3276"/>
      <c r="D85" s="3276"/>
      <c r="E85" s="3276"/>
      <c r="F85" s="3265">
        <v>0.1</v>
      </c>
      <c r="G85" s="3282"/>
    </row>
    <row r="86" spans="1:7" ht="14.25" thickBot="1">
      <c r="A86" s="3278" t="s">
        <v>110</v>
      </c>
      <c r="B86" s="3268" t="s">
        <v>2983</v>
      </c>
      <c r="C86" s="3269">
        <v>9.8000000000000004E-2</v>
      </c>
      <c r="D86" s="3269">
        <v>9.8000000000000004E-2</v>
      </c>
      <c r="E86" s="3269">
        <v>9.6000000000000002E-2</v>
      </c>
      <c r="F86" s="3279"/>
      <c r="G86" s="3271">
        <v>0.1</v>
      </c>
    </row>
    <row r="87" spans="1:7">
      <c r="A87" s="3274" t="s">
        <v>303</v>
      </c>
      <c r="B87" s="3260" t="s">
        <v>2859</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2952</v>
      </c>
      <c r="C113" s="3265">
        <v>0.1</v>
      </c>
      <c r="D113" s="3265">
        <v>0.1</v>
      </c>
      <c r="E113" s="3276"/>
      <c r="F113" s="3276"/>
      <c r="G113" s="3266">
        <v>0.1</v>
      </c>
    </row>
    <row r="114" spans="1:7">
      <c r="A114" s="3275" t="s">
        <v>303</v>
      </c>
      <c r="B114" s="3264" t="s">
        <v>2959</v>
      </c>
      <c r="C114" s="3265">
        <v>9.7000000000000003E-2</v>
      </c>
      <c r="D114" s="3265">
        <v>9.7000000000000003E-2</v>
      </c>
      <c r="E114" s="3276"/>
      <c r="F114" s="3276"/>
      <c r="G114" s="3266">
        <v>9.9000000000000005E-2</v>
      </c>
    </row>
    <row r="115" spans="1:7">
      <c r="A115" s="3275" t="s">
        <v>303</v>
      </c>
      <c r="B115" s="3264" t="s">
        <v>2965</v>
      </c>
      <c r="C115" s="3265">
        <v>0.1</v>
      </c>
      <c r="D115" s="3265">
        <v>0.1</v>
      </c>
      <c r="E115" s="3276"/>
      <c r="F115" s="3276"/>
      <c r="G115" s="3266">
        <v>0.1</v>
      </c>
    </row>
    <row r="116" spans="1:7">
      <c r="A116" s="3275" t="s">
        <v>303</v>
      </c>
      <c r="B116" s="3264" t="s">
        <v>2972</v>
      </c>
      <c r="C116" s="3265">
        <v>0.1</v>
      </c>
      <c r="D116" s="3265">
        <v>0.1</v>
      </c>
      <c r="E116" s="3276"/>
      <c r="F116" s="3276"/>
      <c r="G116" s="3266">
        <v>0.1</v>
      </c>
    </row>
    <row r="117" spans="1:7">
      <c r="A117" s="3275" t="s">
        <v>303</v>
      </c>
      <c r="B117" s="3264" t="s">
        <v>2979</v>
      </c>
      <c r="C117" s="3265">
        <v>9.7000000000000003E-2</v>
      </c>
      <c r="D117" s="3265">
        <v>9.7000000000000003E-2</v>
      </c>
      <c r="E117" s="3276"/>
      <c r="F117" s="3276"/>
      <c r="G117" s="3266">
        <v>9.7000000000000003E-2</v>
      </c>
    </row>
    <row r="118" spans="1:7">
      <c r="A118" s="3275" t="s">
        <v>303</v>
      </c>
      <c r="B118" s="3264" t="s">
        <v>2984</v>
      </c>
      <c r="C118" s="3265">
        <v>0.1</v>
      </c>
      <c r="D118" s="3265">
        <v>0.1</v>
      </c>
      <c r="E118" s="3276"/>
      <c r="F118" s="3276"/>
      <c r="G118" s="3266">
        <v>0.1</v>
      </c>
    </row>
    <row r="119" spans="1:7">
      <c r="A119" s="3275" t="s">
        <v>303</v>
      </c>
      <c r="B119" s="3264" t="s">
        <v>2988</v>
      </c>
      <c r="C119" s="3265">
        <v>5.0999999999999997E-2</v>
      </c>
      <c r="D119" s="3265">
        <v>5.1999999999999998E-2</v>
      </c>
      <c r="E119" s="3276"/>
      <c r="F119" s="3281"/>
      <c r="G119" s="3266">
        <v>0.06</v>
      </c>
    </row>
    <row r="120" spans="1:7">
      <c r="A120" s="3275" t="s">
        <v>303</v>
      </c>
      <c r="B120" s="3264" t="s">
        <v>2992</v>
      </c>
      <c r="C120" s="3276"/>
      <c r="D120" s="3276"/>
      <c r="E120" s="3276"/>
      <c r="F120" s="3265">
        <v>0.1</v>
      </c>
      <c r="G120" s="3282"/>
    </row>
    <row r="121" spans="1:7">
      <c r="A121" s="3275" t="s">
        <v>303</v>
      </c>
      <c r="B121" s="3264" t="s">
        <v>2997</v>
      </c>
      <c r="C121" s="3276"/>
      <c r="D121" s="3276"/>
      <c r="E121" s="3276"/>
      <c r="F121" s="3265">
        <v>0.1</v>
      </c>
      <c r="G121" s="3282"/>
    </row>
    <row r="122" spans="1:7">
      <c r="A122" s="3275" t="s">
        <v>303</v>
      </c>
      <c r="B122" s="3264" t="s">
        <v>3002</v>
      </c>
      <c r="C122" s="3265">
        <v>0.1</v>
      </c>
      <c r="D122" s="3265">
        <v>0.1</v>
      </c>
      <c r="E122" s="3265">
        <v>9.8000000000000004E-2</v>
      </c>
      <c r="F122" s="3265">
        <v>0.1</v>
      </c>
      <c r="G122" s="3266">
        <v>0.1</v>
      </c>
    </row>
    <row r="123" spans="1:7">
      <c r="A123" s="3275" t="s">
        <v>303</v>
      </c>
      <c r="B123" s="3264" t="s">
        <v>3007</v>
      </c>
      <c r="C123" s="3265">
        <v>0.1</v>
      </c>
      <c r="D123" s="3265">
        <v>0.1</v>
      </c>
      <c r="E123" s="3265">
        <v>9.8000000000000004E-2</v>
      </c>
      <c r="F123" s="3265">
        <v>0.1</v>
      </c>
      <c r="G123" s="3266">
        <v>0.1</v>
      </c>
    </row>
    <row r="124" spans="1:7">
      <c r="A124" s="3275" t="s">
        <v>303</v>
      </c>
      <c r="B124" s="3264" t="s">
        <v>3012</v>
      </c>
      <c r="C124" s="3265">
        <v>0.1</v>
      </c>
      <c r="D124" s="3265">
        <v>0.1</v>
      </c>
      <c r="E124" s="3265">
        <v>9.8000000000000004E-2</v>
      </c>
      <c r="F124" s="3281"/>
      <c r="G124" s="3266">
        <v>0.1</v>
      </c>
    </row>
    <row r="125" spans="1:7">
      <c r="A125" s="3275" t="s">
        <v>303</v>
      </c>
      <c r="B125" s="3264" t="s">
        <v>3017</v>
      </c>
      <c r="C125" s="3265">
        <v>9.8000000000000004E-2</v>
      </c>
      <c r="D125" s="3265">
        <v>9.8000000000000004E-2</v>
      </c>
      <c r="E125" s="3265">
        <v>9.6000000000000002E-2</v>
      </c>
      <c r="F125" s="3281"/>
      <c r="G125" s="3266">
        <v>0.1</v>
      </c>
    </row>
    <row r="126" spans="1:7" ht="14.25" thickBot="1">
      <c r="A126" s="3278" t="s">
        <v>303</v>
      </c>
      <c r="B126" s="3268" t="s">
        <v>3183</v>
      </c>
      <c r="C126" s="3269">
        <v>0.1</v>
      </c>
      <c r="D126" s="3269">
        <v>0.1</v>
      </c>
      <c r="E126" s="3269">
        <v>9.8000000000000004E-2</v>
      </c>
      <c r="F126" s="3269">
        <v>0.1</v>
      </c>
      <c r="G126" s="3271">
        <v>0.1</v>
      </c>
    </row>
    <row r="127" spans="1:7">
      <c r="A127" s="3274" t="s">
        <v>29</v>
      </c>
      <c r="B127" s="3260" t="s">
        <v>2860</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2930</v>
      </c>
      <c r="C148" s="3265">
        <v>0.13</v>
      </c>
      <c r="D148" s="3265">
        <v>0.13</v>
      </c>
      <c r="E148" s="3265">
        <v>0.13</v>
      </c>
      <c r="F148" s="3276"/>
      <c r="G148" s="3266">
        <v>0.13</v>
      </c>
    </row>
    <row r="149" spans="1:7">
      <c r="A149" s="3275" t="s">
        <v>29</v>
      </c>
      <c r="B149" s="3264" t="s">
        <v>2934</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2953</v>
      </c>
      <c r="C153" s="3265">
        <v>0.13</v>
      </c>
      <c r="D153" s="3265">
        <v>0.13</v>
      </c>
      <c r="E153" s="3265">
        <v>0.13</v>
      </c>
      <c r="F153" s="3265">
        <v>0.13</v>
      </c>
      <c r="G153" s="3266">
        <v>0.13</v>
      </c>
    </row>
    <row r="154" spans="1:7">
      <c r="A154" s="3275" t="s">
        <v>29</v>
      </c>
      <c r="B154" s="3264" t="s">
        <v>2960</v>
      </c>
      <c r="C154" s="3265">
        <v>0.121</v>
      </c>
      <c r="D154" s="3265">
        <v>0.121</v>
      </c>
      <c r="E154" s="3265">
        <v>0.105</v>
      </c>
      <c r="F154" s="3265">
        <v>0.121</v>
      </c>
      <c r="G154" s="3266">
        <v>0.123</v>
      </c>
    </row>
    <row r="155" spans="1:7">
      <c r="A155" s="3275" t="s">
        <v>29</v>
      </c>
      <c r="B155" s="3264" t="s">
        <v>2966</v>
      </c>
      <c r="C155" s="3265">
        <v>0.1</v>
      </c>
      <c r="D155" s="3265">
        <v>0.1</v>
      </c>
      <c r="E155" s="3265">
        <v>0.1</v>
      </c>
      <c r="F155" s="3265">
        <v>0.1</v>
      </c>
      <c r="G155" s="3266">
        <v>0.1</v>
      </c>
    </row>
    <row r="156" spans="1:7">
      <c r="A156" s="3275" t="s">
        <v>29</v>
      </c>
      <c r="B156" s="3264" t="s">
        <v>2973</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2993</v>
      </c>
      <c r="C160" s="3265">
        <v>0.13</v>
      </c>
      <c r="D160" s="3265">
        <v>0.13</v>
      </c>
      <c r="E160" s="3265">
        <v>0.124</v>
      </c>
      <c r="F160" s="3265">
        <v>0.126</v>
      </c>
      <c r="G160" s="3266">
        <v>0.13</v>
      </c>
    </row>
    <row r="161" spans="1:7">
      <c r="A161" s="3275" t="s">
        <v>29</v>
      </c>
      <c r="B161" s="3264" t="s">
        <v>2998</v>
      </c>
      <c r="C161" s="3265">
        <v>0.13</v>
      </c>
      <c r="D161" s="3265">
        <v>0.13</v>
      </c>
      <c r="E161" s="3265">
        <v>0.124</v>
      </c>
      <c r="F161" s="3265">
        <v>0.127</v>
      </c>
      <c r="G161" s="3266">
        <v>0.13</v>
      </c>
    </row>
    <row r="162" spans="1:7">
      <c r="A162" s="3275" t="s">
        <v>29</v>
      </c>
      <c r="B162" s="3264" t="s">
        <v>3003</v>
      </c>
      <c r="C162" s="3265">
        <v>0.1</v>
      </c>
      <c r="D162" s="3265">
        <v>0.1</v>
      </c>
      <c r="E162" s="3265">
        <v>0.1</v>
      </c>
      <c r="F162" s="3265">
        <v>0.121</v>
      </c>
      <c r="G162" s="3266">
        <v>0.105</v>
      </c>
    </row>
    <row r="163" spans="1:7">
      <c r="A163" s="3275" t="s">
        <v>29</v>
      </c>
      <c r="B163" s="3264" t="s">
        <v>3008</v>
      </c>
      <c r="C163" s="3265">
        <v>0.1</v>
      </c>
      <c r="D163" s="3265">
        <v>0.1</v>
      </c>
      <c r="E163" s="3265">
        <v>0.1</v>
      </c>
      <c r="F163" s="3265">
        <v>0.1</v>
      </c>
      <c r="G163" s="3266">
        <v>0.1</v>
      </c>
    </row>
    <row r="164" spans="1:7">
      <c r="A164" s="3275" t="s">
        <v>29</v>
      </c>
      <c r="B164" s="3264" t="s">
        <v>3013</v>
      </c>
      <c r="C164" s="3281"/>
      <c r="D164" s="3281"/>
      <c r="E164" s="3281"/>
      <c r="F164" s="3265">
        <v>0.1</v>
      </c>
      <c r="G164" s="3277"/>
    </row>
    <row r="165" spans="1:7">
      <c r="A165" s="3275" t="s">
        <v>29</v>
      </c>
      <c r="B165" s="3264" t="s">
        <v>3184</v>
      </c>
      <c r="C165" s="3265">
        <v>0.126</v>
      </c>
      <c r="D165" s="3265">
        <v>0.126</v>
      </c>
      <c r="E165" s="3265">
        <v>0.11899999999999999</v>
      </c>
      <c r="F165" s="3265">
        <v>0.13</v>
      </c>
      <c r="G165" s="3266">
        <v>0.128</v>
      </c>
    </row>
    <row r="166" spans="1:7">
      <c r="A166" s="3275" t="s">
        <v>29</v>
      </c>
      <c r="B166" s="3264" t="s">
        <v>3023</v>
      </c>
      <c r="C166" s="3265">
        <v>0.129</v>
      </c>
      <c r="D166" s="3265">
        <v>0.129</v>
      </c>
      <c r="E166" s="3265">
        <v>0.123</v>
      </c>
      <c r="F166" s="3265">
        <v>0.128</v>
      </c>
      <c r="G166" s="3266">
        <v>0.13</v>
      </c>
    </row>
    <row r="167" spans="1:7">
      <c r="A167" s="3275" t="s">
        <v>29</v>
      </c>
      <c r="B167" s="3264" t="s">
        <v>3027</v>
      </c>
      <c r="C167" s="3265">
        <v>0.125</v>
      </c>
      <c r="D167" s="3265">
        <v>0.125</v>
      </c>
      <c r="E167" s="3265">
        <v>0.11700000000000001</v>
      </c>
      <c r="F167" s="3265">
        <v>0.13</v>
      </c>
      <c r="G167" s="3266">
        <v>0.126</v>
      </c>
    </row>
    <row r="168" spans="1:7">
      <c r="A168" s="3275" t="s">
        <v>29</v>
      </c>
      <c r="B168" s="3264" t="s">
        <v>3032</v>
      </c>
      <c r="C168" s="3265">
        <v>0.128</v>
      </c>
      <c r="D168" s="3265">
        <v>0.128</v>
      </c>
      <c r="E168" s="3265">
        <v>0.123</v>
      </c>
      <c r="F168" s="3276"/>
      <c r="G168" s="3266">
        <v>0.13</v>
      </c>
    </row>
    <row r="169" spans="1:7">
      <c r="A169" s="3275" t="s">
        <v>29</v>
      </c>
      <c r="B169" s="3264" t="s">
        <v>3185</v>
      </c>
      <c r="C169" s="3281"/>
      <c r="D169" s="3281"/>
      <c r="E169" s="3281"/>
      <c r="F169" s="3265">
        <v>0.05</v>
      </c>
      <c r="G169" s="3277"/>
    </row>
    <row r="170" spans="1:7">
      <c r="A170" s="3275" t="s">
        <v>29</v>
      </c>
      <c r="B170" s="3264" t="s">
        <v>3186</v>
      </c>
      <c r="C170" s="3281"/>
      <c r="D170" s="3281"/>
      <c r="E170" s="3281"/>
      <c r="F170" s="3265">
        <v>0.05</v>
      </c>
      <c r="G170" s="3277"/>
    </row>
    <row r="171" spans="1:7">
      <c r="A171" s="3275" t="s">
        <v>29</v>
      </c>
      <c r="B171" s="3264" t="s">
        <v>3187</v>
      </c>
      <c r="C171" s="3281"/>
      <c r="D171" s="3281"/>
      <c r="E171" s="3281"/>
      <c r="F171" s="3265">
        <v>0.05</v>
      </c>
      <c r="G171" s="3282"/>
    </row>
    <row r="172" spans="1:7">
      <c r="A172" s="3275" t="s">
        <v>29</v>
      </c>
      <c r="B172" s="3264" t="s">
        <v>3188</v>
      </c>
      <c r="C172" s="3281"/>
      <c r="D172" s="3281"/>
      <c r="E172" s="3281"/>
      <c r="F172" s="3265">
        <v>0.05</v>
      </c>
      <c r="G172" s="3282"/>
    </row>
    <row r="173" spans="1:7">
      <c r="A173" s="3275" t="s">
        <v>29</v>
      </c>
      <c r="B173" s="3264" t="s">
        <v>3189</v>
      </c>
      <c r="C173" s="3281"/>
      <c r="D173" s="3281"/>
      <c r="E173" s="3281"/>
      <c r="F173" s="3265">
        <v>0.05</v>
      </c>
      <c r="G173" s="3277"/>
    </row>
    <row r="174" spans="1:7">
      <c r="A174" s="3275" t="s">
        <v>29</v>
      </c>
      <c r="B174" s="3264" t="s">
        <v>3190</v>
      </c>
      <c r="C174" s="3281"/>
      <c r="D174" s="3281"/>
      <c r="E174" s="3281"/>
      <c r="F174" s="3265">
        <v>0.05</v>
      </c>
      <c r="G174" s="3277"/>
    </row>
    <row r="175" spans="1:7">
      <c r="A175" s="3275" t="s">
        <v>29</v>
      </c>
      <c r="B175" s="3264" t="s">
        <v>3191</v>
      </c>
      <c r="C175" s="3281"/>
      <c r="D175" s="3281"/>
      <c r="E175" s="3281"/>
      <c r="F175" s="3265">
        <v>0.05</v>
      </c>
      <c r="G175" s="3277"/>
    </row>
    <row r="176" spans="1:7">
      <c r="A176" s="3275" t="s">
        <v>29</v>
      </c>
      <c r="B176" s="3264" t="s">
        <v>3192</v>
      </c>
      <c r="C176" s="3281"/>
      <c r="D176" s="3281"/>
      <c r="E176" s="3281"/>
      <c r="F176" s="3265">
        <v>0.05</v>
      </c>
      <c r="G176" s="3277"/>
    </row>
    <row r="177" spans="1:7">
      <c r="A177" s="3275" t="s">
        <v>29</v>
      </c>
      <c r="B177" s="3264" t="s">
        <v>3193</v>
      </c>
      <c r="C177" s="3276"/>
      <c r="D177" s="3276"/>
      <c r="E177" s="3276"/>
      <c r="F177" s="3265">
        <v>0.05</v>
      </c>
      <c r="G177" s="3282"/>
    </row>
    <row r="178" spans="1:7">
      <c r="A178" s="3275" t="s">
        <v>29</v>
      </c>
      <c r="B178" s="3264" t="s">
        <v>3194</v>
      </c>
      <c r="C178" s="3276"/>
      <c r="D178" s="3276"/>
      <c r="E178" s="3276"/>
      <c r="F178" s="3265">
        <v>0.05</v>
      </c>
      <c r="G178" s="3282"/>
    </row>
    <row r="179" spans="1:7">
      <c r="A179" s="3275" t="s">
        <v>29</v>
      </c>
      <c r="B179" s="3264" t="s">
        <v>3195</v>
      </c>
      <c r="C179" s="3276"/>
      <c r="D179" s="3276"/>
      <c r="E179" s="3276"/>
      <c r="F179" s="3265">
        <v>0.05</v>
      </c>
      <c r="G179" s="3282"/>
    </row>
    <row r="180" spans="1:7">
      <c r="A180" s="3275" t="s">
        <v>29</v>
      </c>
      <c r="B180" s="3264" t="s">
        <v>3196</v>
      </c>
      <c r="C180" s="3276"/>
      <c r="D180" s="3276"/>
      <c r="E180" s="3276"/>
      <c r="F180" s="3265">
        <v>0.05</v>
      </c>
      <c r="G180" s="3282"/>
    </row>
    <row r="181" spans="1:7">
      <c r="A181" s="3275" t="s">
        <v>29</v>
      </c>
      <c r="B181" s="3264" t="s">
        <v>3197</v>
      </c>
      <c r="C181" s="3276"/>
      <c r="D181" s="3276"/>
      <c r="E181" s="3276"/>
      <c r="F181" s="3265">
        <v>0.05</v>
      </c>
      <c r="G181" s="3282"/>
    </row>
    <row r="182" spans="1:7">
      <c r="A182" s="3275" t="s">
        <v>29</v>
      </c>
      <c r="B182" s="3264" t="s">
        <v>3198</v>
      </c>
      <c r="C182" s="3276"/>
      <c r="D182" s="3276"/>
      <c r="E182" s="3276"/>
      <c r="F182" s="3265">
        <v>0.05</v>
      </c>
      <c r="G182" s="3282"/>
    </row>
    <row r="183" spans="1:7">
      <c r="A183" s="3275" t="s">
        <v>29</v>
      </c>
      <c r="B183" s="3264" t="s">
        <v>3199</v>
      </c>
      <c r="C183" s="3276"/>
      <c r="D183" s="3276"/>
      <c r="E183" s="3276"/>
      <c r="F183" s="3265">
        <v>0.05</v>
      </c>
      <c r="G183" s="3282"/>
    </row>
    <row r="184" spans="1:7">
      <c r="A184" s="3275" t="s">
        <v>29</v>
      </c>
      <c r="B184" s="3264" t="s">
        <v>3200</v>
      </c>
      <c r="C184" s="3276"/>
      <c r="D184" s="3276"/>
      <c r="E184" s="3276"/>
      <c r="F184" s="3265">
        <v>0.05</v>
      </c>
      <c r="G184" s="3282"/>
    </row>
    <row r="185" spans="1:7">
      <c r="A185" s="3275" t="s">
        <v>29</v>
      </c>
      <c r="B185" s="3264" t="s">
        <v>3201</v>
      </c>
      <c r="C185" s="3276"/>
      <c r="D185" s="3276"/>
      <c r="E185" s="3276"/>
      <c r="F185" s="3265">
        <v>0.05</v>
      </c>
      <c r="G185" s="3282"/>
    </row>
    <row r="186" spans="1:7">
      <c r="A186" s="3275" t="s">
        <v>29</v>
      </c>
      <c r="B186" s="3264" t="s">
        <v>3202</v>
      </c>
      <c r="C186" s="3276"/>
      <c r="D186" s="3276"/>
      <c r="E186" s="3276"/>
      <c r="F186" s="3265">
        <v>0.05</v>
      </c>
      <c r="G186" s="3282"/>
    </row>
    <row r="187" spans="1:7">
      <c r="A187" s="3275" t="s">
        <v>29</v>
      </c>
      <c r="B187" s="3264" t="s">
        <v>3203</v>
      </c>
      <c r="C187" s="3276"/>
      <c r="D187" s="3276"/>
      <c r="E187" s="3276"/>
      <c r="F187" s="3265">
        <v>0.05</v>
      </c>
      <c r="G187" s="3282"/>
    </row>
    <row r="188" spans="1:7">
      <c r="A188" s="3275" t="s">
        <v>29</v>
      </c>
      <c r="B188" s="3264" t="s">
        <v>3204</v>
      </c>
      <c r="C188" s="3276"/>
      <c r="D188" s="3276"/>
      <c r="E188" s="3276"/>
      <c r="F188" s="3265">
        <v>0.05</v>
      </c>
      <c r="G188" s="3282"/>
    </row>
    <row r="189" spans="1:7" ht="14.25" thickBot="1">
      <c r="A189" s="3278" t="s">
        <v>29</v>
      </c>
      <c r="B189" s="3268" t="s">
        <v>3205</v>
      </c>
      <c r="C189" s="3270"/>
      <c r="D189" s="3270"/>
      <c r="E189" s="3270"/>
      <c r="F189" s="3269">
        <v>0.05</v>
      </c>
      <c r="G189" s="3283"/>
    </row>
    <row r="190" spans="1:7">
      <c r="A190" s="3274" t="s">
        <v>304</v>
      </c>
      <c r="B190" s="3260" t="s">
        <v>2861</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2897</v>
      </c>
      <c r="C199" s="3265">
        <v>0.13</v>
      </c>
      <c r="D199" s="3265">
        <v>0.13</v>
      </c>
      <c r="E199" s="3265">
        <v>0.13</v>
      </c>
      <c r="F199" s="3265">
        <v>0.13</v>
      </c>
      <c r="G199" s="3266">
        <v>0.13</v>
      </c>
    </row>
    <row r="200" spans="1:7">
      <c r="A200" s="3275" t="s">
        <v>304</v>
      </c>
      <c r="B200" s="3264" t="s">
        <v>2900</v>
      </c>
      <c r="C200" s="3281"/>
      <c r="D200" s="3281"/>
      <c r="E200" s="3281"/>
      <c r="F200" s="3265">
        <v>0.13</v>
      </c>
      <c r="G200" s="3277"/>
    </row>
    <row r="201" spans="1:7">
      <c r="A201" s="3275" t="s">
        <v>304</v>
      </c>
      <c r="B201" s="3264" t="s">
        <v>2905</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2908</v>
      </c>
      <c r="C203" s="3265">
        <v>0.129</v>
      </c>
      <c r="D203" s="3265">
        <v>0.129</v>
      </c>
      <c r="E203" s="3265">
        <v>0.13</v>
      </c>
      <c r="F203" s="3265">
        <v>0.13</v>
      </c>
      <c r="G203" s="3266">
        <v>0.13</v>
      </c>
    </row>
    <row r="204" spans="1:7">
      <c r="A204" s="3275" t="s">
        <v>304</v>
      </c>
      <c r="B204" s="3264" t="s">
        <v>2911</v>
      </c>
      <c r="C204" s="3265">
        <v>0.129</v>
      </c>
      <c r="D204" s="3265">
        <v>0.129</v>
      </c>
      <c r="E204" s="3265">
        <v>0.123</v>
      </c>
      <c r="F204" s="3265">
        <v>0.13</v>
      </c>
      <c r="G204" s="3266">
        <v>0.13</v>
      </c>
    </row>
    <row r="205" spans="1:7">
      <c r="A205" s="3275" t="s">
        <v>304</v>
      </c>
      <c r="B205" s="3264" t="s">
        <v>2913</v>
      </c>
      <c r="C205" s="3265">
        <v>0.13</v>
      </c>
      <c r="D205" s="3265">
        <v>0.13</v>
      </c>
      <c r="E205" s="3265">
        <v>0.13</v>
      </c>
      <c r="F205" s="3265">
        <v>0.13</v>
      </c>
      <c r="G205" s="3266">
        <v>0.13</v>
      </c>
    </row>
    <row r="206" spans="1:7">
      <c r="A206" s="3275" t="s">
        <v>304</v>
      </c>
      <c r="B206" s="3264" t="s">
        <v>2916</v>
      </c>
      <c r="C206" s="3265">
        <v>0.13</v>
      </c>
      <c r="D206" s="3265">
        <v>0.13</v>
      </c>
      <c r="E206" s="3265">
        <v>0.13</v>
      </c>
      <c r="F206" s="3265">
        <v>0.128</v>
      </c>
      <c r="G206" s="3266">
        <v>0.13</v>
      </c>
    </row>
    <row r="207" spans="1:7">
      <c r="A207" s="3275" t="s">
        <v>304</v>
      </c>
      <c r="B207" s="3264" t="s">
        <v>2918</v>
      </c>
      <c r="C207" s="3265">
        <v>0.13</v>
      </c>
      <c r="D207" s="3265">
        <v>0.13</v>
      </c>
      <c r="E207" s="3265">
        <v>0.13</v>
      </c>
      <c r="F207" s="3265">
        <v>0.13</v>
      </c>
      <c r="G207" s="3266">
        <v>0.13</v>
      </c>
    </row>
    <row r="208" spans="1:7">
      <c r="A208" s="3275" t="s">
        <v>304</v>
      </c>
      <c r="B208" s="3264" t="s">
        <v>2921</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2928</v>
      </c>
      <c r="C210" s="3265">
        <v>0.121</v>
      </c>
      <c r="D210" s="3265">
        <v>0.121</v>
      </c>
      <c r="E210" s="3265">
        <v>0.125</v>
      </c>
      <c r="F210" s="3265">
        <v>0.13</v>
      </c>
      <c r="G210" s="3266">
        <v>0.123</v>
      </c>
    </row>
    <row r="211" spans="1:7">
      <c r="A211" s="3275" t="s">
        <v>304</v>
      </c>
      <c r="B211" s="3264" t="s">
        <v>2931</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2943</v>
      </c>
      <c r="C214" s="3265">
        <v>0.128</v>
      </c>
      <c r="D214" s="3265">
        <v>0.128</v>
      </c>
      <c r="E214" s="3265">
        <v>0.13</v>
      </c>
      <c r="F214" s="3265">
        <v>0.13</v>
      </c>
      <c r="G214" s="3266">
        <v>0.13</v>
      </c>
    </row>
    <row r="215" spans="1:7">
      <c r="A215" s="3275" t="s">
        <v>304</v>
      </c>
      <c r="B215" s="3264" t="s">
        <v>2947</v>
      </c>
      <c r="C215" s="3265">
        <v>0.13</v>
      </c>
      <c r="D215" s="3265">
        <v>0.13</v>
      </c>
      <c r="E215" s="3265">
        <v>0.13</v>
      </c>
      <c r="F215" s="3265">
        <v>0.129</v>
      </c>
      <c r="G215" s="3266">
        <v>0.13</v>
      </c>
    </row>
    <row r="216" spans="1:7">
      <c r="A216" s="3275" t="s">
        <v>304</v>
      </c>
      <c r="B216" s="3264" t="s">
        <v>2954</v>
      </c>
      <c r="C216" s="3265">
        <v>0.13</v>
      </c>
      <c r="D216" s="3265">
        <v>0.13</v>
      </c>
      <c r="E216" s="3265">
        <v>0.13</v>
      </c>
      <c r="F216" s="3265">
        <v>0.13</v>
      </c>
      <c r="G216" s="3266">
        <v>0.13</v>
      </c>
    </row>
    <row r="217" spans="1:7">
      <c r="A217" s="3275" t="s">
        <v>304</v>
      </c>
      <c r="B217" s="3264" t="s">
        <v>2961</v>
      </c>
      <c r="C217" s="3265">
        <v>0.129</v>
      </c>
      <c r="D217" s="3265">
        <v>0.129</v>
      </c>
      <c r="E217" s="3265">
        <v>0.13</v>
      </c>
      <c r="F217" s="3265">
        <v>0.13</v>
      </c>
      <c r="G217" s="3266">
        <v>0.13</v>
      </c>
    </row>
    <row r="218" spans="1:7">
      <c r="A218" s="3275" t="s">
        <v>304</v>
      </c>
      <c r="B218" s="3264" t="s">
        <v>2967</v>
      </c>
      <c r="C218" s="3276"/>
      <c r="D218" s="3276"/>
      <c r="E218" s="3276"/>
      <c r="F218" s="3265">
        <v>0.05</v>
      </c>
      <c r="G218" s="3282"/>
    </row>
    <row r="219" spans="1:7">
      <c r="A219" s="3275" t="s">
        <v>304</v>
      </c>
      <c r="B219" s="3264" t="s">
        <v>2974</v>
      </c>
      <c r="C219" s="3276"/>
      <c r="D219" s="3276"/>
      <c r="E219" s="3276"/>
      <c r="F219" s="3265">
        <v>0.05</v>
      </c>
      <c r="G219" s="3282"/>
    </row>
    <row r="220" spans="1:7">
      <c r="A220" s="3275" t="s">
        <v>304</v>
      </c>
      <c r="B220" s="3264" t="s">
        <v>2980</v>
      </c>
      <c r="C220" s="3276"/>
      <c r="D220" s="3276"/>
      <c r="E220" s="3276"/>
      <c r="F220" s="3265">
        <v>0.05</v>
      </c>
      <c r="G220" s="3282"/>
    </row>
    <row r="221" spans="1:7">
      <c r="A221" s="3275" t="s">
        <v>304</v>
      </c>
      <c r="B221" s="3264" t="s">
        <v>2985</v>
      </c>
      <c r="C221" s="3276"/>
      <c r="D221" s="3276"/>
      <c r="E221" s="3276"/>
      <c r="F221" s="3265">
        <v>0.05</v>
      </c>
      <c r="G221" s="3282"/>
    </row>
    <row r="222" spans="1:7">
      <c r="A222" s="3275" t="s">
        <v>304</v>
      </c>
      <c r="B222" s="3264" t="s">
        <v>2989</v>
      </c>
      <c r="C222" s="3276"/>
      <c r="D222" s="3276"/>
      <c r="E222" s="3276"/>
      <c r="F222" s="3265">
        <v>0.05</v>
      </c>
      <c r="G222" s="3282"/>
    </row>
    <row r="223" spans="1:7">
      <c r="A223" s="3275" t="s">
        <v>304</v>
      </c>
      <c r="B223" s="3264" t="s">
        <v>2994</v>
      </c>
      <c r="C223" s="3276"/>
      <c r="D223" s="3276"/>
      <c r="E223" s="3276"/>
      <c r="F223" s="3265">
        <v>0.05</v>
      </c>
      <c r="G223" s="3282"/>
    </row>
    <row r="224" spans="1:7">
      <c r="A224" s="3275" t="s">
        <v>304</v>
      </c>
      <c r="B224" s="3264" t="s">
        <v>2999</v>
      </c>
      <c r="C224" s="3276"/>
      <c r="D224" s="3276"/>
      <c r="E224" s="3276"/>
      <c r="F224" s="3265">
        <v>0.05</v>
      </c>
      <c r="G224" s="3282"/>
    </row>
    <row r="225" spans="1:7">
      <c r="A225" s="3275" t="s">
        <v>304</v>
      </c>
      <c r="B225" s="3264" t="s">
        <v>3004</v>
      </c>
      <c r="C225" s="3276"/>
      <c r="D225" s="3276"/>
      <c r="E225" s="3276"/>
      <c r="F225" s="3265">
        <v>0.05</v>
      </c>
      <c r="G225" s="3282"/>
    </row>
    <row r="226" spans="1:7">
      <c r="A226" s="3275" t="s">
        <v>304</v>
      </c>
      <c r="B226" s="3264" t="s">
        <v>3206</v>
      </c>
      <c r="C226" s="3276"/>
      <c r="D226" s="3276"/>
      <c r="E226" s="3276"/>
      <c r="F226" s="3265">
        <v>0.05</v>
      </c>
      <c r="G226" s="3282"/>
    </row>
    <row r="227" spans="1:7">
      <c r="A227" s="3275" t="s">
        <v>304</v>
      </c>
      <c r="B227" s="3264" t="s">
        <v>3207</v>
      </c>
      <c r="C227" s="3276"/>
      <c r="D227" s="3276"/>
      <c r="E227" s="3276"/>
      <c r="F227" s="3265">
        <v>0.05</v>
      </c>
      <c r="G227" s="3282"/>
    </row>
    <row r="228" spans="1:7">
      <c r="A228" s="3275" t="s">
        <v>304</v>
      </c>
      <c r="B228" s="3264" t="s">
        <v>3208</v>
      </c>
      <c r="C228" s="3276"/>
      <c r="D228" s="3276"/>
      <c r="E228" s="3276"/>
      <c r="F228" s="3265">
        <v>0.05</v>
      </c>
      <c r="G228" s="3282"/>
    </row>
    <row r="229" spans="1:7">
      <c r="A229" s="3275" t="s">
        <v>304</v>
      </c>
      <c r="B229" s="3264" t="s">
        <v>3209</v>
      </c>
      <c r="C229" s="3276"/>
      <c r="D229" s="3276"/>
      <c r="E229" s="3276"/>
      <c r="F229" s="3265">
        <v>0.05</v>
      </c>
      <c r="G229" s="3282"/>
    </row>
    <row r="230" spans="1:7">
      <c r="A230" s="3275" t="s">
        <v>304</v>
      </c>
      <c r="B230" s="3264" t="s">
        <v>3210</v>
      </c>
      <c r="C230" s="3276"/>
      <c r="D230" s="3276"/>
      <c r="E230" s="3276"/>
      <c r="F230" s="3265">
        <v>0.05</v>
      </c>
      <c r="G230" s="3282"/>
    </row>
    <row r="231" spans="1:7">
      <c r="A231" s="3275" t="s">
        <v>304</v>
      </c>
      <c r="B231" s="3264" t="s">
        <v>3211</v>
      </c>
      <c r="C231" s="3276"/>
      <c r="D231" s="3276"/>
      <c r="E231" s="3276"/>
      <c r="F231" s="3265">
        <v>0.05</v>
      </c>
      <c r="G231" s="3282"/>
    </row>
    <row r="232" spans="1:7">
      <c r="A232" s="3275" t="s">
        <v>304</v>
      </c>
      <c r="B232" s="3264" t="s">
        <v>3212</v>
      </c>
      <c r="C232" s="3276"/>
      <c r="D232" s="3276"/>
      <c r="E232" s="3276"/>
      <c r="F232" s="3265">
        <v>0.05</v>
      </c>
      <c r="G232" s="3282"/>
    </row>
    <row r="233" spans="1:7" ht="14.25" thickBot="1">
      <c r="A233" s="3278" t="s">
        <v>304</v>
      </c>
      <c r="B233" s="3268" t="s">
        <v>3213</v>
      </c>
      <c r="C233" s="3270"/>
      <c r="D233" s="3270"/>
      <c r="E233" s="3270"/>
      <c r="F233" s="3269">
        <v>0.05</v>
      </c>
      <c r="G233" s="3283"/>
    </row>
    <row r="234" spans="1:7">
      <c r="A234" s="3274" t="s">
        <v>305</v>
      </c>
      <c r="B234" s="3260" t="s">
        <v>2862</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2882</v>
      </c>
      <c r="C238" s="3265">
        <v>0.14899999999999999</v>
      </c>
      <c r="D238" s="3265">
        <v>0.14899999999999999</v>
      </c>
      <c r="E238" s="3265">
        <v>0.15</v>
      </c>
      <c r="F238" s="3265">
        <v>0.15</v>
      </c>
      <c r="G238" s="3266">
        <v>0.15</v>
      </c>
    </row>
    <row r="239" spans="1:7">
      <c r="A239" s="3275" t="s">
        <v>305</v>
      </c>
      <c r="B239" s="3264" t="s">
        <v>2886</v>
      </c>
      <c r="C239" s="3265">
        <v>0.15</v>
      </c>
      <c r="D239" s="3265">
        <v>0.15</v>
      </c>
      <c r="E239" s="3265">
        <v>0.15</v>
      </c>
      <c r="F239" s="3265">
        <v>0.15</v>
      </c>
      <c r="G239" s="3266">
        <v>0.15</v>
      </c>
    </row>
    <row r="240" spans="1:7">
      <c r="A240" s="3275" t="s">
        <v>305</v>
      </c>
      <c r="B240" s="3264" t="s">
        <v>2891</v>
      </c>
      <c r="C240" s="3265">
        <v>0.15</v>
      </c>
      <c r="D240" s="3265">
        <v>0.15</v>
      </c>
      <c r="E240" s="3265">
        <v>0.15</v>
      </c>
      <c r="F240" s="3265">
        <v>0.15</v>
      </c>
      <c r="G240" s="3266">
        <v>0.15</v>
      </c>
    </row>
    <row r="241" spans="1:7">
      <c r="A241" s="3275" t="s">
        <v>305</v>
      </c>
      <c r="B241" s="3264" t="s">
        <v>2895</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2901</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2909</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2914</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2922</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2935</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2944</v>
      </c>
      <c r="C258" s="3265">
        <v>0.14299999999999999</v>
      </c>
      <c r="D258" s="3265">
        <v>0.14299999999999999</v>
      </c>
      <c r="E258" s="3265">
        <v>0.15</v>
      </c>
      <c r="F258" s="3265">
        <v>0.14799999999999999</v>
      </c>
      <c r="G258" s="3266">
        <v>0.14599999999999999</v>
      </c>
    </row>
    <row r="259" spans="1:7">
      <c r="A259" s="3275" t="s">
        <v>305</v>
      </c>
      <c r="B259" s="3264" t="s">
        <v>2948</v>
      </c>
      <c r="C259" s="3265">
        <v>0.14399999999999999</v>
      </c>
      <c r="D259" s="3265">
        <v>0.14399999999999999</v>
      </c>
      <c r="E259" s="3265">
        <v>0.14899999999999999</v>
      </c>
      <c r="F259" s="3265">
        <v>0.14699999999999999</v>
      </c>
      <c r="G259" s="3266">
        <v>0.14599999999999999</v>
      </c>
    </row>
    <row r="260" spans="1:7">
      <c r="A260" s="3275" t="s">
        <v>305</v>
      </c>
      <c r="B260" s="3264" t="s">
        <v>2955</v>
      </c>
      <c r="C260" s="3265">
        <v>0.109</v>
      </c>
      <c r="D260" s="3265">
        <v>0.111</v>
      </c>
      <c r="E260" s="3265">
        <v>0.13100000000000001</v>
      </c>
      <c r="F260" s="3265">
        <v>0.126</v>
      </c>
      <c r="G260" s="3266">
        <v>0.11899999999999999</v>
      </c>
    </row>
    <row r="261" spans="1:7">
      <c r="A261" s="3275" t="s">
        <v>305</v>
      </c>
      <c r="B261" s="3264" t="s">
        <v>2962</v>
      </c>
      <c r="C261" s="3265">
        <v>0.1</v>
      </c>
      <c r="D261" s="3265">
        <v>0.1</v>
      </c>
      <c r="E261" s="3265">
        <v>0.11799999999999999</v>
      </c>
      <c r="F261" s="3265">
        <v>0.108</v>
      </c>
      <c r="G261" s="3266">
        <v>0.107</v>
      </c>
    </row>
    <row r="262" spans="1:7">
      <c r="A262" s="3275" t="s">
        <v>305</v>
      </c>
      <c r="B262" s="3264" t="s">
        <v>2968</v>
      </c>
      <c r="C262" s="3265">
        <v>0.1</v>
      </c>
      <c r="D262" s="3265">
        <v>0.1</v>
      </c>
      <c r="E262" s="3265">
        <v>0.1</v>
      </c>
      <c r="F262" s="3265">
        <v>0.14099999999999999</v>
      </c>
      <c r="G262" s="3266">
        <v>0.1</v>
      </c>
    </row>
    <row r="263" spans="1:7">
      <c r="A263" s="3275" t="s">
        <v>305</v>
      </c>
      <c r="B263" s="3264" t="s">
        <v>2975</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2986</v>
      </c>
      <c r="C265" s="3276"/>
      <c r="D265" s="3276"/>
      <c r="E265" s="3276"/>
      <c r="F265" s="3265">
        <v>0.05</v>
      </c>
      <c r="G265" s="3282"/>
    </row>
    <row r="266" spans="1:7">
      <c r="A266" s="3275" t="s">
        <v>305</v>
      </c>
      <c r="B266" s="3264" t="s">
        <v>2990</v>
      </c>
      <c r="C266" s="3276"/>
      <c r="D266" s="3276"/>
      <c r="E266" s="3276"/>
      <c r="F266" s="3265">
        <v>0.05</v>
      </c>
      <c r="G266" s="3282"/>
    </row>
    <row r="267" spans="1:7">
      <c r="A267" s="3275" t="s">
        <v>305</v>
      </c>
      <c r="B267" s="3264" t="s">
        <v>2995</v>
      </c>
      <c r="C267" s="3276"/>
      <c r="D267" s="3276"/>
      <c r="E267" s="3276"/>
      <c r="F267" s="3265">
        <v>0.05</v>
      </c>
      <c r="G267" s="3282"/>
    </row>
    <row r="268" spans="1:7">
      <c r="A268" s="3275" t="s">
        <v>305</v>
      </c>
      <c r="B268" s="3264" t="s">
        <v>3000</v>
      </c>
      <c r="C268" s="3276"/>
      <c r="D268" s="3276"/>
      <c r="E268" s="3276"/>
      <c r="F268" s="3265">
        <v>0.05</v>
      </c>
      <c r="G268" s="3282"/>
    </row>
    <row r="269" spans="1:7">
      <c r="A269" s="3275" t="s">
        <v>305</v>
      </c>
      <c r="B269" s="3264" t="s">
        <v>3005</v>
      </c>
      <c r="C269" s="3276"/>
      <c r="D269" s="3276"/>
      <c r="E269" s="3276"/>
      <c r="F269" s="3265">
        <v>0.05</v>
      </c>
      <c r="G269" s="3282"/>
    </row>
    <row r="270" spans="1:7">
      <c r="A270" s="3275" t="s">
        <v>305</v>
      </c>
      <c r="B270" s="3264" t="s">
        <v>3010</v>
      </c>
      <c r="C270" s="3276"/>
      <c r="D270" s="3276"/>
      <c r="E270" s="3276"/>
      <c r="F270" s="3265">
        <v>0.05</v>
      </c>
      <c r="G270" s="3282"/>
    </row>
    <row r="271" spans="1:7">
      <c r="A271" s="3275" t="s">
        <v>305</v>
      </c>
      <c r="B271" s="3264" t="s">
        <v>3214</v>
      </c>
      <c r="C271" s="3276"/>
      <c r="D271" s="3276"/>
      <c r="E271" s="3276"/>
      <c r="F271" s="3265">
        <v>0.05</v>
      </c>
      <c r="G271" s="3282"/>
    </row>
    <row r="272" spans="1:7">
      <c r="A272" s="3275" t="s">
        <v>305</v>
      </c>
      <c r="B272" s="3264" t="s">
        <v>3215</v>
      </c>
      <c r="C272" s="3276"/>
      <c r="D272" s="3276"/>
      <c r="E272" s="3276"/>
      <c r="F272" s="3265">
        <v>0.05</v>
      </c>
      <c r="G272" s="3282"/>
    </row>
    <row r="273" spans="1:7">
      <c r="A273" s="3275" t="s">
        <v>305</v>
      </c>
      <c r="B273" s="3264" t="s">
        <v>3216</v>
      </c>
      <c r="C273" s="3276"/>
      <c r="D273" s="3276"/>
      <c r="E273" s="3276"/>
      <c r="F273" s="3265">
        <v>0.05</v>
      </c>
      <c r="G273" s="3282"/>
    </row>
    <row r="274" spans="1:7">
      <c r="A274" s="3275" t="s">
        <v>305</v>
      </c>
      <c r="B274" s="3264" t="s">
        <v>3217</v>
      </c>
      <c r="C274" s="3276"/>
      <c r="D274" s="3276"/>
      <c r="E274" s="3276"/>
      <c r="F274" s="3265">
        <v>0.05</v>
      </c>
      <c r="G274" s="3282"/>
    </row>
    <row r="275" spans="1:7">
      <c r="A275" s="3275" t="s">
        <v>305</v>
      </c>
      <c r="B275" s="3264" t="s">
        <v>3218</v>
      </c>
      <c r="C275" s="3276"/>
      <c r="D275" s="3276"/>
      <c r="E275" s="3276"/>
      <c r="F275" s="3265">
        <v>0.05</v>
      </c>
      <c r="G275" s="3282"/>
    </row>
    <row r="276" spans="1:7" ht="14.25" thickBot="1">
      <c r="A276" s="3278" t="s">
        <v>305</v>
      </c>
      <c r="B276" s="3268" t="s">
        <v>3219</v>
      </c>
      <c r="C276" s="3270"/>
      <c r="D276" s="3270"/>
      <c r="E276" s="3270"/>
      <c r="F276" s="3269">
        <v>0.05</v>
      </c>
      <c r="G276" s="3283"/>
    </row>
    <row r="277" spans="1:7">
      <c r="A277" s="3274" t="s">
        <v>306</v>
      </c>
      <c r="B277" s="3260" t="s">
        <v>2863</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2875</v>
      </c>
      <c r="C279" s="3265">
        <v>0.15</v>
      </c>
      <c r="D279" s="3265">
        <v>0.15</v>
      </c>
      <c r="E279" s="3265">
        <v>0.15</v>
      </c>
      <c r="F279" s="3265">
        <v>0.15</v>
      </c>
      <c r="G279" s="3266">
        <v>0.15</v>
      </c>
    </row>
    <row r="280" spans="1:7">
      <c r="A280" s="3275" t="s">
        <v>306</v>
      </c>
      <c r="B280" s="3264" t="s">
        <v>2879</v>
      </c>
      <c r="C280" s="3265">
        <v>0.15</v>
      </c>
      <c r="D280" s="3265">
        <v>0.15</v>
      </c>
      <c r="E280" s="3265">
        <v>0.15</v>
      </c>
      <c r="F280" s="3265">
        <v>0.15</v>
      </c>
      <c r="G280" s="3266">
        <v>0.15</v>
      </c>
    </row>
    <row r="281" spans="1:7">
      <c r="A281" s="3275" t="s">
        <v>306</v>
      </c>
      <c r="B281" s="3264" t="s">
        <v>2883</v>
      </c>
      <c r="C281" s="3265">
        <v>0.15</v>
      </c>
      <c r="D281" s="3265">
        <v>0.15</v>
      </c>
      <c r="E281" s="3265">
        <v>0.15</v>
      </c>
      <c r="F281" s="3265">
        <v>0.15</v>
      </c>
      <c r="G281" s="3266">
        <v>0.15</v>
      </c>
    </row>
    <row r="282" spans="1:7">
      <c r="A282" s="3275" t="s">
        <v>306</v>
      </c>
      <c r="B282" s="3264" t="s">
        <v>2887</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2902</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2907</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2917</v>
      </c>
      <c r="C293" s="3265">
        <v>0.15</v>
      </c>
      <c r="D293" s="3265">
        <v>0.15</v>
      </c>
      <c r="E293" s="3265">
        <v>0.15</v>
      </c>
      <c r="F293" s="3265">
        <v>0.14499999999999999</v>
      </c>
      <c r="G293" s="3266">
        <v>0.15</v>
      </c>
    </row>
    <row r="294" spans="1:7">
      <c r="A294" s="3275" t="s">
        <v>306</v>
      </c>
      <c r="B294" s="3264" t="s">
        <v>2919</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2936</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2949</v>
      </c>
      <c r="C302" s="3265">
        <v>0.15</v>
      </c>
      <c r="D302" s="3265">
        <v>0.15</v>
      </c>
      <c r="E302" s="3265">
        <v>0.15</v>
      </c>
      <c r="F302" s="3265">
        <v>0.14699999999999999</v>
      </c>
      <c r="G302" s="3266">
        <v>0.15</v>
      </c>
    </row>
    <row r="303" spans="1:7">
      <c r="A303" s="3275" t="s">
        <v>306</v>
      </c>
      <c r="B303" s="3264" t="s">
        <v>2956</v>
      </c>
      <c r="C303" s="3265">
        <v>0.15</v>
      </c>
      <c r="D303" s="3265">
        <v>0.15</v>
      </c>
      <c r="E303" s="3265">
        <v>0.15</v>
      </c>
      <c r="F303" s="3265">
        <v>0.14199999999999999</v>
      </c>
      <c r="G303" s="3266">
        <v>0.15</v>
      </c>
    </row>
    <row r="304" spans="1:7">
      <c r="A304" s="3275" t="s">
        <v>306</v>
      </c>
      <c r="B304" s="3264" t="s">
        <v>2963</v>
      </c>
      <c r="C304" s="3265">
        <v>0.15</v>
      </c>
      <c r="D304" s="3265">
        <v>0.15</v>
      </c>
      <c r="E304" s="3265">
        <v>0.15</v>
      </c>
      <c r="F304" s="3265">
        <v>0.14499999999999999</v>
      </c>
      <c r="G304" s="3266">
        <v>0.15</v>
      </c>
    </row>
    <row r="305" spans="1:7">
      <c r="A305" s="3275" t="s">
        <v>306</v>
      </c>
      <c r="B305" s="3264" t="s">
        <v>2969</v>
      </c>
      <c r="C305" s="3265">
        <v>0.15</v>
      </c>
      <c r="D305" s="3265">
        <v>0.15</v>
      </c>
      <c r="E305" s="3265">
        <v>0.15</v>
      </c>
      <c r="F305" s="3265">
        <v>0.111</v>
      </c>
      <c r="G305" s="3266">
        <v>0.15</v>
      </c>
    </row>
    <row r="306" spans="1:7">
      <c r="A306" s="3275" t="s">
        <v>306</v>
      </c>
      <c r="B306" s="3264" t="s">
        <v>2976</v>
      </c>
      <c r="C306" s="3265">
        <v>0.15</v>
      </c>
      <c r="D306" s="3265">
        <v>0.15</v>
      </c>
      <c r="E306" s="3265">
        <v>0.15</v>
      </c>
      <c r="F306" s="3265">
        <v>0.126</v>
      </c>
      <c r="G306" s="3266">
        <v>0.15</v>
      </c>
    </row>
    <row r="307" spans="1:7">
      <c r="A307" s="3275" t="s">
        <v>306</v>
      </c>
      <c r="B307" s="3264" t="s">
        <v>2981</v>
      </c>
      <c r="C307" s="3265">
        <v>0.15</v>
      </c>
      <c r="D307" s="3265">
        <v>0.15</v>
      </c>
      <c r="E307" s="3265">
        <v>0.15</v>
      </c>
      <c r="F307" s="3265">
        <v>0.12</v>
      </c>
      <c r="G307" s="3266">
        <v>0.15</v>
      </c>
    </row>
    <row r="308" spans="1:7">
      <c r="A308" s="3275" t="s">
        <v>306</v>
      </c>
      <c r="B308" s="3264" t="s">
        <v>2987</v>
      </c>
      <c r="C308" s="3265">
        <v>0.15</v>
      </c>
      <c r="D308" s="3265">
        <v>0.15</v>
      </c>
      <c r="E308" s="3265">
        <v>0.15</v>
      </c>
      <c r="F308" s="3265">
        <v>0.13</v>
      </c>
      <c r="G308" s="3266">
        <v>0.15</v>
      </c>
    </row>
    <row r="309" spans="1:7">
      <c r="A309" s="3275" t="s">
        <v>306</v>
      </c>
      <c r="B309" s="3264" t="s">
        <v>2991</v>
      </c>
      <c r="C309" s="3265">
        <v>0.15</v>
      </c>
      <c r="D309" s="3265">
        <v>0.15</v>
      </c>
      <c r="E309" s="3265">
        <v>0.15</v>
      </c>
      <c r="F309" s="3265">
        <v>0.14099999999999999</v>
      </c>
      <c r="G309" s="3266">
        <v>0.15</v>
      </c>
    </row>
    <row r="310" spans="1:7">
      <c r="A310" s="3275" t="s">
        <v>306</v>
      </c>
      <c r="B310" s="3264" t="s">
        <v>2996</v>
      </c>
      <c r="C310" s="3265">
        <v>0.15</v>
      </c>
      <c r="D310" s="3265">
        <v>0.15</v>
      </c>
      <c r="E310" s="3265">
        <v>0.15</v>
      </c>
      <c r="F310" s="3265">
        <v>0.15</v>
      </c>
      <c r="G310" s="3266">
        <v>0.15</v>
      </c>
    </row>
    <row r="311" spans="1:7">
      <c r="A311" s="3275" t="s">
        <v>306</v>
      </c>
      <c r="B311" s="3264" t="s">
        <v>3001</v>
      </c>
      <c r="C311" s="3265">
        <v>0.13200000000000001</v>
      </c>
      <c r="D311" s="3265">
        <v>0.13300000000000001</v>
      </c>
      <c r="E311" s="3265">
        <v>0.14499999999999999</v>
      </c>
      <c r="F311" s="3265">
        <v>0.14199999999999999</v>
      </c>
      <c r="G311" s="3266">
        <v>0.14000000000000001</v>
      </c>
    </row>
    <row r="312" spans="1:7">
      <c r="A312" s="3275" t="s">
        <v>306</v>
      </c>
      <c r="B312" s="3264" t="s">
        <v>3006</v>
      </c>
      <c r="C312" s="3265">
        <v>0.13800000000000001</v>
      </c>
      <c r="D312" s="3265">
        <v>0.14000000000000001</v>
      </c>
      <c r="E312" s="3265">
        <v>0.14599999999999999</v>
      </c>
      <c r="F312" s="3265">
        <v>0.14899999999999999</v>
      </c>
      <c r="G312" s="3266">
        <v>0.14199999999999999</v>
      </c>
    </row>
    <row r="313" spans="1:7">
      <c r="A313" s="3275" t="s">
        <v>306</v>
      </c>
      <c r="B313" s="3264" t="s">
        <v>3011</v>
      </c>
      <c r="C313" s="3265">
        <v>0.125</v>
      </c>
      <c r="D313" s="3265">
        <v>0.127</v>
      </c>
      <c r="E313" s="3265">
        <v>0.14399999999999999</v>
      </c>
      <c r="F313" s="3265">
        <v>0.115</v>
      </c>
      <c r="G313" s="3266">
        <v>0.13600000000000001</v>
      </c>
    </row>
    <row r="314" spans="1:7">
      <c r="A314" s="3275" t="s">
        <v>306</v>
      </c>
      <c r="B314" s="3264" t="s">
        <v>3220</v>
      </c>
      <c r="C314" s="3281"/>
      <c r="D314" s="3281"/>
      <c r="E314" s="3281"/>
      <c r="F314" s="3265">
        <v>0.05</v>
      </c>
      <c r="G314" s="3282"/>
    </row>
    <row r="315" spans="1:7">
      <c r="A315" s="3275" t="s">
        <v>306</v>
      </c>
      <c r="B315" s="3264" t="s">
        <v>3221</v>
      </c>
      <c r="C315" s="3281"/>
      <c r="D315" s="3281"/>
      <c r="E315" s="3281"/>
      <c r="F315" s="3265">
        <v>0.05</v>
      </c>
      <c r="G315" s="3282"/>
    </row>
    <row r="316" spans="1:7">
      <c r="A316" s="3275" t="s">
        <v>306</v>
      </c>
      <c r="B316" s="3264" t="s">
        <v>3222</v>
      </c>
      <c r="C316" s="3276"/>
      <c r="D316" s="3276"/>
      <c r="E316" s="3276"/>
      <c r="F316" s="3265">
        <v>0.05</v>
      </c>
      <c r="G316" s="3282"/>
    </row>
    <row r="317" spans="1:7">
      <c r="A317" s="3275" t="s">
        <v>306</v>
      </c>
      <c r="B317" s="3264" t="s">
        <v>3223</v>
      </c>
      <c r="C317" s="3276"/>
      <c r="D317" s="3276"/>
      <c r="E317" s="3276"/>
      <c r="F317" s="3265">
        <v>0.05</v>
      </c>
      <c r="G317" s="3282"/>
    </row>
    <row r="318" spans="1:7">
      <c r="A318" s="3275" t="s">
        <v>306</v>
      </c>
      <c r="B318" s="3264" t="s">
        <v>3224</v>
      </c>
      <c r="C318" s="3276"/>
      <c r="D318" s="3276"/>
      <c r="E318" s="3276"/>
      <c r="F318" s="3265">
        <v>0.05</v>
      </c>
      <c r="G318" s="3282"/>
    </row>
    <row r="319" spans="1:7">
      <c r="A319" s="3275" t="s">
        <v>306</v>
      </c>
      <c r="B319" s="3264" t="s">
        <v>3225</v>
      </c>
      <c r="C319" s="3276"/>
      <c r="D319" s="3276"/>
      <c r="E319" s="3276"/>
      <c r="F319" s="3265">
        <v>0.05</v>
      </c>
      <c r="G319" s="3282"/>
    </row>
    <row r="320" spans="1:7">
      <c r="A320" s="3275" t="s">
        <v>306</v>
      </c>
      <c r="B320" s="3264" t="s">
        <v>3226</v>
      </c>
      <c r="C320" s="3276"/>
      <c r="D320" s="3276"/>
      <c r="E320" s="3276"/>
      <c r="F320" s="3265">
        <v>0.05</v>
      </c>
      <c r="G320" s="3282"/>
    </row>
    <row r="321" spans="1:7">
      <c r="A321" s="3275" t="s">
        <v>306</v>
      </c>
      <c r="B321" s="3264" t="s">
        <v>3227</v>
      </c>
      <c r="C321" s="3276"/>
      <c r="D321" s="3276"/>
      <c r="E321" s="3276"/>
      <c r="F321" s="3265">
        <v>0.05</v>
      </c>
      <c r="G321" s="3282"/>
    </row>
    <row r="322" spans="1:7">
      <c r="A322" s="3275" t="s">
        <v>306</v>
      </c>
      <c r="B322" s="3264" t="s">
        <v>3228</v>
      </c>
      <c r="C322" s="3276"/>
      <c r="D322" s="3276"/>
      <c r="E322" s="3276"/>
      <c r="F322" s="3265">
        <v>0.05</v>
      </c>
      <c r="G322" s="3282"/>
    </row>
    <row r="323" spans="1:7">
      <c r="A323" s="3275" t="s">
        <v>306</v>
      </c>
      <c r="B323" s="3264" t="s">
        <v>3229</v>
      </c>
      <c r="C323" s="3276"/>
      <c r="D323" s="3276"/>
      <c r="E323" s="3276"/>
      <c r="F323" s="3265">
        <v>0.05</v>
      </c>
      <c r="G323" s="3282"/>
    </row>
    <row r="324" spans="1:7">
      <c r="A324" s="3275" t="s">
        <v>306</v>
      </c>
      <c r="B324" s="3264" t="s">
        <v>3230</v>
      </c>
      <c r="C324" s="3276"/>
      <c r="D324" s="3276"/>
      <c r="E324" s="3276"/>
      <c r="F324" s="3265">
        <v>0.05</v>
      </c>
      <c r="G324" s="3282"/>
    </row>
    <row r="325" spans="1:7">
      <c r="A325" s="3275" t="s">
        <v>306</v>
      </c>
      <c r="B325" s="3264" t="s">
        <v>3231</v>
      </c>
      <c r="C325" s="3276"/>
      <c r="D325" s="3276"/>
      <c r="E325" s="3276"/>
      <c r="F325" s="3265">
        <v>0.05</v>
      </c>
      <c r="G325" s="3282"/>
    </row>
    <row r="326" spans="1:7" ht="14.25" thickBot="1">
      <c r="A326" s="3278" t="s">
        <v>306</v>
      </c>
      <c r="B326" s="3268" t="s">
        <v>3232</v>
      </c>
      <c r="C326" s="3270"/>
      <c r="D326" s="3270"/>
      <c r="E326" s="3270"/>
      <c r="F326" s="3269">
        <v>0.05</v>
      </c>
      <c r="G326" s="3283"/>
    </row>
    <row r="327" spans="1:7">
      <c r="A327" s="3274" t="s">
        <v>307</v>
      </c>
      <c r="B327" s="3260" t="s">
        <v>2864</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2876</v>
      </c>
      <c r="C329" s="3265">
        <v>0.15</v>
      </c>
      <c r="D329" s="3265">
        <v>0.15</v>
      </c>
      <c r="E329" s="3265">
        <v>0.15</v>
      </c>
      <c r="F329" s="3265">
        <v>0.15</v>
      </c>
      <c r="G329" s="3266">
        <v>0.15</v>
      </c>
    </row>
    <row r="330" spans="1:7">
      <c r="A330" s="3275" t="s">
        <v>307</v>
      </c>
      <c r="B330" s="3264" t="s">
        <v>2880</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2888</v>
      </c>
      <c r="C332" s="3265">
        <v>0.15</v>
      </c>
      <c r="D332" s="3265">
        <v>0.15</v>
      </c>
      <c r="E332" s="3265">
        <v>0.15</v>
      </c>
      <c r="F332" s="3265">
        <v>0.15</v>
      </c>
      <c r="G332" s="3266">
        <v>0.15</v>
      </c>
    </row>
    <row r="333" spans="1:7">
      <c r="A333" s="3275" t="s">
        <v>307</v>
      </c>
      <c r="B333" s="3264" t="s">
        <v>2892</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2898</v>
      </c>
      <c r="C336" s="3265">
        <v>0.15</v>
      </c>
      <c r="D336" s="3265">
        <v>0.15</v>
      </c>
      <c r="E336" s="3265">
        <v>0.15</v>
      </c>
      <c r="F336" s="3265">
        <v>0.14199999999999999</v>
      </c>
      <c r="G336" s="3266">
        <v>0.15</v>
      </c>
    </row>
    <row r="337" spans="1:7">
      <c r="A337" s="3275" t="s">
        <v>307</v>
      </c>
      <c r="B337" s="3264" t="s">
        <v>2903</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2910</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2915</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2923</v>
      </c>
      <c r="C345" s="3265">
        <v>0.15</v>
      </c>
      <c r="D345" s="3265">
        <v>0.15</v>
      </c>
      <c r="E345" s="3265">
        <v>0.15</v>
      </c>
      <c r="F345" s="3265">
        <v>0.13800000000000001</v>
      </c>
      <c r="G345" s="3266">
        <v>0.15</v>
      </c>
    </row>
    <row r="346" spans="1:7">
      <c r="A346" s="3275" t="s">
        <v>307</v>
      </c>
      <c r="B346" s="3264" t="s">
        <v>2925</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2932</v>
      </c>
      <c r="C348" s="3265">
        <v>0.15</v>
      </c>
      <c r="D348" s="3265">
        <v>0.15</v>
      </c>
      <c r="E348" s="3265">
        <v>0.15</v>
      </c>
      <c r="F348" s="3265">
        <v>0.14399999999999999</v>
      </c>
      <c r="G348" s="3266">
        <v>0.15</v>
      </c>
    </row>
    <row r="349" spans="1:7">
      <c r="A349" s="3275" t="s">
        <v>307</v>
      </c>
      <c r="B349" s="3264" t="s">
        <v>2937</v>
      </c>
      <c r="C349" s="3265">
        <v>0.15</v>
      </c>
      <c r="D349" s="3265">
        <v>0.15</v>
      </c>
      <c r="E349" s="3265">
        <v>0.15</v>
      </c>
      <c r="F349" s="3265">
        <v>0.15</v>
      </c>
      <c r="G349" s="3266">
        <v>0.15</v>
      </c>
    </row>
    <row r="350" spans="1:7">
      <c r="A350" s="3275" t="s">
        <v>307</v>
      </c>
      <c r="B350" s="3264" t="s">
        <v>2940</v>
      </c>
      <c r="C350" s="3265">
        <v>0.15</v>
      </c>
      <c r="D350" s="3265">
        <v>0.15</v>
      </c>
      <c r="E350" s="3265">
        <v>0.15</v>
      </c>
      <c r="F350" s="3265">
        <v>0.14699999999999999</v>
      </c>
      <c r="G350" s="3266">
        <v>0.15</v>
      </c>
    </row>
    <row r="351" spans="1:7">
      <c r="A351" s="3275" t="s">
        <v>307</v>
      </c>
      <c r="B351" s="3264" t="s">
        <v>2945</v>
      </c>
      <c r="C351" s="3265">
        <v>0.15</v>
      </c>
      <c r="D351" s="3265">
        <v>0.15</v>
      </c>
      <c r="E351" s="3265">
        <v>0.15</v>
      </c>
      <c r="F351" s="3265">
        <v>0.13</v>
      </c>
      <c r="G351" s="3266">
        <v>0.15</v>
      </c>
    </row>
    <row r="352" spans="1:7">
      <c r="A352" s="3275" t="s">
        <v>307</v>
      </c>
      <c r="B352" s="3264" t="s">
        <v>2950</v>
      </c>
      <c r="C352" s="3265">
        <v>0.15</v>
      </c>
      <c r="D352" s="3265">
        <v>0.15</v>
      </c>
      <c r="E352" s="3265">
        <v>0.15</v>
      </c>
      <c r="F352" s="3265">
        <v>0.14599999999999999</v>
      </c>
      <c r="G352" s="3266">
        <v>0.15</v>
      </c>
    </row>
    <row r="353" spans="1:7">
      <c r="A353" s="3275" t="s">
        <v>307</v>
      </c>
      <c r="B353" s="3264" t="s">
        <v>2957</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2970</v>
      </c>
      <c r="C355" s="3265">
        <v>0.15</v>
      </c>
      <c r="D355" s="3265">
        <v>0.15</v>
      </c>
      <c r="E355" s="3265">
        <v>0.15</v>
      </c>
      <c r="F355" s="3265">
        <v>0.15</v>
      </c>
      <c r="G355" s="3266">
        <v>0.15</v>
      </c>
    </row>
    <row r="356" spans="1:7">
      <c r="A356" s="3275" t="s">
        <v>307</v>
      </c>
      <c r="B356" s="3264" t="s">
        <v>2977</v>
      </c>
      <c r="C356" s="3265">
        <v>0.15</v>
      </c>
      <c r="D356" s="3265">
        <v>0.15</v>
      </c>
      <c r="E356" s="3265">
        <v>0.15</v>
      </c>
      <c r="F356" s="3265">
        <v>0.15</v>
      </c>
      <c r="G356" s="3266">
        <v>0.15</v>
      </c>
    </row>
    <row r="357" spans="1:7" ht="14.25" thickBot="1">
      <c r="A357" s="3278" t="s">
        <v>307</v>
      </c>
      <c r="B357" s="3268" t="s">
        <v>2982</v>
      </c>
      <c r="C357" s="3269">
        <v>0.126</v>
      </c>
      <c r="D357" s="3269">
        <v>0.127</v>
      </c>
      <c r="E357" s="3269">
        <v>0.14299999999999999</v>
      </c>
      <c r="F357" s="3269">
        <v>0.125</v>
      </c>
      <c r="G357" s="3271">
        <v>0.129</v>
      </c>
    </row>
    <row r="358" spans="1:7">
      <c r="A358" s="3274" t="s">
        <v>2851</v>
      </c>
      <c r="B358" s="3260" t="s">
        <v>2865</v>
      </c>
      <c r="C358" s="3261">
        <v>0.15</v>
      </c>
      <c r="D358" s="3261">
        <v>0.15</v>
      </c>
      <c r="E358" s="3261">
        <v>0.15</v>
      </c>
      <c r="F358" s="3261">
        <v>0.15</v>
      </c>
      <c r="G358" s="3262">
        <v>0.15</v>
      </c>
    </row>
    <row r="359" spans="1:7">
      <c r="A359" s="3275" t="s">
        <v>2851</v>
      </c>
      <c r="B359" s="3264" t="s">
        <v>2871</v>
      </c>
      <c r="C359" s="3265">
        <v>0.1</v>
      </c>
      <c r="D359" s="3265">
        <v>0.1</v>
      </c>
      <c r="E359" s="3265">
        <v>0.1</v>
      </c>
      <c r="F359" s="3265">
        <v>0.1</v>
      </c>
      <c r="G359" s="3266">
        <v>0.1</v>
      </c>
    </row>
    <row r="360" spans="1:7">
      <c r="A360" s="3275" t="s">
        <v>2851</v>
      </c>
      <c r="B360" s="3264" t="s">
        <v>2877</v>
      </c>
      <c r="C360" s="3265">
        <v>0.15</v>
      </c>
      <c r="D360" s="3265">
        <v>0.15</v>
      </c>
      <c r="E360" s="3265">
        <v>0.15</v>
      </c>
      <c r="F360" s="3265">
        <v>0.14899999999999999</v>
      </c>
      <c r="G360" s="3266">
        <v>0.15</v>
      </c>
    </row>
    <row r="361" spans="1:7">
      <c r="A361" s="3275" t="s">
        <v>2851</v>
      </c>
      <c r="B361" s="3264" t="s">
        <v>153</v>
      </c>
      <c r="C361" s="3265">
        <v>0.15</v>
      </c>
      <c r="D361" s="3265">
        <v>0.15</v>
      </c>
      <c r="E361" s="3265">
        <v>0.15</v>
      </c>
      <c r="F361" s="3265">
        <v>0.115</v>
      </c>
      <c r="G361" s="3266">
        <v>0.15</v>
      </c>
    </row>
    <row r="362" spans="1:7">
      <c r="A362" s="3275" t="s">
        <v>2851</v>
      </c>
      <c r="B362" s="3264" t="s">
        <v>2884</v>
      </c>
      <c r="C362" s="3265">
        <v>0.15</v>
      </c>
      <c r="D362" s="3265">
        <v>0.15</v>
      </c>
      <c r="E362" s="3265">
        <v>0.15</v>
      </c>
      <c r="F362" s="3265">
        <v>0.106</v>
      </c>
      <c r="G362" s="3266">
        <v>0.15</v>
      </c>
    </row>
    <row r="363" spans="1:7">
      <c r="A363" s="3275" t="s">
        <v>2851</v>
      </c>
      <c r="B363" s="3264" t="s">
        <v>2889</v>
      </c>
      <c r="C363" s="3265">
        <v>0.15</v>
      </c>
      <c r="D363" s="3265">
        <v>0.15</v>
      </c>
      <c r="E363" s="3265">
        <v>0.15</v>
      </c>
      <c r="F363" s="3265">
        <v>0.14699999999999999</v>
      </c>
      <c r="G363" s="3266">
        <v>0.15</v>
      </c>
    </row>
    <row r="364" spans="1:7">
      <c r="A364" s="3275" t="s">
        <v>2851</v>
      </c>
      <c r="B364" s="3264" t="s">
        <v>2893</v>
      </c>
      <c r="C364" s="3265">
        <v>0.15</v>
      </c>
      <c r="D364" s="3265">
        <v>0.15</v>
      </c>
      <c r="E364" s="3265">
        <v>0.15</v>
      </c>
      <c r="F364" s="3265">
        <v>0.14799999999999999</v>
      </c>
      <c r="G364" s="3266">
        <v>0.15</v>
      </c>
    </row>
    <row r="365" spans="1:7">
      <c r="A365" s="3275" t="s">
        <v>2851</v>
      </c>
      <c r="B365" s="3264" t="s">
        <v>200</v>
      </c>
      <c r="C365" s="3265">
        <v>0.15</v>
      </c>
      <c r="D365" s="3265">
        <v>0.15</v>
      </c>
      <c r="E365" s="3265">
        <v>0.15</v>
      </c>
      <c r="F365" s="3265">
        <v>0.15</v>
      </c>
      <c r="G365" s="3266">
        <v>0.15</v>
      </c>
    </row>
    <row r="366" spans="1:7">
      <c r="A366" s="3275" t="s">
        <v>2851</v>
      </c>
      <c r="B366" s="3264" t="s">
        <v>2896</v>
      </c>
      <c r="C366" s="3265">
        <v>0.15</v>
      </c>
      <c r="D366" s="3265">
        <v>0.15</v>
      </c>
      <c r="E366" s="3265">
        <v>0.15</v>
      </c>
      <c r="F366" s="3265">
        <v>0.15</v>
      </c>
      <c r="G366" s="3266">
        <v>0.15</v>
      </c>
    </row>
    <row r="367" spans="1:7">
      <c r="A367" s="3275" t="s">
        <v>2851</v>
      </c>
      <c r="B367" s="3264" t="s">
        <v>2899</v>
      </c>
      <c r="C367" s="3265">
        <v>0.15</v>
      </c>
      <c r="D367" s="3265">
        <v>0.15</v>
      </c>
      <c r="E367" s="3265">
        <v>0.15</v>
      </c>
      <c r="F367" s="3265">
        <v>0.14699999999999999</v>
      </c>
      <c r="G367" s="3266">
        <v>0.15</v>
      </c>
    </row>
    <row r="368" spans="1:7">
      <c r="A368" s="3275" t="s">
        <v>2851</v>
      </c>
      <c r="B368" s="3264" t="s">
        <v>2904</v>
      </c>
      <c r="C368" s="3265">
        <v>0.15</v>
      </c>
      <c r="D368" s="3265">
        <v>0.15</v>
      </c>
      <c r="E368" s="3265">
        <v>0.15</v>
      </c>
      <c r="F368" s="3265">
        <v>0.13600000000000001</v>
      </c>
      <c r="G368" s="3266">
        <v>0.15</v>
      </c>
    </row>
    <row r="369" spans="1:7">
      <c r="A369" s="3275" t="s">
        <v>2851</v>
      </c>
      <c r="B369" s="3264" t="s">
        <v>214</v>
      </c>
      <c r="C369" s="3265">
        <v>0.15</v>
      </c>
      <c r="D369" s="3265">
        <v>0.15</v>
      </c>
      <c r="E369" s="3265">
        <v>0.15</v>
      </c>
      <c r="F369" s="3265">
        <v>0.14399999999999999</v>
      </c>
      <c r="G369" s="3266">
        <v>0.15</v>
      </c>
    </row>
    <row r="370" spans="1:7">
      <c r="A370" s="3275" t="s">
        <v>2851</v>
      </c>
      <c r="B370" s="3264" t="s">
        <v>221</v>
      </c>
      <c r="C370" s="3265">
        <v>0.15</v>
      </c>
      <c r="D370" s="3265">
        <v>0.15</v>
      </c>
      <c r="E370" s="3265">
        <v>0.15</v>
      </c>
      <c r="F370" s="3265">
        <v>0.14599999999999999</v>
      </c>
      <c r="G370" s="3266">
        <v>0.15</v>
      </c>
    </row>
    <row r="371" spans="1:7">
      <c r="A371" s="3275" t="s">
        <v>2851</v>
      </c>
      <c r="B371" s="3264" t="s">
        <v>229</v>
      </c>
      <c r="C371" s="3265">
        <v>0.15</v>
      </c>
      <c r="D371" s="3265">
        <v>0.15</v>
      </c>
      <c r="E371" s="3265">
        <v>0.15</v>
      </c>
      <c r="F371" s="3265">
        <v>0.12</v>
      </c>
      <c r="G371" s="3266">
        <v>0.15</v>
      </c>
    </row>
    <row r="372" spans="1:7">
      <c r="A372" s="3275" t="s">
        <v>2851</v>
      </c>
      <c r="B372" s="3264" t="s">
        <v>2912</v>
      </c>
      <c r="C372" s="3265">
        <v>0.15</v>
      </c>
      <c r="D372" s="3265">
        <v>0.15</v>
      </c>
      <c r="E372" s="3265">
        <v>0.15</v>
      </c>
      <c r="F372" s="3265">
        <v>0.14299999999999999</v>
      </c>
      <c r="G372" s="3266">
        <v>0.15</v>
      </c>
    </row>
    <row r="373" spans="1:7">
      <c r="A373" s="3275" t="s">
        <v>2851</v>
      </c>
      <c r="B373" s="3264" t="s">
        <v>258</v>
      </c>
      <c r="C373" s="3265">
        <v>0.15</v>
      </c>
      <c r="D373" s="3265">
        <v>0.15</v>
      </c>
      <c r="E373" s="3265">
        <v>0.15</v>
      </c>
      <c r="F373" s="3265">
        <v>0.14599999999999999</v>
      </c>
      <c r="G373" s="3266">
        <v>0.15</v>
      </c>
    </row>
    <row r="374" spans="1:7">
      <c r="A374" s="3275" t="s">
        <v>2851</v>
      </c>
      <c r="B374" s="3264" t="s">
        <v>266</v>
      </c>
      <c r="C374" s="3265">
        <v>0.15</v>
      </c>
      <c r="D374" s="3265">
        <v>0.15</v>
      </c>
      <c r="E374" s="3265">
        <v>0.15</v>
      </c>
      <c r="F374" s="3265">
        <v>0.14399999999999999</v>
      </c>
      <c r="G374" s="3266">
        <v>0.15</v>
      </c>
    </row>
    <row r="375" spans="1:7">
      <c r="A375" s="3275" t="s">
        <v>2851</v>
      </c>
      <c r="B375" s="3264" t="s">
        <v>2920</v>
      </c>
      <c r="C375" s="3265">
        <v>0.15</v>
      </c>
      <c r="D375" s="3265">
        <v>0.15</v>
      </c>
      <c r="E375" s="3265">
        <v>0.15</v>
      </c>
      <c r="F375" s="3265">
        <v>0.13</v>
      </c>
      <c r="G375" s="3266">
        <v>0.15</v>
      </c>
    </row>
    <row r="376" spans="1:7">
      <c r="A376" s="3275" t="s">
        <v>2851</v>
      </c>
      <c r="B376" s="3264" t="s">
        <v>277</v>
      </c>
      <c r="C376" s="3265">
        <v>0.15</v>
      </c>
      <c r="D376" s="3265">
        <v>0.15</v>
      </c>
      <c r="E376" s="3265">
        <v>0.15</v>
      </c>
      <c r="F376" s="3265">
        <v>0.14199999999999999</v>
      </c>
      <c r="G376" s="3266">
        <v>0.15</v>
      </c>
    </row>
    <row r="377" spans="1:7" ht="14.25" thickBot="1">
      <c r="A377" s="3278" t="s">
        <v>2851</v>
      </c>
      <c r="B377" s="3268" t="s">
        <v>2926</v>
      </c>
      <c r="C377" s="3269">
        <v>0.15</v>
      </c>
      <c r="D377" s="3269">
        <v>0.15</v>
      </c>
      <c r="E377" s="3269">
        <v>0.15</v>
      </c>
      <c r="F377" s="3269">
        <v>0.14000000000000001</v>
      </c>
      <c r="G377" s="3271">
        <v>0.15</v>
      </c>
    </row>
    <row r="378" spans="1:7">
      <c r="A378" s="3274" t="s">
        <v>2852</v>
      </c>
      <c r="B378" s="3260" t="s">
        <v>2866</v>
      </c>
      <c r="C378" s="3261">
        <v>0.15</v>
      </c>
      <c r="D378" s="3261">
        <v>0.15</v>
      </c>
      <c r="E378" s="3261">
        <v>0.15</v>
      </c>
      <c r="F378" s="3261">
        <v>0.107</v>
      </c>
      <c r="G378" s="3262">
        <v>0.15</v>
      </c>
    </row>
    <row r="379" spans="1:7">
      <c r="A379" s="3275" t="s">
        <v>2852</v>
      </c>
      <c r="B379" s="3264" t="s">
        <v>2872</v>
      </c>
      <c r="C379" s="3265">
        <v>0.15</v>
      </c>
      <c r="D379" s="3265">
        <v>0.15</v>
      </c>
      <c r="E379" s="3265">
        <v>0.15</v>
      </c>
      <c r="F379" s="3265">
        <v>0.115</v>
      </c>
      <c r="G379" s="3266">
        <v>0.14899999999999999</v>
      </c>
    </row>
    <row r="380" spans="1:7">
      <c r="A380" s="3275" t="s">
        <v>2852</v>
      </c>
      <c r="B380" s="3264" t="s">
        <v>2878</v>
      </c>
      <c r="C380" s="3265">
        <v>0.15</v>
      </c>
      <c r="D380" s="3265">
        <v>0.15</v>
      </c>
      <c r="E380" s="3265">
        <v>0.15</v>
      </c>
      <c r="F380" s="3265">
        <v>0.1</v>
      </c>
      <c r="G380" s="3266">
        <v>0.14799999999999999</v>
      </c>
    </row>
    <row r="381" spans="1:7">
      <c r="A381" s="3275" t="s">
        <v>2852</v>
      </c>
      <c r="B381" s="3264" t="s">
        <v>2881</v>
      </c>
      <c r="C381" s="3265">
        <v>0.15</v>
      </c>
      <c r="D381" s="3265">
        <v>0.15</v>
      </c>
      <c r="E381" s="3265">
        <v>0.15</v>
      </c>
      <c r="F381" s="3265">
        <v>0.126</v>
      </c>
      <c r="G381" s="3266">
        <v>0.15</v>
      </c>
    </row>
    <row r="382" spans="1:7">
      <c r="A382" s="3275" t="s">
        <v>2852</v>
      </c>
      <c r="B382" s="3264" t="s">
        <v>2885</v>
      </c>
      <c r="C382" s="3265">
        <v>0.15</v>
      </c>
      <c r="D382" s="3265">
        <v>0.15</v>
      </c>
      <c r="E382" s="3265">
        <v>0.15</v>
      </c>
      <c r="F382" s="3265">
        <v>0.15</v>
      </c>
      <c r="G382" s="3266">
        <v>0.15</v>
      </c>
    </row>
    <row r="383" spans="1:7">
      <c r="A383" s="3275" t="s">
        <v>2852</v>
      </c>
      <c r="B383" s="3264" t="s">
        <v>2890</v>
      </c>
      <c r="C383" s="3265">
        <v>0.15</v>
      </c>
      <c r="D383" s="3265">
        <v>0.15</v>
      </c>
      <c r="E383" s="3265">
        <v>0.15</v>
      </c>
      <c r="F383" s="3265">
        <v>0.14699999999999999</v>
      </c>
      <c r="G383" s="3266">
        <v>0.15</v>
      </c>
    </row>
    <row r="384" spans="1:7" ht="14.25" thickBot="1">
      <c r="A384" s="3285" t="s">
        <v>2852</v>
      </c>
      <c r="B384" s="3286" t="s">
        <v>2894</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3290"/>
  </cols>
  <sheetData>
    <row r="1" spans="1:6" ht="15">
      <c r="A1" s="3911" t="s">
        <v>3233</v>
      </c>
      <c r="B1" s="3911"/>
      <c r="C1" s="3911"/>
      <c r="D1" s="3911"/>
      <c r="E1" s="3911"/>
      <c r="F1" s="3912"/>
    </row>
    <row r="2" spans="1:6" ht="15">
      <c r="A2" s="3291" t="s">
        <v>3234</v>
      </c>
      <c r="B2" s="3292"/>
      <c r="C2" s="3292"/>
      <c r="D2" s="3292"/>
      <c r="E2" s="3292"/>
      <c r="F2" s="3292"/>
    </row>
    <row r="3" spans="1:6" ht="15">
      <c r="A3" s="3291" t="s">
        <v>3235</v>
      </c>
      <c r="B3" s="3292"/>
      <c r="C3" s="3292"/>
      <c r="D3" s="3292"/>
      <c r="E3" s="3292"/>
      <c r="F3" s="3293" t="s">
        <v>3236</v>
      </c>
    </row>
    <row r="4" spans="1:6">
      <c r="A4" s="3294" t="s">
        <v>672</v>
      </c>
      <c r="B4" s="3294" t="s">
        <v>673</v>
      </c>
      <c r="C4" s="3294" t="s">
        <v>21</v>
      </c>
      <c r="D4" s="3294" t="s">
        <v>674</v>
      </c>
      <c r="E4" s="3294" t="s">
        <v>3</v>
      </c>
      <c r="F4" s="3294" t="s">
        <v>3237</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38"/>
  <sheetViews>
    <sheetView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21">
        <f>基准地价修正!G23</f>
        <v>45033</v>
      </c>
      <c r="B1" s="3210" t="s">
        <v>2839</v>
      </c>
      <c r="C1" s="3211"/>
      <c r="D1" s="3211"/>
      <c r="E1" s="3211"/>
      <c r="F1" s="3211"/>
      <c r="G1" s="3211"/>
      <c r="H1" s="3211"/>
      <c r="I1" s="3211"/>
      <c r="J1" s="3165"/>
      <c r="K1" s="3211" t="s">
        <v>454</v>
      </c>
      <c r="L1" s="3211"/>
      <c r="M1" s="3211"/>
      <c r="N1" s="3211"/>
      <c r="O1" s="3211"/>
      <c r="P1" s="3211"/>
      <c r="Q1" s="3165"/>
      <c r="R1" s="3913" t="s">
        <v>456</v>
      </c>
      <c r="S1" s="3914"/>
      <c r="T1" s="3914"/>
      <c r="U1" s="3914"/>
      <c r="V1" s="3914"/>
      <c r="W1" s="3914"/>
      <c r="X1" s="3165"/>
      <c r="Y1" s="3913" t="s">
        <v>457</v>
      </c>
      <c r="Z1" s="3914"/>
      <c r="AA1" s="3914"/>
      <c r="AB1" s="3914"/>
      <c r="AC1" s="3914"/>
      <c r="AD1" s="3914"/>
    </row>
    <row r="2" spans="1:30" s="3143" customFormat="1" ht="14.25" thickBot="1">
      <c r="B2" s="3144"/>
      <c r="C2" s="3145"/>
      <c r="D2" s="3146" t="s">
        <v>2809</v>
      </c>
      <c r="E2" s="3147" t="s">
        <v>2810</v>
      </c>
      <c r="F2" s="3147" t="s">
        <v>2811</v>
      </c>
      <c r="G2" s="3147" t="s">
        <v>2812</v>
      </c>
      <c r="H2" s="3147" t="s">
        <v>2813</v>
      </c>
      <c r="I2" s="3147" t="s">
        <v>2630</v>
      </c>
      <c r="J2" s="3148"/>
      <c r="K2" s="3146" t="s">
        <v>2809</v>
      </c>
      <c r="L2" s="3147" t="s">
        <v>2810</v>
      </c>
      <c r="M2" s="3147" t="s">
        <v>2811</v>
      </c>
      <c r="N2" s="3147" t="s">
        <v>2812</v>
      </c>
      <c r="O2" s="3147" t="s">
        <v>2814</v>
      </c>
      <c r="P2" s="3147" t="s">
        <v>2630</v>
      </c>
      <c r="Q2" s="3148"/>
      <c r="R2" s="3146" t="s">
        <v>2809</v>
      </c>
      <c r="S2" s="3147" t="s">
        <v>2810</v>
      </c>
      <c r="T2" s="3147" t="s">
        <v>2811</v>
      </c>
      <c r="U2" s="3147" t="s">
        <v>2815</v>
      </c>
      <c r="V2" s="3147" t="s">
        <v>2816</v>
      </c>
      <c r="W2" s="3147" t="s">
        <v>2630</v>
      </c>
      <c r="X2" s="3148"/>
      <c r="Y2" s="3146" t="s">
        <v>2809</v>
      </c>
      <c r="Z2" s="3147" t="s">
        <v>2810</v>
      </c>
      <c r="AA2" s="3147" t="s">
        <v>2811</v>
      </c>
      <c r="AB2" s="3147" t="s">
        <v>2817</v>
      </c>
      <c r="AC2" s="3147" t="s">
        <v>2816</v>
      </c>
      <c r="AD2" s="3147" t="s">
        <v>2630</v>
      </c>
    </row>
    <row r="3" spans="1:30" s="3161" customFormat="1" ht="12.75">
      <c r="A3" s="3149" t="s">
        <v>2818</v>
      </c>
      <c r="B3" s="3150"/>
      <c r="C3" s="3151"/>
      <c r="D3" s="3151">
        <f>ROUND(AVERAGEIF(D4:D16,"&lt;&gt;0"),2)</f>
        <v>0.82</v>
      </c>
      <c r="E3" s="3151">
        <f t="shared" ref="E3:H3" si="0">ROUND(AVERAGEIF(E4:E16,"&lt;&gt;0"),2)</f>
        <v>0.38</v>
      </c>
      <c r="F3" s="3151">
        <f t="shared" si="0"/>
        <v>0.2</v>
      </c>
      <c r="G3" s="3151">
        <f t="shared" si="0"/>
        <v>0.89</v>
      </c>
      <c r="H3" s="3151">
        <f t="shared" si="0"/>
        <v>0.64</v>
      </c>
      <c r="I3" s="3151">
        <f>F3</f>
        <v>0.2</v>
      </c>
      <c r="J3" s="3152"/>
      <c r="K3" s="3153">
        <f>ROUND(AVERAGEIF(K4:K16,"&lt;&gt;0"),4)</f>
        <v>8.2000000000000007E-3</v>
      </c>
      <c r="L3" s="3154">
        <f t="shared" ref="L3:O3" si="1">ROUND(AVERAGEIF(L4:L16,"&lt;&gt;0"),4)</f>
        <v>3.8E-3</v>
      </c>
      <c r="M3" s="3154">
        <f t="shared" si="1"/>
        <v>2E-3</v>
      </c>
      <c r="N3" s="3154">
        <f t="shared" si="1"/>
        <v>8.8999999999999999E-3</v>
      </c>
      <c r="O3" s="3154">
        <f t="shared" si="1"/>
        <v>6.4000000000000003E-3</v>
      </c>
      <c r="P3" s="3154">
        <f>M3</f>
        <v>2E-3</v>
      </c>
      <c r="Q3" s="3152"/>
      <c r="R3" s="3155">
        <f>ROUND(SUMPRODUCT(PRODUCT(1+K4:K16)),4)</f>
        <v>1.0763</v>
      </c>
      <c r="S3" s="3156">
        <f t="shared" ref="S3:V3" si="2">ROUND(SUMPRODUCT(PRODUCT(1+L4:L16)),4)</f>
        <v>1.0343</v>
      </c>
      <c r="T3" s="3156">
        <f t="shared" si="2"/>
        <v>1.0177</v>
      </c>
      <c r="U3" s="3156">
        <f t="shared" si="2"/>
        <v>1.0833999999999999</v>
      </c>
      <c r="V3" s="3156">
        <f t="shared" si="2"/>
        <v>1.0592999999999999</v>
      </c>
      <c r="W3" s="3155">
        <f>T3</f>
        <v>1.0177</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3369</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1.0659000000000001</v>
      </c>
      <c r="S5" s="3183">
        <f>ROUND(IF(项目基本情况!$B$8="出让",SUMPRODUCT(PRODUCT(1+L5:$L$16)),SUMPRODUCT(PRODUCT(1+L5:$L$15))),4)</f>
        <v>1.0326</v>
      </c>
      <c r="T5" s="3183">
        <f>ROUND(IF(项目基本情况!$B$8="出让",SUMPRODUCT(PRODUCT(1+M5:$M$16)),SUMPRODUCT(PRODUCT(1+M5:$M$15))),4)</f>
        <v>1.0203</v>
      </c>
      <c r="U5" s="3183">
        <f>ROUND(IF(项目基本情况!$B$8="出让",SUMPRODUCT(PRODUCT(1+N5:$N$16)),SUMPRODUCT(PRODUCT(1+N5:$N$15))),4)</f>
        <v>1.0714999999999999</v>
      </c>
      <c r="V5" s="3183">
        <f>ROUND(IF(项目基本情况!$B$8="出让",SUMPRODUCT(PRODUCT(1+O5:$O$16)),SUMPRODUCT(PRODUCT(1+O5:$O$15))),4)</f>
        <v>1.0555000000000001</v>
      </c>
      <c r="W5" s="3183">
        <f>T5</f>
        <v>1.0203</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3370</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1.0659000000000001</v>
      </c>
      <c r="S6" s="3183">
        <f>ROUND(IF(项目基本情况!$B$8="出让",SUMPRODUCT(PRODUCT(1+L6:$L$16)),SUMPRODUCT(PRODUCT(1+L6:$L$15))),4)</f>
        <v>1.0326</v>
      </c>
      <c r="T6" s="3183">
        <f>ROUND(IF(项目基本情况!$B$8="出让",SUMPRODUCT(PRODUCT(1+M6:$M$16)),SUMPRODUCT(PRODUCT(1+M6:$M$15))),4)</f>
        <v>1.0203</v>
      </c>
      <c r="U6" s="3183">
        <f>ROUND(IF(项目基本情况!$B$8="出让",SUMPRODUCT(PRODUCT(1+N6:$N$16)),SUMPRODUCT(PRODUCT(1+N6:$N$15))),4)</f>
        <v>1.0714999999999999</v>
      </c>
      <c r="V6" s="3183">
        <f>ROUND(IF(项目基本情况!$B$8="出让",SUMPRODUCT(PRODUCT(1+O6:$O$16)),SUMPRODUCT(PRODUCT(1+O6:$O$15))),4)</f>
        <v>1.0555000000000001</v>
      </c>
      <c r="W6" s="3183">
        <f t="shared" ref="W6:W8" si="14">T6</f>
        <v>1.0203</v>
      </c>
      <c r="X6" s="3181"/>
      <c r="Y6" s="3184"/>
      <c r="Z6" s="3184"/>
      <c r="AA6" s="3184"/>
      <c r="AB6" s="3184"/>
      <c r="AC6" s="3184"/>
      <c r="AD6" s="3184"/>
    </row>
    <row r="7" spans="1:30" s="3185" customFormat="1" ht="12.75">
      <c r="A7" s="3176" t="s">
        <v>3368</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1.0659000000000001</v>
      </c>
      <c r="S7" s="3183">
        <f>ROUND(IF(项目基本情况!$B$8="出让",SUMPRODUCT(PRODUCT(1+L7:$L$16)),SUMPRODUCT(PRODUCT(1+L7:$L$15))),4)</f>
        <v>1.0326</v>
      </c>
      <c r="T7" s="3183">
        <f>ROUND(IF(项目基本情况!$B$8="出让",SUMPRODUCT(PRODUCT(1+M7:$M$16)),SUMPRODUCT(PRODUCT(1+M7:$M$15))),4)</f>
        <v>1.0203</v>
      </c>
      <c r="U7" s="3183">
        <f>ROUND(IF(项目基本情况!$B$8="出让",SUMPRODUCT(PRODUCT(1+N7:$N$16)),SUMPRODUCT(PRODUCT(1+N7:$N$15))),4)</f>
        <v>1.0714999999999999</v>
      </c>
      <c r="V7" s="3183">
        <f>ROUND(IF(项目基本情况!$B$8="出让",SUMPRODUCT(PRODUCT(1+O7:$O$16)),SUMPRODUCT(PRODUCT(1+O7:$O$15))),4)</f>
        <v>1.0555000000000001</v>
      </c>
      <c r="W7" s="3183">
        <f t="shared" si="14"/>
        <v>1.0203</v>
      </c>
      <c r="X7" s="3181"/>
      <c r="Y7" s="3184"/>
      <c r="Z7" s="3184"/>
      <c r="AA7" s="3184"/>
      <c r="AB7" s="3184"/>
      <c r="AC7" s="3184"/>
      <c r="AD7" s="3184"/>
    </row>
    <row r="8" spans="1:30" s="3195" customFormat="1" ht="12.75">
      <c r="A8" s="3186" t="s">
        <v>3371</v>
      </c>
      <c r="B8" s="3187">
        <v>2023</v>
      </c>
      <c r="C8" s="3188">
        <v>1</v>
      </c>
      <c r="D8" s="3189">
        <v>0.89</v>
      </c>
      <c r="E8" s="3189">
        <v>0.74</v>
      </c>
      <c r="F8" s="3189">
        <v>0.56999999999999995</v>
      </c>
      <c r="G8" s="3189">
        <v>0.92</v>
      </c>
      <c r="H8" s="3190">
        <v>0.5</v>
      </c>
      <c r="I8" s="3191">
        <f t="shared" si="4"/>
        <v>0.56999999999999995</v>
      </c>
      <c r="J8" s="3192"/>
      <c r="K8" s="3193">
        <f t="shared" si="8"/>
        <v>8.8999999999999999E-3</v>
      </c>
      <c r="L8" s="3194">
        <f t="shared" si="9"/>
        <v>7.4000000000000003E-3</v>
      </c>
      <c r="M8" s="3194">
        <f t="shared" si="10"/>
        <v>5.6999999999999993E-3</v>
      </c>
      <c r="N8" s="3194">
        <f t="shared" si="11"/>
        <v>9.1999999999999998E-3</v>
      </c>
      <c r="O8" s="3194">
        <f t="shared" si="12"/>
        <v>5.0000000000000001E-3</v>
      </c>
      <c r="P8" s="3194">
        <f t="shared" si="13"/>
        <v>5.6999999999999993E-3</v>
      </c>
      <c r="Q8" s="3192"/>
      <c r="R8" s="3192">
        <f>ROUND(IF(项目基本情况!$B$8="出让",SUMPRODUCT(PRODUCT(1+K8:$K$16)),SUMPRODUCT(PRODUCT(1+K8:$K$15))),4)</f>
        <v>1.0659000000000001</v>
      </c>
      <c r="S8" s="3192">
        <f>ROUND(IF(项目基本情况!$B$8="出让",SUMPRODUCT(PRODUCT(1+L8:$L$16)),SUMPRODUCT(PRODUCT(1+L8:$L$15))),4)</f>
        <v>1.0326</v>
      </c>
      <c r="T8" s="3192">
        <f>ROUND(IF(项目基本情况!$B$8="出让",SUMPRODUCT(PRODUCT(1+M8:$M$16)),SUMPRODUCT(PRODUCT(1+M8:$M$15))),4)</f>
        <v>1.0203</v>
      </c>
      <c r="U8" s="3192">
        <f>ROUND(IF(项目基本情况!$B$8="出让",SUMPRODUCT(PRODUCT(1+N8:$N$16)),SUMPRODUCT(PRODUCT(1+N8:$N$15))),4)</f>
        <v>1.0714999999999999</v>
      </c>
      <c r="V8" s="3192">
        <f>ROUND(IF(项目基本情况!$B$8="出让",SUMPRODUCT(PRODUCT(1+O8:$O$16)),SUMPRODUCT(PRODUCT(1+O8:$O$15))),4)</f>
        <v>1.0555000000000001</v>
      </c>
      <c r="W8" s="3192">
        <f t="shared" si="14"/>
        <v>1.0203</v>
      </c>
      <c r="X8" s="3192"/>
      <c r="Y8" s="3194"/>
      <c r="Z8" s="3194"/>
      <c r="AA8" s="3194"/>
      <c r="AB8" s="3194"/>
      <c r="AC8" s="3194"/>
      <c r="AD8" s="3194"/>
    </row>
    <row r="9" spans="1:30" s="3185" customFormat="1" ht="12.75">
      <c r="A9" s="3176" t="s">
        <v>3372</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ROUND(IF([3]项目基本情况!B8="出让",SUMPRODUCT(PRODUCT(1+K9:K16)),SUMPRODUCT(PRODUCT(1+K9:K15))),4)</f>
        <v>1.0565</v>
      </c>
      <c r="S9" s="3183">
        <f>ROUND(IF([3]项目基本情况!B8="出让",SUMPRODUCT(PRODUCT(1+L9:L16)),SUMPRODUCT(PRODUCT(1+L9:L15))),4)</f>
        <v>1.0250999999999999</v>
      </c>
      <c r="T9" s="3183">
        <f>ROUND(IF([3]项目基本情况!B8="出让",SUMPRODUCT(PRODUCT(1+M9:M16)),SUMPRODUCT(PRODUCT(1+M9:M15))),4)</f>
        <v>1.0145</v>
      </c>
      <c r="U9" s="3183">
        <f>ROUND(IF([3]项目基本情况!B8="出让",SUMPRODUCT(PRODUCT(1+N9:N16)),SUMPRODUCT(PRODUCT(1+N9:N15))),4)</f>
        <v>1.0618000000000001</v>
      </c>
      <c r="V9" s="3183">
        <f>ROUND(IF([3]项目基本情况!B8="出让",SUMPRODUCT(PRODUCT(1+O9:O16)),SUMPRODUCT(PRODUCT(1+O9:O15))),4)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3364</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ROUND(IF([3]项目基本情况!B8="出让",SUMPRODUCT(PRODUCT(1+K10:K16)),SUMPRODUCT(PRODUCT(1+K10:K15))),4)</f>
        <v>1.05</v>
      </c>
      <c r="S10" s="3183">
        <f>ROUND(IF([3]项目基本情况!B8="出让",SUMPRODUCT(PRODUCT(1+L10:L16)),SUMPRODUCT(PRODUCT(1+L10:L15))),4)</f>
        <v>1.0229999999999999</v>
      </c>
      <c r="T10" s="3183">
        <f>ROUND(IF([3]项目基本情况!B8="出让",SUMPRODUCT(PRODUCT(1+M10:M16)),SUMPRODUCT(PRODUCT(1+M10:M15))),4)</f>
        <v>1.0134000000000001</v>
      </c>
      <c r="U10" s="3183">
        <f>ROUND(IF([3]项目基本情况!B8="出让",SUMPRODUCT(PRODUCT(1+N10:N16)),SUMPRODUCT(PRODUCT(1+N10:N15))),4)</f>
        <v>1.0545</v>
      </c>
      <c r="V10" s="3183">
        <f>ROUND(IF([3]项目基本情况!B8="出让",SUMPRODUCT(PRODUCT(1+O10:O16)),SUMPRODUCT(PRODUCT(1+O10:O15))),4)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3355</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ROUND(IF([3]项目基本情况!B8="出让",SUMPRODUCT(PRODUCT(1+K11:K16)),SUMPRODUCT(PRODUCT(1+K11:K15))),4)</f>
        <v>1.0430999999999999</v>
      </c>
      <c r="S11" s="3183">
        <f>ROUND(IF([3]项目基本情况!B8="出让",SUMPRODUCT(PRODUCT(1+L11:L16)),SUMPRODUCT(PRODUCT(1+L11:L15))),4)</f>
        <v>1.0197000000000001</v>
      </c>
      <c r="T11" s="3183">
        <f>ROUND(IF([3]项目基本情况!B8="出让",SUMPRODUCT(PRODUCT(1+M11:M16)),SUMPRODUCT(PRODUCT(1+M11:M15))),4)</f>
        <v>1.0109999999999999</v>
      </c>
      <c r="U11" s="3183">
        <f>ROUND(IF([3]项目基本情况!B8="出让",SUMPRODUCT(PRODUCT(1+N11:N16)),SUMPRODUCT(PRODUCT(1+N11:N15))),4)</f>
        <v>1.0468999999999999</v>
      </c>
      <c r="V11" s="3183">
        <f>ROUND(IF([3]项目基本情况!B8="出让",SUMPRODUCT(PRODUCT(1+O11:O16)),SUMPRODUCT(PRODUCT(1+O11:O15))),4)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2819</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ROUND(IF([3]项目基本情况!B8="出让",SUMPRODUCT(PRODUCT(1+K12:K16)),SUMPRODUCT(PRODUCT(1+K12:K15))),4)</f>
        <v>1.0335000000000001</v>
      </c>
      <c r="S12" s="3183">
        <f>ROUND(IF([3]项目基本情况!B8="出让",SUMPRODUCT(PRODUCT(1+L12:L16)),SUMPRODUCT(PRODUCT(1+L12:L15))),4)</f>
        <v>1.0182</v>
      </c>
      <c r="T12" s="3183">
        <f>ROUND(IF([3]项目基本情况!B8="出让",SUMPRODUCT(PRODUCT(1+M12:M16)),SUMPRODUCT(PRODUCT(1+M12:M15))),4)</f>
        <v>1.0108999999999999</v>
      </c>
      <c r="U12" s="3183">
        <f>ROUND(IF([3]项目基本情况!B8="出让",SUMPRODUCT(PRODUCT(1+N12:N16)),SUMPRODUCT(PRODUCT(1+N12:N15))),4)</f>
        <v>1.0361</v>
      </c>
      <c r="V12" s="3183">
        <f>ROUND(IF([3]项目基本情况!B8="出让",SUMPRODUCT(PRODUCT(1+O12:O16)),SUMPRODUCT(PRODUCT(1+O12:O15))),4)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2820</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ROUND(IF([3]项目基本情况!B8="出让",SUMPRODUCT(PRODUCT(1+K13:K16)),SUMPRODUCT(PRODUCT(1+K13:K15))),4)</f>
        <v>1.0244</v>
      </c>
      <c r="S13" s="3183">
        <f>ROUND(IF([3]项目基本情况!B8="出让",SUMPRODUCT(PRODUCT(1+L13:L16)),SUMPRODUCT(PRODUCT(1+L13:L15))),4)</f>
        <v>1.0138</v>
      </c>
      <c r="T13" s="3183">
        <f>ROUND(IF([3]项目基本情况!B8="出让",SUMPRODUCT(PRODUCT(1+M13:M16)),SUMPRODUCT(PRODUCT(1+M13:M15))),4)</f>
        <v>1.0072000000000001</v>
      </c>
      <c r="U13" s="3183">
        <f>ROUND(IF([3]项目基本情况!B8="出让",SUMPRODUCT(PRODUCT(1+N13:N16)),SUMPRODUCT(PRODUCT(1+N13:N15))),4)</f>
        <v>1.0262</v>
      </c>
      <c r="V13" s="3183">
        <f>ROUND(IF([3]项目基本情况!B8="出让",SUMPRODUCT(PRODUCT(1+O13:O16)),SUMPRODUCT(PRODUCT(1+O13:O15))),4)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2821</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ROUND(IF([3]项目基本情况!B8="出让",SUMPRODUCT(PRODUCT(1+K14:K16)),SUMPRODUCT(PRODUCT(1+K14:K15))),4)</f>
        <v>1.0139</v>
      </c>
      <c r="S14" s="3183">
        <f>ROUND(IF([3]项目基本情况!B8="出让",SUMPRODUCT(PRODUCT(1+L14:L16)),SUMPRODUCT(PRODUCT(1+L14:L15))),4)</f>
        <v>1.0113000000000001</v>
      </c>
      <c r="T14" s="3183">
        <f>ROUND(IF([3]项目基本情况!B8="出让",SUMPRODUCT(PRODUCT(1+M14:M16)),SUMPRODUCT(PRODUCT(1+M14:M15))),4)</f>
        <v>1.0065</v>
      </c>
      <c r="U14" s="3183">
        <f>ROUND(IF([3]项目基本情况!B8="出让",SUMPRODUCT(PRODUCT(1+N14:N16)),SUMPRODUCT(PRODUCT(1+N14:N15))),4)</f>
        <v>1.0143</v>
      </c>
      <c r="V14" s="3183">
        <f>ROUND(IF([3]项目基本情况!B8="出让",SUMPRODUCT(PRODUCT(1+O14:O16)),SUMPRODUCT(PRODUCT(1+O14:O15))),4)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2822</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ROUND(IF([3]项目基本情况!B8="出让",SUMPRODUCT(PRODUCT(1+K15:K16)),SUMPRODUCT(PRODUCT(1+K15:K15))),4)</f>
        <v>1.0092000000000001</v>
      </c>
      <c r="S15" s="3183">
        <f>ROUND(IF([3]项目基本情况!B8="出让",SUMPRODUCT(PRODUCT(1+L15:L16)),SUMPRODUCT(PRODUCT(1+L15:L15))),4)</f>
        <v>1.0072000000000001</v>
      </c>
      <c r="T15" s="3183">
        <f>ROUND(IF([3]项目基本情况!B8="出让",SUMPRODUCT(PRODUCT(1+M15:M16)),SUMPRODUCT(PRODUCT(1+M15:M15))),4)</f>
        <v>1.0041</v>
      </c>
      <c r="U15" s="3183">
        <f>ROUND(IF([3]项目基本情况!B8="出让",SUMPRODUCT(PRODUCT(1+N15:N16)),SUMPRODUCT(PRODUCT(1+N15:N15))),4)</f>
        <v>1.0095000000000001</v>
      </c>
      <c r="V15" s="3183">
        <f>ROUND(IF([3]项目基本情况!B8="出让",SUMPRODUCT(PRODUCT(1+O15:O16)),SUMPRODUCT(PRODUCT(1+O15:O15))),4)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2823</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3366</v>
      </c>
    </row>
    <row r="19" spans="1:30" s="3009" customFormat="1">
      <c r="I19" s="3208" t="s">
        <v>2824</v>
      </c>
    </row>
    <row r="20" spans="1:30" s="3009" customFormat="1"/>
    <row r="21" spans="1:30" s="3209" customFormat="1" ht="12.75">
      <c r="B21" s="3210" t="s">
        <v>2825</v>
      </c>
      <c r="C21" s="3211"/>
      <c r="D21" s="3211"/>
      <c r="E21" s="3211"/>
      <c r="F21" s="3211"/>
      <c r="G21" s="3211"/>
      <c r="H21" s="3211"/>
      <c r="I21" s="3211"/>
      <c r="J21" s="3165"/>
      <c r="K21" s="3211" t="s">
        <v>2826</v>
      </c>
      <c r="L21" s="3211"/>
      <c r="M21" s="3211"/>
      <c r="N21" s="3211"/>
      <c r="O21" s="3211"/>
      <c r="P21" s="3211"/>
      <c r="Q21" s="3165"/>
      <c r="R21" s="3913" t="s">
        <v>2827</v>
      </c>
      <c r="S21" s="3914"/>
      <c r="T21" s="3914"/>
      <c r="U21" s="3914"/>
      <c r="V21" s="3914"/>
      <c r="W21" s="3914"/>
      <c r="X21" s="3165"/>
      <c r="Y21" s="3913" t="s">
        <v>2828</v>
      </c>
      <c r="Z21" s="3914"/>
      <c r="AA21" s="3914"/>
      <c r="AB21" s="3914"/>
      <c r="AC21" s="3914"/>
      <c r="AD21" s="3914"/>
    </row>
    <row r="22" spans="1:30" s="3143" customFormat="1" ht="14.25" thickBot="1">
      <c r="B22" s="3144"/>
      <c r="C22" s="3145"/>
      <c r="D22" s="3146" t="s">
        <v>2829</v>
      </c>
      <c r="E22" s="3147" t="s">
        <v>2830</v>
      </c>
      <c r="F22" s="3147" t="s">
        <v>2831</v>
      </c>
      <c r="G22" s="3147" t="s">
        <v>2832</v>
      </c>
      <c r="H22" s="3147"/>
      <c r="I22" s="3147" t="s">
        <v>2833</v>
      </c>
      <c r="J22" s="3148"/>
      <c r="K22" s="3146" t="s">
        <v>2829</v>
      </c>
      <c r="L22" s="3147" t="s">
        <v>2830</v>
      </c>
      <c r="M22" s="3147" t="s">
        <v>2831</v>
      </c>
      <c r="N22" s="3147" t="s">
        <v>2832</v>
      </c>
      <c r="O22" s="3147"/>
      <c r="P22" s="3147" t="s">
        <v>2833</v>
      </c>
      <c r="Q22" s="3148"/>
      <c r="R22" s="3146" t="s">
        <v>2829</v>
      </c>
      <c r="S22" s="3147" t="s">
        <v>2830</v>
      </c>
      <c r="T22" s="3147" t="s">
        <v>2831</v>
      </c>
      <c r="U22" s="3147" t="s">
        <v>2832</v>
      </c>
      <c r="V22" s="3147"/>
      <c r="W22" s="3147" t="s">
        <v>2833</v>
      </c>
      <c r="X22" s="3148"/>
      <c r="Y22" s="3146" t="s">
        <v>2829</v>
      </c>
      <c r="Z22" s="3147" t="s">
        <v>2830</v>
      </c>
      <c r="AA22" s="3147" t="s">
        <v>2831</v>
      </c>
      <c r="AB22" s="3147" t="s">
        <v>2832</v>
      </c>
      <c r="AC22" s="3147"/>
      <c r="AD22" s="3147" t="s">
        <v>2833</v>
      </c>
    </row>
    <row r="23" spans="1:30" s="3161" customFormat="1" ht="12.75">
      <c r="A23" s="3149" t="s">
        <v>2834</v>
      </c>
      <c r="B23" s="3150"/>
      <c r="C23" s="3151"/>
      <c r="D23" s="3151"/>
      <c r="E23" s="3151">
        <f t="shared" ref="E23:G23" si="22">ROUND(AVERAGEIF(E24:E36,"&lt;&gt;0"),2)</f>
        <v>0.42</v>
      </c>
      <c r="F23" s="3151">
        <f t="shared" si="22"/>
        <v>0.3</v>
      </c>
      <c r="G23" s="3151">
        <f t="shared" si="22"/>
        <v>0.73</v>
      </c>
      <c r="H23" s="3151"/>
      <c r="I23" s="3151">
        <f>F23</f>
        <v>0.3</v>
      </c>
      <c r="J23" s="3152"/>
      <c r="K23" s="3153"/>
      <c r="L23" s="3154">
        <f t="shared" ref="L23:N23" si="23">ROUND(AVERAGEIF(L24:L36,"&lt;&gt;0"),4)</f>
        <v>4.1999999999999997E-3</v>
      </c>
      <c r="M23" s="3154">
        <f t="shared" si="23"/>
        <v>3.0000000000000001E-3</v>
      </c>
      <c r="N23" s="3154">
        <f t="shared" si="23"/>
        <v>7.3000000000000001E-3</v>
      </c>
      <c r="O23" s="3154"/>
      <c r="P23" s="3154">
        <f>M23</f>
        <v>3.0000000000000001E-3</v>
      </c>
      <c r="Q23" s="3152"/>
      <c r="R23" s="3155"/>
      <c r="S23" s="3156">
        <f>ROUND(SUMPRODUCT(PRODUCT(1+L24:L36)),4)</f>
        <v>1.038</v>
      </c>
      <c r="T23" s="3156">
        <f t="shared" ref="T23:U23" si="24">ROUND(SUMPRODUCT(PRODUCT(1+M24:M36)),4)</f>
        <v>1.0273000000000001</v>
      </c>
      <c r="U23" s="3156">
        <f t="shared" si="24"/>
        <v>1.0677000000000001</v>
      </c>
      <c r="V23" s="3156"/>
      <c r="W23" s="3155">
        <f>T23</f>
        <v>1.0273000000000001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3369</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ROUND(IF([3]项目基本情况!$B$8="出让",SUMPRODUCT(PRODUCT(1+L25:L$36)),SUMPRODUCT(PRODUCT(1+L25:L$35))),4)</f>
        <v>1.0344</v>
      </c>
      <c r="T25" s="3183">
        <f>ROUND(IF([3]项目基本情况!$B$8="出让",SUMPRODUCT(PRODUCT(1+M25:M$36)),SUMPRODUCT(PRODUCT(1+M25:M$35))),4)</f>
        <v>1.0224</v>
      </c>
      <c r="U25" s="3183">
        <f>ROUND(IF([3]项目基本情况!$B$8="出让",SUMPRODUCT(PRODUCT(1+N25:N$36)),SUMPRODUCT(PRODUCT(1+N25:N$35))),4)</f>
        <v>1.0573999999999999</v>
      </c>
      <c r="V25" s="3183"/>
      <c r="W25" s="3183">
        <f>T25</f>
        <v>1.0224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3370</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ROUND(IF([3]项目基本情况!$B$8="出让",SUMPRODUCT(PRODUCT(1+L26:L$36)),SUMPRODUCT(PRODUCT(1+L26:L$35))),4)</f>
        <v>1.0344</v>
      </c>
      <c r="T26" s="3183">
        <f>ROUND(IF([3]项目基本情况!$B$8="出让",SUMPRODUCT(PRODUCT(1+M26:M$36)),SUMPRODUCT(PRODUCT(1+M26:M$35))),4)</f>
        <v>1.0224</v>
      </c>
      <c r="U26" s="3183">
        <f>ROUND(IF([3]项目基本情况!$B$8="出让",SUMPRODUCT(PRODUCT(1+N26:N$36)),SUMPRODUCT(PRODUCT(1+N26:N$35))),4)</f>
        <v>1.0573999999999999</v>
      </c>
      <c r="V26" s="3183"/>
      <c r="W26" s="3183">
        <f t="shared" ref="W26:W28" si="32">T26</f>
        <v>1.0224</v>
      </c>
      <c r="X26" s="3181"/>
      <c r="Y26" s="3184"/>
      <c r="Z26" s="3212"/>
      <c r="AA26" s="3449"/>
      <c r="AB26" s="3449"/>
      <c r="AC26" s="3213"/>
      <c r="AD26" s="3184"/>
    </row>
    <row r="27" spans="1:30" s="3185" customFormat="1" ht="12.75">
      <c r="A27" s="3176" t="s">
        <v>3368</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ROUND(IF([3]项目基本情况!$B$8="出让",SUMPRODUCT(PRODUCT(1+L27:L$36)),SUMPRODUCT(PRODUCT(1+L27:L$35))),4)</f>
        <v>1.0344</v>
      </c>
      <c r="T27" s="3183">
        <f>ROUND(IF([3]项目基本情况!$B$8="出让",SUMPRODUCT(PRODUCT(1+M27:M$36)),SUMPRODUCT(PRODUCT(1+M27:M$35))),4)</f>
        <v>1.0224</v>
      </c>
      <c r="U27" s="3183">
        <f>ROUND(IF([3]项目基本情况!$B$8="出让",SUMPRODUCT(PRODUCT(1+N27:N$36)),SUMPRODUCT(PRODUCT(1+N27:N$35))),4)</f>
        <v>1.0573999999999999</v>
      </c>
      <c r="V27" s="3183"/>
      <c r="W27" s="3183">
        <f t="shared" si="32"/>
        <v>1.0224</v>
      </c>
      <c r="X27" s="3181"/>
      <c r="Y27" s="3184"/>
      <c r="Z27" s="3212"/>
      <c r="AA27" s="3449"/>
      <c r="AB27" s="3449"/>
      <c r="AC27" s="3213"/>
      <c r="AD27" s="3184"/>
    </row>
    <row r="28" spans="1:30" s="3195" customFormat="1" ht="12.75">
      <c r="A28" s="3186" t="s">
        <v>3371</v>
      </c>
      <c r="B28" s="3187">
        <v>2023</v>
      </c>
      <c r="C28" s="3188">
        <v>1</v>
      </c>
      <c r="D28" s="3189"/>
      <c r="E28" s="3189">
        <v>0.55000000000000004</v>
      </c>
      <c r="F28" s="3189">
        <v>0.59</v>
      </c>
      <c r="G28" s="3189">
        <v>0.64</v>
      </c>
      <c r="H28" s="3190"/>
      <c r="I28" s="3191">
        <f t="shared" si="26"/>
        <v>0.59</v>
      </c>
      <c r="J28" s="3192"/>
      <c r="K28" s="3193"/>
      <c r="L28" s="3194">
        <f t="shared" si="28"/>
        <v>5.5000000000000005E-3</v>
      </c>
      <c r="M28" s="3194">
        <f t="shared" si="29"/>
        <v>5.8999999999999999E-3</v>
      </c>
      <c r="N28" s="3194">
        <f t="shared" si="30"/>
        <v>6.4000000000000003E-3</v>
      </c>
      <c r="O28" s="3194"/>
      <c r="P28" s="3194">
        <f t="shared" si="31"/>
        <v>5.8999999999999999E-3</v>
      </c>
      <c r="Q28" s="3192"/>
      <c r="R28" s="3192"/>
      <c r="S28" s="3192">
        <f>ROUND(IF([3]项目基本情况!$B$8="出让",SUMPRODUCT(PRODUCT(1+L28:L$36)),SUMPRODUCT(PRODUCT(1+L28:L$35))),4)</f>
        <v>1.0344</v>
      </c>
      <c r="T28" s="3192">
        <f>ROUND(IF([3]项目基本情况!$B$8="出让",SUMPRODUCT(PRODUCT(1+M28:M$36)),SUMPRODUCT(PRODUCT(1+M28:M$35))),4)</f>
        <v>1.0224</v>
      </c>
      <c r="U28" s="3192">
        <f>ROUND(IF([3]项目基本情况!$B$8="出让",SUMPRODUCT(PRODUCT(1+N28:N$36)),SUMPRODUCT(PRODUCT(1+N28:N$35))),4)</f>
        <v>1.0573999999999999</v>
      </c>
      <c r="V28" s="3192"/>
      <c r="W28" s="3192">
        <f t="shared" si="32"/>
        <v>1.0224</v>
      </c>
      <c r="X28" s="3192"/>
      <c r="Y28" s="3194"/>
      <c r="Z28" s="3215"/>
      <c r="AA28" s="3216"/>
      <c r="AB28" s="3194"/>
      <c r="AC28" s="3217"/>
      <c r="AD28" s="3194"/>
    </row>
    <row r="29" spans="1:30" s="3185" customFormat="1" ht="12.75">
      <c r="A29" s="3176" t="s">
        <v>3372</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ROUND(IF([3]项目基本情况!$B$8="出让",SUMPRODUCT(PRODUCT(1+L29:L$36)),SUMPRODUCT(PRODUCT(1+L29:L$35))),4)</f>
        <v>1.0286999999999999</v>
      </c>
      <c r="T29" s="3183">
        <f>ROUND(IF([3]项目基本情况!$B$8="出让",SUMPRODUCT(PRODUCT(1+M29:M$36)),SUMPRODUCT(PRODUCT(1+M29:M$35))),4)</f>
        <v>1.0164</v>
      </c>
      <c r="U29" s="3183">
        <f>ROUND(IF([3]项目基本情况!$B$8="出让",SUMPRODUCT(PRODUCT(1+N29:N$36)),SUMPRODUCT(PRODUCT(1+N29:N$35))),4)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3365</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ROUND(IF([3]项目基本情况!$B$8="出让",SUMPRODUCT(PRODUCT(1+L30:L$36)),SUMPRODUCT(PRODUCT(1+L30:L$35))),4)</f>
        <v>1.0241</v>
      </c>
      <c r="T30" s="3183">
        <f>ROUND(IF([3]项目基本情况!$B$8="出让",SUMPRODUCT(PRODUCT(1+M30:M$36)),SUMPRODUCT(PRODUCT(1+M30:M$35))),4)</f>
        <v>1.0144</v>
      </c>
      <c r="U30" s="3183">
        <f>ROUND(IF([3]项目基本情况!$B$8="出让",SUMPRODUCT(PRODUCT(1+N30:N$36)),SUMPRODUCT(PRODUCT(1+N30:N$35))),4)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3355</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ROUND(IF([3]项目基本情况!$B$8="出让",SUMPRODUCT(PRODUCT(1+L31:L$36)),SUMPRODUCT(PRODUCT(1+L31:L$35))),4)</f>
        <v>1.0210999999999999</v>
      </c>
      <c r="T31" s="3183">
        <f>ROUND(IF([3]项目基本情况!$B$8="出让",SUMPRODUCT(PRODUCT(1+M31:M$36)),SUMPRODUCT(PRODUCT(1+M31:M$35))),4)</f>
        <v>1.0114000000000001</v>
      </c>
      <c r="U31" s="3183">
        <f>ROUND(IF([3]项目基本情况!$B$8="出让",SUMPRODUCT(PRODUCT(1+N31:N$36)),SUMPRODUCT(PRODUCT(1+N31:N$35))),4)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2835</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ROUND(IF([3]项目基本情况!$B$8="出让",SUMPRODUCT(PRODUCT(1+L32:L$36)),SUMPRODUCT(PRODUCT(1+L32:L$35))),4)</f>
        <v>1.0222</v>
      </c>
      <c r="T32" s="3183">
        <f>ROUND(IF([3]项目基本情况!$B$8="出让",SUMPRODUCT(PRODUCT(1+M32:M$36)),SUMPRODUCT(PRODUCT(1+M32:M$35))),4)</f>
        <v>1.0127999999999999</v>
      </c>
      <c r="U32" s="3183">
        <f>ROUND(IF([3]项目基本情况!$B$8="出让",SUMPRODUCT(PRODUCT(1+N32:N$36)),SUMPRODUCT(PRODUCT(1+N32:N$35))),4)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2836</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ROUND(IF([3]项目基本情况!$B$8="出让",SUMPRODUCT(PRODUCT(1+L33:L$36)),SUMPRODUCT(PRODUCT(1+L33:L$35))),4)</f>
        <v>1.0161</v>
      </c>
      <c r="T33" s="3183">
        <f>ROUND(IF([3]项目基本情况!$B$8="出让",SUMPRODUCT(PRODUCT(1+M33:M$36)),SUMPRODUCT(PRODUCT(1+M33:M$35))),4)</f>
        <v>1.0082</v>
      </c>
      <c r="U33" s="3183">
        <f>ROUND(IF([3]项目基本情况!$B$8="出让",SUMPRODUCT(PRODUCT(1+N33:N$36)),SUMPRODUCT(PRODUCT(1+N33:N$35))),4)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2837</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ROUND(IF([3]项目基本情况!$B$8="出让",SUMPRODUCT(PRODUCT(1+L34:L$36)),SUMPRODUCT(PRODUCT(1+L34:L$35))),4)</f>
        <v>1.0102</v>
      </c>
      <c r="T34" s="3183">
        <f>ROUND(IF([3]项目基本情况!$B$8="出让",SUMPRODUCT(PRODUCT(1+M34:M$36)),SUMPRODUCT(PRODUCT(1+M34:M$35))),4)</f>
        <v>1.0074000000000001</v>
      </c>
      <c r="U34" s="3183">
        <f>ROUND(IF([3]项目基本情况!$B$8="出让",SUMPRODUCT(PRODUCT(1+N34:N$36)),SUMPRODUCT(PRODUCT(1+N34:N$35))),4)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2838</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ROUND(IF([3]项目基本情况!$B$8="出让",SUMPRODUCT(PRODUCT(1+L35:L$36)),SUMPRODUCT(PRODUCT(1+L35:L$35))),4)</f>
        <v>1.0055000000000001</v>
      </c>
      <c r="T35" s="3183">
        <f>ROUND(IF([3]项目基本情况!$B$8="出让",SUMPRODUCT(PRODUCT(1+M35:M$36)),SUMPRODUCT(PRODUCT(1+M35:M$35))),4)</f>
        <v>1.0045999999999999</v>
      </c>
      <c r="U35" s="3183">
        <f>ROUND(IF([3]项目基本情况!$B$8="出让",SUMPRODUCT(PRODUCT(1+N35:N$36)),SUMPRODUCT(PRODUCT(1+N35:N$35))),4)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2823</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920" t="s">
        <v>452</v>
      </c>
      <c r="C1" s="3920"/>
      <c r="D1" s="3920"/>
      <c r="E1" s="3920"/>
      <c r="F1" s="3920"/>
      <c r="G1" s="3916" t="s">
        <v>453</v>
      </c>
      <c r="H1" s="3916"/>
      <c r="I1" s="3916"/>
      <c r="J1" s="3916"/>
      <c r="K1" s="3916"/>
      <c r="L1" s="3916"/>
      <c r="N1" s="3916" t="s">
        <v>454</v>
      </c>
      <c r="O1" s="3916"/>
      <c r="P1" s="3916"/>
      <c r="Q1" s="3916"/>
      <c r="S1" s="3916" t="s">
        <v>455</v>
      </c>
      <c r="T1" s="3916"/>
      <c r="U1" s="3916"/>
      <c r="V1" s="3916"/>
      <c r="X1" s="3915" t="s">
        <v>456</v>
      </c>
      <c r="Y1" s="3916"/>
      <c r="Z1" s="3916"/>
      <c r="AA1" s="3916"/>
      <c r="AB1" s="3916"/>
      <c r="AD1" s="3915" t="s">
        <v>457</v>
      </c>
      <c r="AE1" s="3916"/>
      <c r="AF1" s="3916"/>
      <c r="AG1" s="3916"/>
      <c r="AH1" s="3916"/>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2112</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3363</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3360</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2113</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3361</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3362</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2435</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2312</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2311</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2310</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2308</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2307</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2128</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2126</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2125</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2124</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2122</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2121</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2123</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91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2119</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91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2118</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91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2111</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925"/>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2109</v>
      </c>
      <c r="B25" s="2220">
        <v>439</v>
      </c>
      <c r="C25" s="2220">
        <v>327</v>
      </c>
      <c r="D25" s="2220">
        <f>C25</f>
        <v>327</v>
      </c>
      <c r="E25" s="2220">
        <v>627</v>
      </c>
      <c r="F25" s="2221">
        <v>283</v>
      </c>
      <c r="G25" s="3921">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2110</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91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91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925"/>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921">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91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91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91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91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91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91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91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91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91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91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91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922">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923"/>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923"/>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924"/>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91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91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91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91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91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91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91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91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91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91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91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91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91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91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91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91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91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91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91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91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91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91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91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91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91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91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91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91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91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91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91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91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91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91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91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91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91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91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91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91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91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91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91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91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45033</v>
      </c>
      <c r="D1" s="1302" t="s">
        <v>603</v>
      </c>
      <c r="E1" s="1297">
        <f>'数据-取费表'!B22</f>
        <v>1</v>
      </c>
      <c r="F1" s="1302" t="s">
        <v>604</v>
      </c>
      <c r="G1" s="1298">
        <f ca="1">INDIRECT("d"&amp;$K$1)/100</f>
        <v>3.6499999999999998E-2</v>
      </c>
      <c r="H1" s="1302" t="s">
        <v>634</v>
      </c>
      <c r="I1" s="1298">
        <f ca="1">F4/100</f>
        <v>1.4999999999999999E-2</v>
      </c>
      <c r="J1" s="1303">
        <f>IF(C1&gt;C13,0,MATCH(C1,C$13:C$109,-1))+IF(SUMIF(C13:C109,C1,D13:D109)=0,13,12)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2309</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166</vt:i4>
      </vt:variant>
    </vt:vector>
  </HeadingPairs>
  <TitlesOfParts>
    <vt:vector size="21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面积明细表</vt:lpstr>
      <vt:lpstr>典型户型修正</vt:lpstr>
      <vt:lpstr>比较法-办公租金</vt:lpstr>
      <vt:lpstr>结果一览表-首开广场</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比较法-办公售价</vt:lpstr>
      <vt:lpstr>成本法 (元)</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案例</vt:lpstr>
      <vt:lpstr>区片价</vt:lpstr>
      <vt:lpstr>因素修正幅度</vt:lpstr>
      <vt:lpstr>区片价（范围）</vt:lpstr>
      <vt:lpstr>地价-分区</vt:lpstr>
      <vt:lpstr>地价</vt:lpstr>
      <vt:lpstr>存贷款利率</vt:lpstr>
      <vt:lpstr>'比较法-办公售价'!Print_Area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'比较法-办公售价'!办公层高</vt:lpstr>
      <vt:lpstr>办公层高</vt:lpstr>
      <vt:lpstr>'比较法-办公售价'!办公朝向</vt:lpstr>
      <vt:lpstr>办公朝向</vt:lpstr>
      <vt:lpstr>'比较法-办公售价'!办公道路级别</vt:lpstr>
      <vt:lpstr>办公道路级别</vt:lpstr>
      <vt:lpstr>'比较法-办公售价'!办公公共部分装修</vt:lpstr>
      <vt:lpstr>办公公共部分装修</vt:lpstr>
      <vt:lpstr>'比较法-办公售价'!办公基础设施水平</vt:lpstr>
      <vt:lpstr>办公基础设施水平</vt:lpstr>
      <vt:lpstr>办公集聚程度</vt:lpstr>
      <vt:lpstr>'比较法-办公售价'!办公建筑结构</vt:lpstr>
      <vt:lpstr>办公建筑结构</vt:lpstr>
      <vt:lpstr>'比较法-办公售价'!办公建筑类型</vt:lpstr>
      <vt:lpstr>办公建筑类型</vt:lpstr>
      <vt:lpstr>'比较法-办公售价'!办公交易情况</vt:lpstr>
      <vt:lpstr>办公交易情况</vt:lpstr>
      <vt:lpstr>'比较法-办公售价'!办公楼层</vt:lpstr>
      <vt:lpstr>办公楼层</vt:lpstr>
      <vt:lpstr>'比较法-办公售价'!办公内部装修</vt:lpstr>
      <vt:lpstr>办公内部装修</vt:lpstr>
      <vt:lpstr>'比较法-办公售价'!办公物业管理</vt:lpstr>
      <vt:lpstr>办公物业管理</vt:lpstr>
      <vt:lpstr>'比较法-办公售价'!办公用途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'比较法-办公售价'!写字楼等级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2023-05-22T02:37:19Z</dcterms:modified>
</cp:coreProperties>
</file>