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50" windowHeight="99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成本法" sheetId="68"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土地案例" sheetId="82" r:id="rId43"/>
    <sheet name="出租案例" sheetId="84" r:id="rId44"/>
    <sheet name="Sheet2" sheetId="83"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套工工程地质条件">'[3]比较法-工业'!$B$116:$M$116</definedName>
    <definedName name="套工开发程度">'[3]比较法-工业'!$B$114:$M$114</definedName>
    <definedName name="套工临街等级">'[3]比较法-工业'!$B$99:$M$99</definedName>
    <definedName name="用途类型">[3]定义!$A$1:$A$50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<sst xmlns="http://schemas.openxmlformats.org/spreadsheetml/2006/main" count="8493" uniqueCount="2966">
  <si>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</si>
  <si>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</si>
  <si>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</si>
  <si>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</si>
  <si>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</si>
  <si>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</si>
  <si>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</si>
  <si>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</si>
  <si>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</si>
  <si>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</si>
  <si>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</si>
  <si>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</si>
  <si>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</si>
  <si>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</si>
  <si>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</si>
  <si>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</si>
  <si>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</si>
  <si>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</si>
  <si>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</si>
  <si>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</si>
  <si>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</si>
  <si>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</si>
  <si>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</si>
  <si>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</si>
  <si>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</si>
  <si>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</si>
  <si>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</si>
  <si>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</si>
  <si>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</si>
  <si>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</si>
  <si>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</si>
  <si>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</si>
  <si>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</si>
  <si>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</si>
  <si>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</si>
  <si>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</si>
  <si>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</si>
  <si>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</si>
  <si>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</si>
  <si>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</si>
  <si>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</si>
  <si>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</si>
  <si>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</si>
  <si>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</si>
  <si>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</si>
  <si>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</si>
  <si>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</si>
  <si>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</si>
  <si>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</si>
  <si>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</si>
  <si>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</si>
  <si>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</si>
  <si>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</si>
  <si>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</si>
  <si>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</si>
  <si>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</si>
  <si>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</si>
  <si>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</si>
  <si>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</si>
  <si>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</si>
  <si>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</si>
  <si>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</si>
  <si>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</si>
  <si>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</si>
  <si>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</si>
  <si>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</si>
  <si>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</si>
  <si>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</si>
  <si>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</si>
  <si>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</si>
  <si>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</si>
  <si>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</si>
  <si>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</si>
  <si>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</si>
  <si>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</si>
  <si>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</si>
  <si>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</si>
  <si>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</si>
  <si>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</si>
  <si>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</si>
  <si>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</si>
  <si>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</si>
  <si>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</si>
  <si>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</si>
  <si>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</si>
  <si>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</si>
  <si>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</si>
  <si>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</si>
  <si>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</si>
  <si>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</si>
  <si>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</si>
  <si>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</si>
  <si>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</si>
  <si>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</si>
  <si>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</si>
  <si>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</si>
  <si>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</si>
  <si>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</si>
  <si>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</si>
  <si>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</si>
  <si>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</si>
  <si>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</si>
  <si>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</si>
  <si>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</si>
  <si>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</si>
  <si>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</si>
  <si>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</si>
  <si>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</si>
  <si>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</si>
  <si>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</si>
  <si>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</si>
  <si>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</si>
  <si>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</si>
  <si>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</si>
  <si>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</si>
  <si>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</si>
  <si>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</si>
  <si>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</si>
  <si>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</si>
  <si>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</si>
  <si>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</si>
  <si>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</si>
  <si>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</si>
  <si>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</si>
  <si>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</si>
  <si>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</si>
  <si>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</si>
  <si>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</si>
  <si>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</si>
  <si>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</si>
  <si>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</si>
  <si>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</si>
  <si>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</si>
  <si>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</si>
  <si>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</si>
  <si>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</si>
  <si>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</si>
  <si>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</si>
  <si>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</si>
  <si>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</si>
  <si>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</si>
  <si>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</si>
  <si>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</si>
  <si>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</si>
  <si>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</si>
  <si>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</si>
  <si>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</si>
  <si>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</si>
  <si>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</si>
  <si>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</si>
  <si>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</si>
  <si>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</si>
  <si>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</si>
  <si>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</si>
  <si>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</si>
  <si>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</si>
  <si>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</si>
  <si>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</si>
  <si>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</si>
  <si>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</si>
  <si>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</si>
  <si>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</si>
  <si>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</si>
  <si>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</si>
  <si>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</si>
  <si>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</si>
  <si>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</si>
  <si>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</si>
  <si>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</si>
  <si>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</si>
  <si>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</si>
  <si>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</si>
  <si>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</si>
  <si>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</si>
  <si>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</si>
  <si>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</si>
  <si>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</si>
  <si>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</si>
  <si>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</si>
  <si>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</si>
  <si>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</si>
  <si>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</si>
  <si>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</si>
  <si>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</si>
  <si>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</si>
  <si>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</si>
  <si>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</si>
  <si>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</si>
  <si>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</si>
  <si>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</si>
  <si>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</si>
  <si>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</si>
  <si>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</si>
  <si>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</si>
  <si>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</si>
  <si>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</si>
  <si>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</si>
  <si>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</si>
  <si>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</si>
  <si>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</si>
  <si>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</si>
  <si>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</si>
  <si>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</si>
  <si>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</si>
  <si>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</si>
  <si>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</si>
  <si>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</si>
  <si>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</si>
  <si>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</si>
  <si>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</si>
  <si>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</si>
  <si>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</si>
  <si>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</si>
  <si>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</si>
  <si>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</si>
  <si>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</si>
  <si>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</si>
  <si>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</si>
  <si>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</si>
  <si>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</si>
  <si>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</si>
  <si>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</si>
  <si>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</si>
  <si>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</si>
  <si>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</si>
  <si>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</si>
  <si>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</si>
  <si>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</si>
  <si>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</si>
  <si>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</si>
  <si>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</si>
  <si>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</si>
  <si>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</si>
  <si>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</si>
  <si>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</si>
  <si>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</si>
  <si>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</si>
  <si>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</si>
  <si>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</si>
  <si>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</si>
  <si>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</si>
  <si>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</si>
  <si>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</si>
  <si>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</si>
  <si>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</si>
  <si>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</si>
  <si>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</si>
  <si>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</si>
  <si>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</si>
  <si>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</si>
  <si>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</si>
  <si>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</si>
  <si>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</si>
  <si>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</si>
  <si>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</si>
  <si>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</si>
  <si>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</si>
  <si>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</si>
  <si>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</si>
  <si>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</si>
  <si>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</si>
  <si>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</si>
  <si>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</si>
  <si>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</si>
  <si>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</si>
  <si>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</si>
  <si>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</si>
  <si>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</si>
  <si>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</si>
  <si>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</si>
  <si>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</si>
  <si>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</si>
  <si>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</si>
  <si>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</si>
  <si>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</si>
  <si>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</si>
  <si>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</si>
  <si>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</si>
  <si>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</si>
  <si>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</si>
  <si>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</si>
  <si>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</si>
  <si>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</si>
  <si>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</si>
  <si>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</si>
  <si>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</si>
  <si>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</si>
  <si>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</si>
  <si>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</si>
  <si>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</si>
  <si>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</si>
  <si>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</si>
  <si>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</si>
  <si>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</si>
  <si>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</si>
  <si>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</si>
  <si>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</si>
  <si>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</si>
  <si>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</si>
  <si>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</si>
  <si>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</si>
  <si>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</si>
  <si>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</si>
  <si>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</si>
  <si>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</si>
  <si>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</si>
  <si>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</si>
  <si>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</si>
  <si>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</si>
  <si>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</si>
  <si>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</si>
  <si>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</si>
  <si>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</si>
  <si>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</si>
  <si>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</si>
  <si>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</si>
  <si>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</si>
  <si>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</si>
  <si>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</si>
  <si>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</si>
  <si>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</si>
  <si>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</si>
  <si>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</si>
  <si>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</si>
  <si>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</si>
  <si>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</si>
  <si>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</si>
  <si>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</si>
  <si>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</si>
  <si>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</si>
  <si>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</si>
  <si>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</si>
  <si>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</si>
  <si>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</si>
  <si>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</si>
  <si>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</si>
  <si>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</si>
  <si>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</si>
  <si>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</si>
  <si>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</si>
  <si>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</si>
  <si>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</si>
  <si>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</si>
  <si>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</si>
  <si>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</si>
  <si>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</si>
  <si>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</si>
  <si>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</si>
  <si>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</si>
  <si>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</si>
  <si>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</si>
  <si>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</si>
  <si>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</si>
  <si>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</si>
  <si>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</si>
  <si>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</si>
  <si>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</si>
  <si>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</si>
  <si>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</si>
  <si>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</si>
  <si>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</si>
  <si>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</si>
  <si>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</si>
  <si>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</si>
  <si>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</si>
  <si>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</si>
  <si>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</si>
  <si>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</si>
  <si>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</si>
  <si>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</si>
  <si>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</si>
  <si>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</si>
  <si>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</si>
  <si>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</si>
  <si>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</si>
  <si>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</si>
  <si>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</si>
  <si>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</si>
  <si>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</si>
  <si>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</si>
  <si>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</si>
  <si>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</si>
  <si>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</si>
  <si>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</si>
  <si>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</si>
  <si>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</si>
  <si>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</si>
  <si>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</si>
  <si>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</si>
  <si>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</si>
  <si>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</si>
  <si>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</si>
  <si>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</si>
  <si>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</si>
  <si>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</si>
  <si>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</si>
  <si>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</si>
  <si>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</si>
  <si>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</si>
  <si>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</si>
  <si>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</si>
  <si>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</si>
  <si>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</si>
  <si>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</si>
  <si>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</si>
  <si>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</si>
  <si>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</si>
  <si>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</si>
  <si>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</si>
  <si>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</si>
  <si>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</si>
  <si>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</si>
  <si>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</si>
  <si>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</si>
  <si>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</si>
  <si>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</si>
  <si>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</si>
  <si>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</si>
  <si>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</si>
  <si>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</si>
  <si>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</si>
  <si>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</si>
  <si>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</si>
  <si>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</si>
  <si>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</si>
  <si>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</si>
  <si>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</si>
  <si>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</si>
  <si>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</si>
  <si>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</si>
  <si>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</si>
  <si>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</si>
  <si>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</si>
  <si>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</si>
  <si>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</si>
  <si>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</si>
  <si>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</si>
  <si>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</si>
  <si>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</si>
  <si>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</si>
  <si>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</si>
  <si>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</si>
  <si>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</si>
  <si>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</si>
  <si>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</si>
  <si>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</si>
  <si>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</si>
  <si>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</si>
  <si>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</si>
  <si>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</si>
  <si>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</si>
  <si>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</si>
  <si>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</si>
  <si>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</si>
  <si>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</si>
  <si>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</si>
  <si>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</si>
  <si>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</si>
  <si>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</si>
  <si>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</si>
  <si>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</si>
  <si>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</si>
  <si>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</si>
  <si>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</si>
  <si>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</si>
  <si>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</si>
  <si>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</si>
  <si>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</si>
  <si>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</si>
  <si>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</si>
  <si>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</si>
  <si>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</si>
  <si>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</si>
  <si>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</si>
  <si>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</si>
  <si>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</si>
  <si>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</si>
  <si>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</si>
  <si>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</si>
  <si>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</si>
  <si>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</si>
  <si>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</si>
  <si>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</si>
  <si>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</si>
  <si>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</si>
  <si>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</si>
  <si>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</si>
  <si>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</si>
  <si>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</si>
  <si>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</si>
  <si>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</si>
  <si>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</si>
  <si>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</si>
  <si>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</si>
  <si>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</si>
  <si>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</si>
  <si>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</si>
  <si>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</si>
  <si>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</si>
  <si>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</si>
  <si>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</si>
  <si>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</si>
  <si>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</si>
  <si>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</si>
  <si>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</si>
  <si>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</si>
  <si>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</si>
  <si>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</si>
  <si>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</si>
  <si>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</si>
  <si>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</si>
  <si>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</si>
  <si>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</si>
  <si>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</si>
  <si>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</si>
  <si>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</si>
  <si>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</si>
  <si>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</si>
  <si>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</si>
  <si>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</si>
  <si>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</si>
  <si>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</si>
  <si>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</si>
  <si>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</si>
  <si>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</si>
  <si>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</si>
  <si>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</si>
  <si>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</si>
  <si>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</si>
  <si>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</si>
  <si>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</si>
  <si>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</si>
  <si>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</si>
  <si>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</si>
  <si>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</si>
  <si>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</si>
  <si>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</si>
  <si>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</si>
  <si>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</si>
  <si>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</si>
  <si>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</si>
  <si>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</si>
  <si>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</si>
  <si>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</si>
  <si>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</si>
  <si>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</si>
  <si>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</si>
  <si>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</si>
  <si>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</si>
  <si>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</si>
  <si>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</si>
  <si>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</si>
  <si>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</si>
  <si>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</si>
  <si>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</si>
  <si>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</si>
  <si>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</si>
  <si>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</si>
  <si>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</si>
  <si>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</si>
  <si>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</si>
  <si>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</si>
  <si>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</si>
  <si>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</si>
  <si>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</si>
  <si>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</si>
  <si>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</si>
  <si>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</si>
  <si>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</si>
  <si>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</si>
  <si>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</si>
  <si>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</si>
  <si>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</si>
  <si>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</si>
  <si>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</si>
  <si>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</si>
  <si>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</si>
  <si>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</si>
  <si>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</si>
  <si>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</si>
  <si>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</si>
  <si>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</si>
  <si>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</si>
  <si>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</si>
  <si>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</si>
  <si>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</si>
  <si>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</si>
  <si>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</si>
  <si>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</si>
  <si>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</si>
  <si>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</si>
  <si>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</si>
  <si>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</si>
  <si>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</si>
  <si>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</si>
  <si>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</si>
  <si>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</si>
  <si>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</si>
  <si>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</si>
  <si>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</si>
  <si>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</si>
  <si>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</si>
  <si>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</si>
  <si>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</si>
  <si>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</si>
  <si>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</si>
  <si>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</si>
  <si>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</si>
  <si>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</si>
  <si>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</si>
  <si>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</si>
  <si>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</si>
  <si>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</si>
  <si>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</si>
  <si>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</si>
  <si>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</si>
  <si>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</si>
  <si>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</si>
  <si>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</si>
  <si>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</si>
  <si>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</si>
  <si>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</si>
  <si>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</si>
  <si>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</si>
  <si>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</si>
  <si>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</si>
  <si>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</si>
  <si>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</si>
  <si>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</si>
  <si>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</si>
  <si>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</si>
  <si>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</si>
  <si>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</si>
  <si>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</si>
  <si>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</si>
  <si>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</si>
  <si>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</si>
  <si>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</si>
  <si>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</si>
  <si>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</si>
  <si>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</si>
  <si>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</si>
  <si>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</si>
  <si>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</si>
  <si>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</si>
  <si>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</si>
  <si>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</si>
  <si>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</si>
  <si>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</si>
  <si>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</si>
  <si>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</si>
  <si>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</si>
  <si>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</si>
  <si>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</si>
  <si>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</si>
  <si>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</si>
  <si>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</si>
  <si>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</si>
  <si>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</si>
  <si>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</si>
  <si>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</si>
  <si>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</si>
  <si>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</si>
  <si>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</si>
  <si>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color rgb="FF000000"/>
        <rFont val="宋体"/>
        <charset val="134"/>
      </rPr>
      <t>地上</t>
    </r>
    <r>
      <rPr>
        <sz val="11"/>
        <color rgb="FF000000"/>
        <rFont val="Arial"/>
        <charset val="134"/>
      </rPr>
      <t>4</t>
    </r>
    <r>
      <rPr>
        <sz val="11"/>
        <color rgb="FF000000"/>
        <rFont val="宋体"/>
        <charset val="134"/>
      </rPr>
      <t>层</t>
    </r>
    <r>
      <rPr>
        <sz val="11"/>
        <color rgb="FF000000"/>
        <rFont val="Arial"/>
        <charset val="134"/>
      </rPr>
      <t>/</t>
    </r>
    <r>
      <rPr>
        <sz val="11"/>
        <color rgb="FF000000"/>
        <rFont val="宋体"/>
        <charset val="134"/>
      </rPr>
      <t>地下</t>
    </r>
    <r>
      <rPr>
        <sz val="11"/>
        <color rgb="FF000000"/>
        <rFont val="Arial"/>
        <charset val="134"/>
      </rPr>
      <t>2</t>
    </r>
    <r>
      <rPr>
        <sz val="11"/>
        <color rgb="FF000000"/>
        <rFont val="宋体"/>
        <charset val="134"/>
      </rPr>
      <t>层</t>
    </r>
  </si>
  <si>
    <r>
      <rPr>
        <sz val="11"/>
        <rFont val="宋体"/>
        <charset val="134"/>
      </rPr>
      <t>土地开发期</t>
    </r>
  </si>
  <si>
    <t>★默认为已完成的土地开发期★</t>
  </si>
  <si>
    <r>
      <rPr>
        <sz val="11"/>
        <color rgb="FF000000"/>
        <rFont val="宋体"/>
        <charset val="134"/>
      </rPr>
      <t>现已施工至</t>
    </r>
    <r>
      <rPr>
        <sz val="11"/>
        <color rgb="FF000000"/>
        <rFont val="Arial"/>
        <charset val="134"/>
      </rPr>
      <t>4</t>
    </r>
    <r>
      <rPr>
        <sz val="11"/>
        <color rgb="FF000000"/>
        <rFont val="宋体"/>
        <charset val="134"/>
      </rPr>
      <t>层顶板，预计</t>
    </r>
    <r>
      <rPr>
        <sz val="11"/>
        <color rgb="FF000000"/>
        <rFont val="Arial"/>
        <charset val="134"/>
      </rPr>
      <t>8</t>
    </r>
    <r>
      <rPr>
        <sz val="11"/>
        <color rgb="FF000000"/>
        <rFont val="宋体"/>
        <charset val="134"/>
      </rPr>
      <t>月初主体封顶，</t>
    </r>
    <r>
      <rPr>
        <sz val="11"/>
        <color rgb="FF000000"/>
        <rFont val="Arial"/>
        <charset val="134"/>
      </rPr>
      <t>11</t>
    </r>
    <r>
      <rPr>
        <sz val="11"/>
        <color rgb="FF000000"/>
        <rFont val="宋体"/>
        <charset val="134"/>
      </rPr>
      <t>月竣工验收</t>
    </r>
  </si>
  <si>
    <r>
      <rPr>
        <sz val="11"/>
        <rFont val="宋体"/>
        <charset val="134"/>
      </rPr>
      <t>建设期</t>
    </r>
  </si>
  <si>
    <r>
      <rPr>
        <sz val="11"/>
        <color rgb="FFFF0000"/>
        <rFont val="宋体"/>
        <charset val="134"/>
      </rPr>
      <t>包含未完成的红线外市政工程时间（如现状三通，开发完成后七通）</t>
    </r>
  </si>
  <si>
    <t>内部简单装修，水泥地面，墙面顶棚大白</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</si>
  <si>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</si>
  <si>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</si>
  <si>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</si>
  <si>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</si>
  <si>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</si>
  <si>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</si>
  <si>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</si>
  <si>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</si>
  <si>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</si>
  <si>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</si>
  <si>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</si>
  <si>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</si>
  <si>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</si>
  <si>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</si>
  <si>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</si>
  <si>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</si>
  <si>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</si>
  <si>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</si>
  <si>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</si>
  <si>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</si>
  <si>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</si>
  <si>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</si>
  <si>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</si>
  <si>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</si>
  <si>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</si>
  <si>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</si>
  <si>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</si>
  <si>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</si>
  <si>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</si>
  <si>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</si>
  <si>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</si>
  <si>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</si>
  <si>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</si>
  <si>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</si>
  <si>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</si>
  <si>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</si>
  <si>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</si>
  <si>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</si>
  <si>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</si>
  <si>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</si>
  <si>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</si>
  <si>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</si>
  <si>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</si>
  <si>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</si>
  <si>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</si>
  <si>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</si>
  <si>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</si>
  <si>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</si>
  <si>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</si>
  <si>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</si>
  <si>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</si>
  <si>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</si>
  <si>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</si>
  <si>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</si>
  <si>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</si>
  <si>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</si>
  <si>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</si>
  <si>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</si>
  <si>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</si>
  <si>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</si>
  <si>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</si>
  <si>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</si>
  <si>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</si>
  <si>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</si>
  <si>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</si>
  <si>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</si>
  <si>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</si>
  <si>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</si>
  <si>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</si>
  <si>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</si>
  <si>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</si>
  <si>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</si>
  <si>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</si>
  <si>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</si>
  <si>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</si>
  <si>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</si>
  <si>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</si>
  <si>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</si>
  <si>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</si>
  <si>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</si>
  <si>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</si>
  <si>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</si>
  <si>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</si>
  <si>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</si>
  <si>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</si>
  <si>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</si>
  <si>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</si>
  <si>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</si>
  <si>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</si>
  <si>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</si>
  <si>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</si>
  <si>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</si>
  <si>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</si>
  <si>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</si>
  <si>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</si>
  <si>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</si>
  <si>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</si>
  <si>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</si>
  <si>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</si>
  <si>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</si>
  <si>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</si>
  <si>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</si>
  <si>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</si>
  <si>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</si>
  <si>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</si>
  <si>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</si>
  <si>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</si>
  <si>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</si>
  <si>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</si>
  <si>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</si>
  <si>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</si>
  <si>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</si>
  <si>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</si>
  <si>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</si>
  <si>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</si>
  <si>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</si>
  <si>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建筑物</t>
  </si>
  <si>
    <t>加总</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</si>
  <si>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</si>
  <si>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</si>
  <si>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</si>
  <si>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</si>
  <si>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</si>
  <si>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</si>
  <si>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</si>
  <si>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</si>
  <si>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</si>
  <si>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</si>
  <si>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</si>
  <si>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</si>
  <si>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</si>
  <si>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</si>
  <si>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</si>
  <si>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</si>
  <si>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</si>
  <si>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</si>
  <si>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</si>
  <si>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</si>
  <si>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</si>
  <si>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</si>
  <si>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</si>
  <si>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</si>
  <si>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</si>
  <si>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</si>
  <si>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</si>
  <si>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</si>
  <si>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</si>
  <si>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</si>
  <si>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</si>
  <si>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</si>
  <si>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</si>
  <si>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</si>
  <si>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</si>
  <si>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</si>
  <si>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</si>
  <si>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</si>
  <si>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</si>
  <si>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</si>
  <si>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</si>
  <si>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</si>
  <si>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</si>
  <si>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</si>
  <si>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</si>
  <si>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</si>
  <si>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</si>
  <si>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</si>
  <si>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</si>
  <si>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</si>
  <si>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</si>
  <si>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</si>
  <si>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</si>
  <si>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</si>
  <si>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</si>
  <si>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</si>
  <si>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</si>
  <si>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</si>
  <si>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</si>
  <si>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</si>
  <si>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</si>
  <si>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</si>
  <si>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</si>
  <si>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</si>
  <si>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</si>
  <si>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</si>
  <si>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</si>
  <si>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</si>
  <si>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</si>
  <si>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</si>
  <si>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</si>
  <si>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</si>
  <si>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</si>
  <si>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</si>
  <si>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</si>
  <si>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</si>
  <si>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</si>
  <si>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</si>
  <si>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</si>
  <si>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</si>
  <si>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</si>
  <si>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</si>
  <si>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</si>
  <si>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</si>
  <si>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</si>
  <si>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</si>
  <si>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</si>
  <si>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</si>
  <si>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</si>
  <si>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</si>
  <si>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</si>
  <si>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</si>
  <si>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</si>
  <si>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</si>
  <si>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</si>
  <si>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</si>
  <si>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</si>
  <si>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</si>
  <si>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</si>
  <si>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</si>
  <si>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</si>
  <si>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</si>
  <si>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</si>
  <si>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</si>
  <si>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</si>
  <si>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</si>
  <si>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</si>
  <si>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</si>
  <si>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</si>
  <si>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</si>
  <si>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</si>
  <si>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</si>
  <si>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</si>
  <si>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</si>
  <si>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</si>
  <si>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</si>
  <si>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</si>
  <si>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</si>
  <si>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</si>
  <si>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</si>
  <si>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</si>
  <si>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</si>
  <si>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</si>
  <si>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</si>
  <si>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</si>
  <si>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</si>
  <si>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</si>
  <si>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</si>
  <si>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</si>
  <si>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</si>
  <si>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</si>
  <si>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</si>
  <si>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</si>
  <si>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</si>
  <si>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</si>
  <si>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</si>
  <si>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</si>
  <si>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</si>
  <si>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</si>
  <si>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</si>
  <si>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</si>
  <si>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</si>
  <si>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</si>
  <si>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</si>
  <si>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</si>
  <si>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</si>
  <si>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</si>
  <si>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</si>
  <si>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</si>
  <si>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</si>
  <si>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</si>
  <si>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</si>
  <si>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</si>
  <si>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</si>
  <si>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</si>
  <si>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</si>
  <si>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</si>
  <si>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</si>
  <si>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</si>
  <si>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</si>
  <si>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</si>
  <si>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</si>
  <si>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</si>
  <si>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</si>
  <si>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</si>
  <si>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</si>
  <si>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</si>
  <si>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</si>
  <si>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</si>
  <si>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</si>
  <si>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</si>
  <si>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</si>
  <si>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</si>
  <si>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</si>
  <si>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</si>
  <si>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</si>
  <si>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</si>
  <si>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</si>
  <si>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</si>
  <si>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</si>
  <si>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</si>
  <si>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</si>
  <si>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</si>
  <si>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</si>
  <si>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</si>
  <si>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</si>
  <si>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</si>
  <si>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</si>
  <si>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</si>
  <si>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</si>
  <si>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</si>
  <si>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</si>
  <si>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</si>
  <si>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</si>
  <si>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</si>
  <si>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</si>
  <si>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</si>
  <si>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</si>
  <si>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</si>
  <si>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</si>
  <si>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</si>
  <si>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</si>
  <si>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</si>
  <si>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</si>
  <si>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</si>
  <si>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</si>
  <si>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</si>
  <si>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</si>
  <si>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</si>
  <si>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</si>
  <si>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</si>
  <si>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</si>
  <si>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</si>
  <si>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</si>
  <si>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</si>
  <si>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</si>
  <si>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</si>
  <si>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</si>
  <si>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</si>
  <si>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酒店</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</si>
  <si>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</si>
  <si>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</si>
  <si>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</si>
  <si>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</si>
  <si>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</si>
  <si>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</si>
  <si>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</si>
  <si>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</si>
  <si>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</si>
  <si>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</si>
  <si>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</si>
  <si>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</si>
  <si>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</si>
  <si>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</si>
  <si>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</si>
  <si>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北京金融街丽思卡尔顿酒店</t>
  </si>
  <si>
    <t>三元NEO-CitiGo酒店</t>
  </si>
  <si>
    <t>大地花园酒店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</si>
  <si>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</si>
  <si>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</si>
  <si>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</si>
  <si>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</si>
  <si>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</si>
  <si>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</si>
  <si>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</si>
  <si>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</si>
  <si>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</si>
  <si>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</si>
  <si>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</si>
  <si>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</si>
  <si>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</si>
  <si>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</si>
  <si>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</si>
  <si>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</si>
  <si>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</si>
  <si>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</si>
  <si>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</si>
  <si>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</si>
  <si>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</si>
  <si>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</si>
  <si>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</si>
  <si>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</si>
  <si>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</si>
  <si>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</si>
  <si>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</si>
  <si>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</si>
  <si>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</si>
  <si>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</si>
  <si>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</si>
  <si>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</si>
  <si>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</si>
  <si>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</si>
  <si>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</si>
  <si>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</si>
  <si>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</si>
  <si>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</si>
  <si>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</si>
  <si>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</si>
  <si>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</si>
  <si>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</si>
  <si>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</si>
  <si>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精装修</t>
  </si>
  <si>
    <r>
      <rPr>
        <sz val="11"/>
        <color indexed="8"/>
        <rFont val="宋体"/>
        <charset val="134"/>
      </rPr>
      <t>内部装修维护情况</t>
    </r>
  </si>
  <si>
    <t>地下面积占比</t>
  </si>
  <si>
    <t>0（含）-10%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</si>
  <si>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</si>
  <si>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</si>
  <si>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</si>
  <si>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</si>
  <si>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</si>
  <si>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</si>
  <si>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</si>
  <si>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</si>
  <si>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</si>
  <si>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</si>
  <si>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</si>
  <si>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</si>
  <si>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</si>
  <si>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</si>
  <si>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</si>
  <si>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</si>
  <si>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</si>
  <si>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</si>
  <si>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</si>
  <si>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</si>
  <si>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</si>
  <si>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</si>
  <si>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</si>
  <si>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钢混</t>
  </si>
  <si>
    <r>
      <rPr>
        <sz val="11"/>
        <color indexed="8"/>
        <rFont val="宋体"/>
        <charset val="134"/>
      </rPr>
      <t>进深比</t>
    </r>
  </si>
  <si>
    <t>普装修</t>
  </si>
  <si>
    <t>简装</t>
  </si>
  <si>
    <t>毛坯</t>
  </si>
  <si>
    <t>10%（含）-20%</t>
  </si>
  <si>
    <t>20%（含）-30%</t>
  </si>
  <si>
    <t>30%（含）-40%</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</si>
  <si>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</si>
  <si>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</si>
  <si>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</si>
  <si>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</si>
  <si>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</si>
  <si>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</si>
  <si>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</si>
  <si>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</si>
  <si>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</si>
  <si>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</si>
  <si>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</si>
  <si>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</si>
  <si>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</si>
  <si>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</si>
  <si>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</si>
  <si>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</si>
  <si>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</si>
  <si>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</si>
  <si>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</si>
  <si>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</si>
  <si>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</si>
  <si>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</si>
  <si>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</si>
  <si>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</si>
  <si>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</si>
  <si>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</si>
  <si>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</si>
  <si>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</si>
  <si>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</si>
  <si>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</si>
  <si>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</si>
  <si>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</si>
  <si>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</si>
  <si>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</si>
  <si>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</si>
  <si>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</si>
  <si>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</si>
  <si>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</si>
  <si>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</si>
  <si>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</si>
  <si>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</si>
  <si>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</si>
  <si>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</si>
  <si>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</si>
  <si>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</si>
  <si>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</si>
  <si>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</si>
  <si>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</si>
  <si>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</si>
  <si>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</si>
  <si>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</si>
  <si>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</si>
  <si>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</si>
  <si>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</si>
  <si>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</si>
  <si>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</si>
  <si>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</si>
  <si>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</si>
  <si>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</si>
  <si>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</si>
  <si>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</si>
  <si>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</si>
  <si>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</si>
  <si>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</si>
  <si>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</si>
  <si>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</si>
  <si>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</si>
  <si>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</si>
  <si>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</si>
  <si>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</si>
  <si>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</si>
  <si>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</si>
  <si>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</si>
  <si>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</si>
  <si>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</si>
  <si>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</si>
  <si>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</si>
  <si>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</si>
  <si>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</si>
  <si>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</si>
  <si>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</si>
  <si>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</si>
  <si>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</si>
  <si>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</si>
  <si>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</si>
  <si>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</si>
  <si>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</si>
  <si>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</si>
  <si>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</si>
  <si>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</si>
  <si>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</si>
  <si>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</si>
  <si>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</si>
  <si>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</si>
  <si>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</si>
  <si>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</si>
  <si>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</si>
  <si>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</si>
  <si>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</si>
  <si>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</si>
  <si>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</si>
  <si>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</si>
  <si>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</si>
  <si>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</si>
  <si>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</si>
  <si>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</si>
  <si>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</si>
  <si>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</si>
  <si>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</si>
  <si>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</si>
  <si>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</si>
  <si>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</si>
  <si>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</si>
  <si>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</si>
  <si>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</si>
  <si>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</si>
  <si>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</si>
  <si>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</si>
  <si>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</si>
  <si>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</si>
  <si>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</si>
  <si>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</si>
  <si>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</si>
  <si>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</si>
  <si>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</si>
  <si>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</si>
  <si>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</si>
  <si>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</si>
  <si>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</si>
  <si>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</si>
  <si>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</si>
  <si>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</si>
  <si>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</si>
  <si>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</si>
  <si>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</si>
  <si>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</si>
  <si>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</si>
  <si>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</si>
  <si>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</si>
  <si>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</si>
  <si>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</si>
  <si>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</si>
  <si>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</si>
  <si>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</si>
  <si>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</si>
  <si>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</si>
  <si>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</si>
  <si>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</si>
  <si>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</si>
  <si>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</si>
  <si>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</si>
  <si>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</si>
  <si>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</si>
  <si>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</si>
  <si>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</si>
  <si>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</si>
  <si>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</si>
  <si>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</si>
  <si>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</si>
  <si>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</si>
  <si>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</si>
  <si>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</si>
  <si>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</si>
  <si>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</si>
  <si>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</si>
  <si>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</si>
  <si>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</si>
  <si>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</si>
  <si>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</si>
  <si>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</si>
  <si>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</si>
  <si>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</si>
  <si>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</si>
  <si>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</si>
  <si>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</si>
  <si>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</si>
  <si>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</si>
  <si>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</si>
  <si>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</si>
  <si>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</si>
  <si>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</si>
  <si>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</si>
  <si>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</si>
  <si>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</si>
  <si>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</si>
  <si>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</si>
  <si>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</si>
  <si>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</si>
  <si>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</si>
  <si>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</si>
  <si>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</si>
  <si>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</si>
  <si>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</si>
  <si>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</si>
  <si>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</si>
  <si>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</si>
  <si>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</si>
  <si>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</si>
  <si>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</si>
  <si>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</si>
  <si>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</si>
  <si>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</si>
  <si>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</si>
  <si>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</si>
  <si>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</si>
  <si>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</si>
  <si>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</si>
  <si>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</si>
  <si>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</si>
  <si>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</si>
  <si>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</si>
  <si>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</si>
  <si>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</si>
  <si>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</si>
  <si>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</si>
  <si>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</si>
  <si>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</si>
  <si>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</si>
  <si>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</si>
  <si>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</si>
  <si>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</si>
  <si>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</si>
  <si>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</si>
  <si>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</si>
  <si>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</si>
  <si>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</si>
  <si>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</si>
  <si>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</si>
  <si>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</si>
  <si>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</si>
  <si>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</si>
  <si>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</si>
  <si>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</si>
  <si>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</si>
  <si>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</si>
  <si>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</si>
  <si>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</si>
  <si>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</si>
  <si>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</si>
  <si>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</si>
  <si>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</si>
  <si>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</si>
  <si>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</si>
  <si>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</si>
  <si>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</si>
  <si>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</si>
  <si>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</si>
  <si>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</si>
  <si>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</si>
  <si>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</si>
  <si>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</si>
  <si>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</si>
  <si>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</si>
  <si>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</si>
  <si>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</si>
  <si>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</si>
  <si>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</si>
  <si>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</si>
  <si>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</si>
  <si>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</si>
  <si>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</si>
  <si>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</si>
  <si>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</si>
  <si>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</si>
  <si>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</si>
  <si>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</si>
  <si>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</si>
  <si>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</si>
  <si>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</si>
  <si>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</si>
  <si>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</si>
  <si>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</si>
  <si>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</si>
  <si>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</si>
  <si>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</si>
  <si>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</si>
  <si>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</si>
  <si>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</si>
  <si>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</si>
  <si>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</si>
  <si>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</si>
  <si>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</si>
  <si>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</si>
  <si>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</si>
  <si>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</si>
  <si>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</si>
  <si>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</si>
  <si>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</si>
  <si>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</si>
  <si>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</si>
  <si>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</si>
  <si>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</si>
  <si>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</si>
  <si>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</si>
  <si>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</si>
  <si>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</si>
  <si>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</si>
  <si>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</si>
  <si>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</si>
  <si>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</si>
  <si>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</si>
  <si>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</si>
  <si>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</si>
  <si>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</si>
  <si>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</si>
  <si>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</si>
  <si>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</si>
  <si>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</si>
  <si>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</si>
  <si>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</si>
  <si>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</si>
  <si>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</si>
  <si>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</si>
  <si>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</si>
  <si>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</si>
  <si>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</si>
  <si>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</si>
  <si>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</si>
  <si>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</si>
  <si>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</si>
  <si>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</si>
  <si>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</si>
  <si>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</si>
  <si>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</si>
  <si>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</si>
  <si>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</si>
  <si>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</si>
  <si>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</si>
  <si>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</si>
  <si>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</si>
  <si>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</si>
  <si>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</si>
  <si>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</si>
  <si>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</si>
  <si>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</si>
  <si>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</si>
  <si>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</si>
  <si>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</si>
  <si>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</si>
  <si>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</si>
  <si>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</si>
  <si>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</si>
  <si>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</si>
  <si>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</si>
  <si>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</si>
  <si>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</si>
  <si>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</si>
  <si>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</si>
  <si>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</si>
  <si>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</si>
  <si>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</si>
  <si>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</si>
  <si>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</si>
  <si>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</si>
  <si>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</si>
  <si>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</si>
  <si>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</si>
  <si>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</si>
  <si>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</si>
  <si>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</si>
  <si>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</si>
  <si>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</si>
  <si>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</si>
  <si>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</si>
  <si>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</si>
  <si>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</si>
  <si>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</si>
  <si>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</si>
  <si>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</si>
  <si>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</si>
  <si>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</si>
  <si>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</si>
  <si>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</si>
  <si>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</si>
  <si>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</si>
  <si>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</si>
  <si>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</si>
  <si>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</si>
  <si>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</si>
  <si>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</si>
  <si>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</si>
  <si>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</si>
  <si>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</si>
  <si>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</si>
  <si>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</si>
  <si>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</si>
  <si>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</si>
  <si>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</si>
  <si>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</si>
  <si>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</si>
  <si>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</si>
  <si>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</si>
  <si>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</si>
  <si>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</si>
  <si>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</si>
  <si>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</si>
  <si>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</si>
  <si>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</si>
  <si>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</si>
  <si>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</si>
  <si>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</si>
  <si>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</si>
  <si>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</si>
  <si>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</si>
  <si>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</si>
  <si>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</si>
  <si>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</si>
  <si>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</si>
  <si>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</si>
  <si>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</si>
  <si>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</si>
  <si>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</si>
  <si>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</si>
  <si>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</si>
  <si>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</si>
  <si>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</si>
  <si>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</si>
  <si>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</si>
  <si>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</si>
  <si>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</si>
  <si>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</si>
  <si>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</si>
  <si>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</si>
  <si>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</si>
  <si>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</si>
  <si>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</si>
  <si>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</si>
  <si>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</si>
  <si>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</si>
  <si>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</si>
  <si>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</si>
  <si>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</si>
  <si>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</si>
  <si>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</si>
  <si>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</si>
  <si>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</si>
  <si>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</si>
  <si>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</si>
  <si>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</si>
  <si>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</si>
  <si>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</si>
  <si>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</si>
  <si>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</si>
  <si>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</si>
  <si>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</si>
  <si>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</si>
  <si>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</si>
  <si>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</si>
  <si>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</si>
  <si>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</si>
  <si>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</si>
  <si>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</si>
  <si>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</si>
  <si>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</si>
  <si>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</si>
  <si>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</si>
  <si>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</si>
  <si>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</si>
  <si>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</si>
  <si>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</si>
  <si>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</si>
  <si>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</si>
  <si>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</si>
  <si>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</si>
  <si>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</si>
  <si>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</si>
  <si>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</si>
  <si>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</si>
  <si>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</si>
  <si>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</si>
  <si>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</si>
  <si>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</si>
  <si>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</si>
  <si>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</si>
  <si>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</si>
  <si>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</si>
  <si>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</si>
  <si>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</si>
  <si>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</si>
  <si>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</si>
  <si>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</si>
  <si>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</si>
  <si>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</si>
  <si>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</si>
  <si>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</si>
  <si>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</si>
  <si>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</si>
  <si>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</si>
  <si>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</si>
  <si>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</si>
  <si>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</si>
  <si>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</si>
  <si>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</si>
  <si>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</si>
  <si>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</si>
  <si>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</si>
  <si>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</si>
  <si>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</si>
  <si>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</si>
  <si>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</si>
  <si>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</si>
  <si>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</si>
  <si>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</si>
  <si>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</si>
  <si>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</si>
  <si>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</si>
  <si>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</si>
  <si>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</si>
  <si>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</si>
  <si>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</si>
  <si>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</si>
  <si>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</si>
  <si>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</si>
  <si>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</si>
  <si>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</si>
  <si>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</si>
  <si>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</si>
  <si>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</si>
  <si>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</si>
  <si>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</si>
  <si>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</si>
  <si>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</si>
  <si>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</si>
  <si>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</si>
  <si>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</si>
  <si>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</si>
  <si>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</si>
  <si>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</si>
  <si>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</si>
  <si>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</si>
  <si>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</si>
  <si>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</si>
  <si>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</si>
  <si>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</si>
  <si>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</si>
  <si>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</si>
  <si>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</si>
  <si>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</si>
  <si>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</si>
  <si>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</si>
  <si>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</si>
  <si>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</si>
  <si>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</si>
  <si>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</si>
  <si>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</si>
  <si>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</si>
  <si>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</si>
  <si>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</si>
  <si>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</si>
  <si>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</si>
  <si>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</si>
  <si>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</si>
  <si>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</si>
  <si>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</si>
  <si>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</si>
  <si>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</si>
  <si>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</si>
  <si>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</si>
  <si>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</si>
  <si>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</si>
  <si>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</si>
  <si>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</si>
  <si>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</si>
  <si>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</si>
  <si>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</si>
  <si>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</si>
  <si>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</si>
  <si>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</si>
  <si>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</si>
  <si>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</si>
  <si>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</si>
  <si>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</si>
  <si>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</si>
  <si>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</si>
  <si>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</si>
  <si>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</si>
  <si>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</si>
  <si>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</si>
  <si>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</si>
  <si>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</si>
  <si>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</si>
  <si>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</si>
  <si>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</si>
  <si>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</si>
  <si>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t>楼面地价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</si>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</sst>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DBNum2][$RMB]General;[Red][DBNum2][$RMB]General"/>
    <numFmt numFmtId="197"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2"/>
      <color theme="1"/>
      <name val="宋体"/>
      <charset val="134"/>
      <scheme val="minor"/>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sz val="11"/>
      <color rgb="FFFF0000"/>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0"/>
      <color rgb="FF000000"/>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sz val="11"/>
      <color indexed="8"/>
      <name val="宋体"/>
      <charset val="134"/>
    </font>
    <font>
      <sz val="11"/>
      <color theme="9" tint="-0.249977111117893"/>
      <name val="宋体"/>
      <charset val="134"/>
    </font>
    <font>
      <sz val="14"/>
      <color rgb="FF000000"/>
      <name val="宋体"/>
      <charset val="134"/>
    </font>
    <font>
      <b/>
      <sz val="10"/>
      <color indexed="53"/>
      <name val="宋体"/>
      <charset val="134"/>
    </font>
    <font>
      <b/>
      <sz val="14"/>
      <color rgb="FFFF0000"/>
      <name val="宋体"/>
      <charset val="134"/>
    </font>
    <font>
      <b/>
      <vertAlign val="subscript"/>
      <sz val="10"/>
      <name val="宋体"/>
      <charset val="134"/>
    </font>
    <font>
      <b/>
      <sz val="11"/>
      <name val="宋体"/>
      <charset val="134"/>
    </font>
    <font>
      <b/>
      <sz val="11"/>
      <color rgb="FFFF0000"/>
      <name val="宋体"/>
      <charset val="134"/>
    </font>
    <font>
      <sz val="10"/>
      <color theme="9" tint="-0.249977111117893"/>
      <name val="宋体"/>
      <charset val="134"/>
    </font>
    <font>
      <b/>
      <sz val="10"/>
      <color indexed="8"/>
      <name val="宋体"/>
      <charset val="134"/>
    </font>
    <font>
      <sz val="9"/>
      <color indexed="8"/>
      <name val="仿宋_GB2312"/>
      <charset val="134"/>
    </font>
    <font>
      <vertAlign val="superscript"/>
      <sz val="10"/>
      <color theme="1"/>
      <name val="宋体"/>
      <charset val="134"/>
    </font>
    <font>
      <b/>
      <sz val="16"/>
      <color indexed="10"/>
      <name val="宋体"/>
      <charset val="134"/>
    </font>
    <font>
      <sz val="11"/>
      <color theme="1"/>
      <name val="宋体"/>
      <charset val="134"/>
    </font>
    <font>
      <sz val="14"/>
      <color theme="1"/>
      <name val="宋体"/>
      <charset val="134"/>
    </font>
    <font>
      <sz val="12"/>
      <color rgb="FF000000"/>
      <name val="宋体"/>
      <charset val="134"/>
    </font>
    <font>
      <sz val="10"/>
      <color indexed="8"/>
      <name val="楷体_GB2312"/>
      <charset val="134"/>
    </font>
    <font>
      <sz val="12"/>
      <color theme="9" tint="-0.249977111117893"/>
      <name val="宋体"/>
      <charset val="134"/>
    </font>
    <font>
      <sz val="12"/>
      <color indexed="8"/>
      <name val="宋体"/>
      <charset val="134"/>
    </font>
    <font>
      <b/>
      <sz val="11"/>
      <color theme="9" tint="-0.249977111117893"/>
      <name val="Arial"/>
      <charset val="134"/>
    </font>
    <font>
      <b/>
      <sz val="11"/>
      <color theme="9" tint="-0.249977111117893"/>
      <name val="宋体"/>
      <charset val="134"/>
    </font>
    <font>
      <sz val="10"/>
      <color rgb="FF707070"/>
      <name val="宋体"/>
      <charset val="134"/>
    </font>
    <font>
      <b/>
      <sz val="12"/>
      <color indexed="8"/>
      <name val="宋体"/>
      <charset val="134"/>
    </font>
    <font>
      <b/>
      <sz val="11"/>
      <color indexed="10"/>
      <name val="宋体"/>
      <charset val="134"/>
    </font>
    <font>
      <i/>
      <sz val="10"/>
      <name val="楷体_GB2312"/>
      <charset val="134"/>
    </font>
    <font>
      <b/>
      <sz val="11"/>
      <color theme="1"/>
      <name val="宋体"/>
      <charset val="134"/>
    </font>
    <font>
      <sz val="8"/>
      <color indexed="8"/>
      <name val="仿宋_GB2312"/>
      <charset val="134"/>
    </font>
    <font>
      <b/>
      <vertAlign val="subscript"/>
      <sz val="10"/>
      <name val="Arial"/>
      <charset val="134"/>
    </font>
    <font>
      <i/>
      <sz val="10"/>
      <color indexed="8"/>
      <name val="宋体"/>
      <charset val="134"/>
    </font>
    <font>
      <b/>
      <i/>
      <sz val="10"/>
      <color rgb="FFFF0000"/>
      <name val="宋体"/>
      <charset val="134"/>
    </font>
    <font>
      <sz val="10"/>
      <color indexed="10"/>
      <name val="宋体"/>
      <charset val="134"/>
    </font>
    <font>
      <b/>
      <sz val="10"/>
      <color indexed="10"/>
      <name val="宋体"/>
      <charset val="134"/>
    </font>
    <font>
      <b/>
      <vertAlign val="subscript"/>
      <sz val="10"/>
      <name val="楷体_GB2312"/>
      <charset val="134"/>
    </font>
    <font>
      <i/>
      <sz val="14"/>
      <color theme="3" tint="0.399975585192419"/>
      <name val="宋体"/>
      <charset val="134"/>
    </font>
    <font>
      <b/>
      <sz val="16"/>
      <color indexed="10"/>
      <name val="楷体_GB2312"/>
      <charset val="134"/>
    </font>
    <font>
      <sz val="10"/>
      <color rgb="FFFF0000"/>
      <name val="楷体_GB2312"/>
      <charset val="134"/>
    </font>
    <font>
      <sz val="8"/>
      <color indexed="8"/>
      <name val="宋体"/>
      <charset val="134"/>
    </font>
    <font>
      <b/>
      <i/>
      <sz val="14"/>
      <color theme="3" tint="0.399975585192419"/>
      <name val="宋体"/>
      <charset val="134"/>
    </font>
    <font>
      <b/>
      <sz val="10"/>
      <color indexed="10"/>
      <name val="楷体_GB2312"/>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53"/>
      <name val="宋体"/>
      <charset val="134"/>
    </font>
    <font>
      <sz val="9"/>
      <color indexed="8"/>
      <name val="宋体"/>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sz val="11"/>
      <color indexed="53"/>
      <name val="宋体"/>
      <charset val="134"/>
    </font>
    <font>
      <i/>
      <sz val="11"/>
      <color theme="3" tint="0.399975585192419"/>
      <name val="宋体"/>
      <charset val="134"/>
    </font>
    <font>
      <sz val="11"/>
      <color rgb="FF000000"/>
      <name val="Arial"/>
      <charset val="134"/>
    </font>
    <font>
      <vertAlign val="subscript"/>
      <sz val="10"/>
      <color theme="1"/>
      <name val="Arial"/>
      <charset val="134"/>
    </font>
    <font>
      <sz val="12"/>
      <color theme="1"/>
      <name val="宋体"/>
      <charset val="134"/>
    </font>
    <font>
      <sz val="11"/>
      <color indexed="10"/>
      <name val="宋体"/>
      <charset val="134"/>
    </font>
    <font>
      <i/>
      <sz val="10"/>
      <name val="宋体"/>
      <charset val="134"/>
    </font>
    <font>
      <vertAlign val="superscript"/>
      <sz val="10"/>
      <color indexed="8"/>
      <name val="Arial"/>
      <charset val="134"/>
    </font>
    <font>
      <b/>
      <sz val="14"/>
      <color rgb="FF000000"/>
      <name val="宋体"/>
      <charset val="134"/>
    </font>
    <font>
      <b/>
      <sz val="14"/>
      <color indexed="10"/>
      <name val="宋体"/>
      <charset val="134"/>
      <scheme val="minor"/>
    </font>
    <font>
      <vertAlign val="subscript"/>
      <sz val="10"/>
      <color indexed="8"/>
      <name val="宋体"/>
      <charset val="134"/>
    </font>
    <font>
      <vertAlign val="superscript"/>
      <sz val="10"/>
      <color theme="1"/>
      <name val="Arial"/>
      <charset val="134"/>
    </font>
    <font>
      <sz val="14"/>
      <color theme="9" tint="-0.249977111117893"/>
      <name val="宋体"/>
      <charset val="134"/>
    </font>
    <font>
      <b/>
      <sz val="12"/>
      <color rgb="FF000000"/>
      <name val="宋体"/>
      <charset val="134"/>
    </font>
    <font>
      <b/>
      <sz val="18"/>
      <color theme="1"/>
      <name val="宋体"/>
      <charset val="134"/>
    </font>
    <font>
      <sz val="11"/>
      <name val="宋体"/>
      <charset val="134"/>
    </font>
    <font>
      <b/>
      <sz val="11"/>
      <name val="宋体"/>
      <charset val="134"/>
    </font>
    <font>
      <sz val="16"/>
      <name val="宋体"/>
      <charset val="134"/>
    </font>
    <font>
      <sz val="12"/>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1"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1" fillId="0" borderId="0" xfId="0" applyNumberFormat="1" applyFont="1" applyFill="1" applyAlignment="1"/>
    <xf numFmtId="0" fontId="31"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86"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88"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9"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9"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1"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9"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9"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9"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15"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9"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8"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2"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86"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1"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88" fillId="2" borderId="132" xfId="0" applyFont="1" applyFill="1" applyBorder="1" applyAlignment="1" applyProtection="1">
      <alignment horizontal="center" vertical="center"/>
    </xf>
    <xf numFmtId="0" fontId="88"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88"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88"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1"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196" fontId="0" fillId="0" borderId="0" xfId="65" applyNumberFormat="1" applyAlignment="1" applyProtection="1">
      <alignment horizontal="left"/>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9" fillId="2" borderId="163" xfId="0" applyFont="1" applyFill="1" applyBorder="1" applyAlignment="1" applyProtection="1">
      <alignment vertical="center"/>
    </xf>
    <xf numFmtId="0" fontId="89"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9"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17"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8"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8"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8"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31" fillId="0" borderId="0" xfId="58" applyFont="1" applyFill="1" applyAlignment="1">
      <alignment horizontal="left" vertical="center"/>
    </xf>
    <xf numFmtId="0" fontId="123" fillId="0" borderId="0" xfId="58" applyFont="1" applyAlignment="1">
      <alignment horizontal="left" vertical="center"/>
    </xf>
    <xf numFmtId="0" fontId="31"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4" fontId="128" fillId="0" borderId="7" xfId="58" applyNumberFormat="1" applyFont="1" applyFill="1" applyBorder="1" applyAlignment="1">
      <alignment horizontal="left" vertical="center"/>
    </xf>
    <xf numFmtId="194"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31" fillId="0" borderId="0" xfId="58" applyNumberFormat="1" applyFont="1" applyAlignment="1">
      <alignment horizontal="left" vertical="center"/>
    </xf>
    <xf numFmtId="14" fontId="31" fillId="0" borderId="175" xfId="58" applyNumberFormat="1" applyFont="1" applyBorder="1" applyAlignment="1">
      <alignment horizontal="left" vertical="center"/>
    </xf>
    <xf numFmtId="0" fontId="31"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92"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92" fillId="0" borderId="136"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31" fillId="0" borderId="1" xfId="0" applyFont="1" applyBorder="1" applyProtection="1">
      <alignment vertical="center"/>
    </xf>
    <xf numFmtId="0" fontId="31" fillId="0" borderId="147" xfId="0" applyFont="1" applyBorder="1" applyProtection="1">
      <alignment vertical="center"/>
    </xf>
    <xf numFmtId="0" fontId="31" fillId="0" borderId="0" xfId="0" applyFont="1" applyBorder="1" applyProtection="1">
      <alignment vertical="center"/>
    </xf>
    <xf numFmtId="0" fontId="31" fillId="0" borderId="0" xfId="64"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31" fillId="0" borderId="136" xfId="64" applyFont="1" applyBorder="1" applyAlignment="1" applyProtection="1">
      <alignment vertical="center" wrapText="1"/>
    </xf>
    <xf numFmtId="0" fontId="31" fillId="0" borderId="136" xfId="0" applyFont="1" applyBorder="1" applyAlignment="1" applyProtection="1">
      <alignment horizontal="left" vertical="center"/>
    </xf>
    <xf numFmtId="0" fontId="31" fillId="0" borderId="7" xfId="64"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64" applyFont="1" applyBorder="1" applyAlignment="1" applyProtection="1">
      <alignment vertical="center" wrapText="1"/>
    </xf>
    <xf numFmtId="0" fontId="31" fillId="0" borderId="2" xfId="0" applyFont="1" applyBorder="1" applyAlignment="1" applyProtection="1">
      <alignment horizontal="left" vertical="center"/>
    </xf>
    <xf numFmtId="176" fontId="31" fillId="0" borderId="2" xfId="0" applyNumberFormat="1" applyFont="1" applyBorder="1" applyAlignment="1" applyProtection="1">
      <alignment horizontal="left" vertical="center"/>
    </xf>
    <xf numFmtId="0" fontId="31" fillId="0" borderId="16" xfId="64"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r:embed="rId1"/>
        <a:stretch>
          <a:fillRect/>
        </a:stretch>
      </xdr:blipFill>
      <xdr:spPr>
        <a:xfrm>
          <a:off x="12962255" y="311150"/>
          <a:ext cx="1259903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r:embed="rId2"/>
        <a:stretch>
          <a:fillRect/>
        </a:stretch>
      </xdr:blipFill>
      <xdr:spPr>
        <a:xfrm>
          <a:off x="12908280" y="8390890"/>
          <a:ext cx="109791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r:embed="rId3"/>
        <a:stretch>
          <a:fillRect/>
        </a:stretch>
      </xdr:blipFill>
      <xdr:spPr>
        <a:xfrm>
          <a:off x="635" y="9905365"/>
          <a:ext cx="8502650" cy="44005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r:embed="rId1"/>
        <a:stretch>
          <a:fillRect/>
        </a:stretch>
      </xdr:blipFill>
      <xdr:spPr>
        <a:xfrm>
          <a:off x="0" y="0"/>
          <a:ext cx="955040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r:embed="rId2"/>
        <a:stretch>
          <a:fillRect/>
        </a:stretch>
      </xdr:blipFill>
      <xdr:spPr>
        <a:xfrm>
          <a:off x="0" y="4622800"/>
          <a:ext cx="941070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r:embed="rId3"/>
        <a:stretch>
          <a:fillRect/>
        </a:stretch>
      </xdr:blipFill>
      <xdr:spPr>
        <a:xfrm>
          <a:off x="0" y="6045200"/>
          <a:ext cx="941705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r:embed="rId4"/>
        <a:stretch>
          <a:fillRect/>
        </a:stretch>
      </xdr:blipFill>
      <xdr:spPr>
        <a:xfrm>
          <a:off x="0" y="7467600"/>
          <a:ext cx="9321800" cy="1339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r:embed="rId1"/>
        <a:stretch>
          <a:fillRect/>
        </a:stretch>
      </xdr:blipFill>
      <xdr:spPr>
        <a:xfrm>
          <a:off x="0" y="0"/>
          <a:ext cx="1471295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r:embed="rId2"/>
        <a:stretch>
          <a:fillRect/>
        </a:stretch>
      </xdr:blipFill>
      <xdr:spPr>
        <a:xfrm>
          <a:off x="0" y="7289800"/>
          <a:ext cx="1463040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r:embed="rId3"/>
        <a:stretch>
          <a:fillRect/>
        </a:stretch>
      </xdr:blipFill>
      <xdr:spPr>
        <a:xfrm>
          <a:off x="15849600" y="0"/>
          <a:ext cx="1474470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r:embed="rId4"/>
        <a:stretch>
          <a:fillRect/>
        </a:stretch>
      </xdr:blipFill>
      <xdr:spPr>
        <a:xfrm>
          <a:off x="15849600" y="7289800"/>
          <a:ext cx="1449705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r:embed="rId5"/>
        <a:stretch>
          <a:fillRect/>
        </a:stretch>
      </xdr:blipFill>
      <xdr:spPr>
        <a:xfrm>
          <a:off x="31089600" y="0"/>
          <a:ext cx="1474470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r:embed="rId6"/>
        <a:stretch>
          <a:fillRect/>
        </a:stretch>
      </xdr:blipFill>
      <xdr:spPr>
        <a:xfrm>
          <a:off x="31068010" y="7297420"/>
          <a:ext cx="1450340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r:embed="rId7"/>
        <a:stretch>
          <a:fillRect/>
        </a:stretch>
      </xdr:blipFill>
      <xdr:spPr>
        <a:xfrm>
          <a:off x="0" y="13690600"/>
          <a:ext cx="109410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37048.65</v>
          </cell>
          <cell r="E3">
            <v>110027.29</v>
          </cell>
        </row>
      </sheetData>
      <sheetData sheetId="14"/>
      <sheetData sheetId="15"/>
      <sheetData sheetId="16"/>
      <sheetData sheetId="17">
        <row r="19">
          <cell r="G19">
            <v>11746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受贵公司委托，我公司对房地产抵押价值进行了预评估。</v>
      </c>
    </row>
    <row r="7" s="3712" customFormat="1" spans="1:2">
      <c r="A7" s="3720" t="s">
        <v>7</v>
      </c>
      <c r="B7" s="3721" t="str">
        <f>'预评函-1'!A7</f>
        <v>估价对象为房地产，为所有。根据《国有土地使用证》[]，估价对象（分摊）出让国有建设用地使用权面积为11805平方米，建筑面积为54377.37平方米。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估价对象为房地产,属开发建设的工业项目，该项目尚在开发建设中。根据《国有土地使用证》[]，估价对象（分摊）出让国有建设用地使用权面积为11805平方米，规划建筑面积为54377.37平方米。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2025年7月23日</v>
      </c>
    </row>
    <row r="13" s="3712" customFormat="1" spans="1:2">
      <c r="A13" s="3720" t="s">
        <v>13</v>
      </c>
      <c r="B13" s="3721" t="str">
        <f>'预评函-1'!A18</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本次估价的“抵押净值”是指估价对象“房地产抵押价值”减去估价对象在价值时点以“房地产销售收入”为基数计算的预计抵押权实现进行处置时需缴纳的各项费用、税金等相关费用后的价值。</v>
      </c>
    </row>
    <row r="18" s="3710" customFormat="1" ht="15.75" spans="1:2">
      <c r="A18" s="3722" t="s">
        <v>18</v>
      </c>
      <c r="B18" s="3723" t="str">
        <f>'预评函-1'!A24</f>
        <v>本次评估采用的主估价方法为成本法和假设开发法。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9734</v>
      </c>
    </row>
    <row r="21" s="3712" customFormat="1" spans="1:2">
      <c r="A21" s="3720" t="s">
        <v>21</v>
      </c>
      <c r="B21" s="3721">
        <f ca="1">'预评函-2'!D7</f>
        <v>1790</v>
      </c>
    </row>
    <row r="22" s="3712" customFormat="1" spans="1:2">
      <c r="A22" s="3720" t="s">
        <v>22</v>
      </c>
      <c r="B22" s="3721" t="str">
        <f ca="1">'预评函-2'!D6</f>
        <v>玖仟柒佰叁拾肆万元整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9734</v>
      </c>
    </row>
    <row r="31" s="3712" customFormat="1" spans="1:2">
      <c r="A31" s="3720" t="s">
        <v>31</v>
      </c>
      <c r="B31" s="3721">
        <f ca="1">'预评函-2'!D15</f>
        <v>1790</v>
      </c>
    </row>
    <row r="32" s="3712" customFormat="1" spans="1:2">
      <c r="A32" s="3720" t="s">
        <v>32</v>
      </c>
      <c r="B32" s="3721" t="str">
        <f ca="1">'预评函-2'!D14</f>
        <v>玖仟柒佰叁拾肆万元整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房地产</v>
      </c>
    </row>
    <row r="42" s="3712" customFormat="1" ht="30" spans="1:2">
      <c r="A42" s="3720" t="s">
        <v>42</v>
      </c>
      <c r="B42" s="3721" t="str">
        <f>'预评函-3'!B2</f>
        <v>建筑面积</v>
      </c>
    </row>
    <row r="43" s="3712" customFormat="1" spans="1:2">
      <c r="A43" s="3720" t="s">
        <v>43</v>
      </c>
      <c r="B43" s="3721">
        <f>'预评函-3'!B4</f>
        <v>54377.37</v>
      </c>
    </row>
    <row r="44" s="3712" customFormat="1" ht="30" spans="1:2">
      <c r="A44" s="3720" t="s">
        <v>44</v>
      </c>
      <c r="B44" s="3721" t="str">
        <f>'预评函-3'!C2</f>
        <v>(分摊)土地面积</v>
      </c>
    </row>
    <row r="45" s="3712" customFormat="1" spans="1:2">
      <c r="A45" s="3720" t="s">
        <v>45</v>
      </c>
      <c r="B45" s="3721">
        <f>'预评函-3'!C4</f>
        <v>11805</v>
      </c>
    </row>
    <row r="46" s="3712" customFormat="1" spans="1:2">
      <c r="A46" s="3720" t="s">
        <v>46</v>
      </c>
      <c r="B46" s="3721" t="str">
        <f>'预评函-3'!D2</f>
        <v>出让国有建设用地使用权价值</v>
      </c>
    </row>
    <row r="47" s="3712" customFormat="1" spans="1:2">
      <c r="A47" s="3720" t="s">
        <v>47</v>
      </c>
      <c r="B47" s="3721">
        <f ca="1">'预评函-3'!D4</f>
        <v>1966</v>
      </c>
    </row>
    <row r="48" s="3712" customFormat="1" spans="1:2">
      <c r="A48" s="3720" t="s">
        <v>48</v>
      </c>
      <c r="B48" s="3721">
        <f ca="1">'预评函-3'!E4</f>
        <v>361</v>
      </c>
    </row>
    <row r="49" s="3712" customFormat="1" spans="1:2">
      <c r="A49" s="3720" t="s">
        <v>49</v>
      </c>
      <c r="B49" s="3721" t="str">
        <f ca="1">'预评函-3'!D5</f>
        <v>壹仟玖佰陆拾陆万元整</v>
      </c>
    </row>
    <row r="50" s="3712" customFormat="1" spans="1:2">
      <c r="A50" s="3720" t="s">
        <v>50</v>
      </c>
      <c r="B50" s="3721" t="str">
        <f>'预评函-3'!F2</f>
        <v>在建建筑物价值</v>
      </c>
    </row>
    <row r="51" s="3712" customFormat="1" spans="1:2">
      <c r="A51" s="3720" t="s">
        <v>51</v>
      </c>
      <c r="B51" s="3721">
        <f ca="1">'预评函-3'!F4</f>
        <v>7768</v>
      </c>
    </row>
    <row r="52" s="3712" customFormat="1" spans="1:2">
      <c r="A52" s="3720" t="s">
        <v>52</v>
      </c>
      <c r="B52" s="3721">
        <f ca="1">'预评函-3'!G4</f>
        <v>1429</v>
      </c>
    </row>
    <row r="53" s="3712" customFormat="1" spans="1:2">
      <c r="A53" s="3720" t="s">
        <v>53</v>
      </c>
      <c r="B53" s="3721" t="str">
        <f ca="1">'预评函-3'!F5</f>
        <v>柒仟柒佰陆拾捌万元整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4" width="21.1272727272727" style="3554" customWidth="1"/>
    <col min="25" max="16384" width="9" style="3554"/>
  </cols>
  <sheetData>
    <row r="1" s="3552" customFormat="1" ht="4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92"/>
    <col min="8" max="8" width="5.5" style="3492" customWidth="1"/>
    <col min="9" max="13" width="9.5" style="3493" customWidth="1"/>
    <col min="14" max="18" width="9.5" style="3492" customWidth="1"/>
    <col min="19" max="16384" width="15.2545454545455" style="3492"/>
  </cols>
  <sheetData>
    <row r="1" spans="1:18">
      <c r="A1" s="3494" t="s">
        <v>338</v>
      </c>
      <c r="B1" s="3495"/>
      <c r="C1" s="3495"/>
      <c r="D1" s="3495"/>
      <c r="E1" s="3495"/>
      <c r="F1" s="3496"/>
      <c r="I1" s="3545" t="s">
        <v>339</v>
      </c>
      <c r="J1" s="76"/>
      <c r="K1" s="76"/>
      <c r="L1" s="76"/>
      <c r="M1" s="76"/>
      <c r="N1" s="3546"/>
      <c r="O1" s="3546"/>
      <c r="P1" s="3546"/>
      <c r="Q1" s="3546"/>
      <c r="R1" s="3546"/>
    </row>
    <row r="2" spans="1:18">
      <c r="A2" s="3497"/>
      <c r="B2" s="3498"/>
      <c r="C2" s="3498"/>
      <c r="D2" s="3498"/>
      <c r="E2" s="3498"/>
      <c r="F2" s="3499"/>
      <c r="I2" s="3547" t="s">
        <v>340</v>
      </c>
      <c r="J2" s="3547"/>
      <c r="K2" s="3547"/>
      <c r="L2" s="3547"/>
      <c r="M2" s="3547"/>
      <c r="N2" s="3547"/>
      <c r="O2" s="3547"/>
      <c r="P2" s="3547"/>
      <c r="Q2" s="3547"/>
      <c r="R2" s="3547"/>
    </row>
    <row r="3" spans="1:18">
      <c r="A3" s="516" t="s">
        <v>341</v>
      </c>
      <c r="B3" s="3500">
        <f>项目基本情况!D3</f>
        <v>45861</v>
      </c>
      <c r="C3" s="517"/>
      <c r="D3" s="517"/>
      <c r="E3" s="517"/>
      <c r="F3" s="3499"/>
      <c r="I3" s="3548"/>
      <c r="J3" s="3548" t="s">
        <v>342</v>
      </c>
      <c r="K3" s="3548" t="s">
        <v>343</v>
      </c>
      <c r="L3" s="3548" t="s">
        <v>344</v>
      </c>
      <c r="M3" s="3548" t="s">
        <v>345</v>
      </c>
      <c r="N3" s="3549" t="s">
        <v>346</v>
      </c>
      <c r="O3" s="3549" t="s">
        <v>347</v>
      </c>
      <c r="P3" s="3549" t="s">
        <v>348</v>
      </c>
      <c r="Q3" s="3549" t="s">
        <v>349</v>
      </c>
      <c r="R3" s="3549" t="s">
        <v>350</v>
      </c>
    </row>
    <row r="4" spans="1:18">
      <c r="A4" s="516" t="s">
        <v>351</v>
      </c>
      <c r="B4" s="517" t="s">
        <v>352</v>
      </c>
      <c r="C4" s="517" t="s">
        <v>353</v>
      </c>
      <c r="D4" s="517" t="s">
        <v>354</v>
      </c>
      <c r="E4" s="517" t="s">
        <v>355</v>
      </c>
      <c r="F4" s="3499"/>
      <c r="I4" s="3548" t="s">
        <v>356</v>
      </c>
      <c r="J4" s="3548">
        <v>80</v>
      </c>
      <c r="K4" s="3548">
        <v>70</v>
      </c>
      <c r="L4" s="3548">
        <v>20</v>
      </c>
      <c r="M4" s="3548">
        <v>30</v>
      </c>
      <c r="N4" s="517">
        <v>45</v>
      </c>
      <c r="O4" s="517">
        <v>60</v>
      </c>
      <c r="P4" s="517">
        <v>50</v>
      </c>
      <c r="Q4" s="517">
        <v>20</v>
      </c>
      <c r="R4" s="517">
        <v>375</v>
      </c>
    </row>
    <row r="5" spans="1:18">
      <c r="A5" s="3501">
        <v>40</v>
      </c>
      <c r="B5" s="3500">
        <v>46375</v>
      </c>
      <c r="C5" s="517">
        <f>ROUNDDOWN(MIN((B5-B3)/365,A5),2)</f>
        <v>1.4</v>
      </c>
      <c r="D5" s="3502">
        <f>IF(ISERROR(ROUND(POWER(1+E5,A5-C5)*(POWER(1+E5,C5)-1)/(POWER(1+E5,A5)-1),3)),0,ROUND(POWER(1+E5,A5-C5)*(POWER(1+E5,C5)-1)/(POWER(1+E5,A5)-1),4))</f>
        <v>0.0675</v>
      </c>
      <c r="E5" s="3503">
        <v>0.04</v>
      </c>
      <c r="F5" s="3499"/>
      <c r="I5" s="3548" t="s">
        <v>357</v>
      </c>
      <c r="J5" s="3548">
        <v>70</v>
      </c>
      <c r="K5" s="3548">
        <v>60</v>
      </c>
      <c r="L5" s="3548">
        <v>15</v>
      </c>
      <c r="M5" s="3548">
        <v>25</v>
      </c>
      <c r="N5" s="517">
        <v>40</v>
      </c>
      <c r="O5" s="517">
        <v>50</v>
      </c>
      <c r="P5" s="517">
        <v>40</v>
      </c>
      <c r="Q5" s="517">
        <v>15</v>
      </c>
      <c r="R5" s="517">
        <v>315</v>
      </c>
    </row>
    <row r="6" spans="1:18">
      <c r="A6" s="3501">
        <v>50</v>
      </c>
      <c r="B6" s="3500">
        <v>50028</v>
      </c>
      <c r="C6" s="517">
        <f>ROUNDDOWN(MIN((B6-B3)/365,A6),2)</f>
        <v>11.41</v>
      </c>
      <c r="D6" s="3502">
        <f>IF(ISERROR(ROUND(POWER(1+E6,A6-C6)*(POWER(1+E6,C6)-1)/(POWER(1+E6,A6)-1),3)),0,ROUND(POWER(1+E6,A6-C6)*(POWER(1+E6,C6)-1)/(POWER(1+E6,A6)-1),4))</f>
        <v>0.4199</v>
      </c>
      <c r="E6" s="3503">
        <v>0.04</v>
      </c>
      <c r="F6" s="3499"/>
      <c r="I6" s="3548" t="s">
        <v>358</v>
      </c>
      <c r="J6" s="3548">
        <v>60</v>
      </c>
      <c r="K6" s="3548">
        <v>50</v>
      </c>
      <c r="L6" s="3548">
        <v>10</v>
      </c>
      <c r="M6" s="3548">
        <v>20</v>
      </c>
      <c r="N6" s="517">
        <v>35</v>
      </c>
      <c r="O6" s="517">
        <v>40</v>
      </c>
      <c r="P6" s="517">
        <v>30</v>
      </c>
      <c r="Q6" s="517">
        <v>10</v>
      </c>
      <c r="R6" s="517">
        <v>255</v>
      </c>
    </row>
    <row r="7" spans="1:6">
      <c r="A7" s="3501">
        <v>70</v>
      </c>
      <c r="B7" s="3500">
        <v>57333</v>
      </c>
      <c r="C7" s="517">
        <f>ROUNDDOWN(MIN((B7-B3)/365,A7),2)</f>
        <v>31.43</v>
      </c>
      <c r="D7" s="3502">
        <f>IF(ISERROR(ROUND(POWER(1+E7,A7-C7)*(POWER(1+E7,C7)-1)/(POWER(1+E7,A7)-1),3)),0,ROUND(POWER(1+E7,A7-C7)*(POWER(1+E7,C7)-1)/(POWER(1+E7,A7)-1),4))</f>
        <v>0.7571</v>
      </c>
      <c r="E7" s="3503">
        <v>0.04</v>
      </c>
      <c r="F7" s="3499"/>
    </row>
    <row r="8" spans="1:6">
      <c r="A8" s="3497"/>
      <c r="B8" s="3498"/>
      <c r="C8" s="3498"/>
      <c r="D8" s="3498"/>
      <c r="E8" s="3498"/>
      <c r="F8" s="3499"/>
    </row>
    <row r="9" spans="1:6">
      <c r="A9" s="516" t="s">
        <v>359</v>
      </c>
      <c r="B9" s="517"/>
      <c r="C9" s="517"/>
      <c r="D9" s="517"/>
      <c r="E9" s="517"/>
      <c r="F9" s="569"/>
    </row>
    <row r="10" spans="1:6">
      <c r="A10" s="516" t="s">
        <v>360</v>
      </c>
      <c r="B10" s="517"/>
      <c r="C10" s="517"/>
      <c r="D10" s="517" t="s">
        <v>355</v>
      </c>
      <c r="E10" s="517"/>
      <c r="F10" s="569" t="s">
        <v>354</v>
      </c>
    </row>
    <row r="11" spans="1:6">
      <c r="A11" s="516" t="s">
        <v>361</v>
      </c>
      <c r="B11" s="3504">
        <v>70</v>
      </c>
      <c r="C11" s="517" t="s">
        <v>362</v>
      </c>
      <c r="D11" s="3505">
        <v>0.045</v>
      </c>
      <c r="E11" s="517" t="s">
        <v>363</v>
      </c>
      <c r="F11" s="3506">
        <f>ROUND(1-(1/(POWER(1+D11,B11))),4)</f>
        <v>0.9541</v>
      </c>
    </row>
    <row r="12" spans="1:6">
      <c r="A12" s="516" t="s">
        <v>364</v>
      </c>
      <c r="B12" s="3504">
        <v>40</v>
      </c>
      <c r="C12" s="517" t="s">
        <v>365</v>
      </c>
      <c r="D12" s="3505">
        <v>0.045</v>
      </c>
      <c r="E12" s="517" t="s">
        <v>366</v>
      </c>
      <c r="F12" s="3506">
        <f>ROUND(1-(1/(POWER(1+D12,B12))),4)</f>
        <v>0.8281</v>
      </c>
    </row>
    <row r="13" spans="1:6">
      <c r="A13" s="516" t="s">
        <v>367</v>
      </c>
      <c r="B13" s="517"/>
      <c r="C13" s="517"/>
      <c r="D13" s="3498"/>
      <c r="E13" s="3498"/>
      <c r="F13" s="3499"/>
    </row>
    <row r="14" spans="1:6">
      <c r="A14" s="516" t="s">
        <v>368</v>
      </c>
      <c r="B14" s="3504">
        <v>5000</v>
      </c>
      <c r="C14" s="3507"/>
      <c r="D14" s="3498"/>
      <c r="E14" s="3498"/>
      <c r="F14" s="3499"/>
    </row>
    <row r="15" spans="1:6">
      <c r="A15" s="516" t="s">
        <v>369</v>
      </c>
      <c r="B15" s="517">
        <f>ROUND(B14*F12/F11,2)</f>
        <v>4339.69</v>
      </c>
      <c r="C15" s="517">
        <f>ROUND(F12/F11,4)</f>
        <v>0.8679</v>
      </c>
      <c r="D15" s="3498"/>
      <c r="E15" s="3498"/>
      <c r="F15" s="3499"/>
    </row>
    <row r="16" spans="1:6">
      <c r="A16" s="516" t="s">
        <v>370</v>
      </c>
      <c r="B16" s="517"/>
      <c r="C16" s="517"/>
      <c r="D16" s="3498"/>
      <c r="E16" s="3498"/>
      <c r="F16" s="3499"/>
    </row>
    <row r="17" spans="1:6">
      <c r="A17" s="516" t="s">
        <v>369</v>
      </c>
      <c r="B17" s="3505">
        <v>4810</v>
      </c>
      <c r="C17" s="3507"/>
      <c r="D17" s="3498"/>
      <c r="E17" s="3498"/>
      <c r="F17" s="3499"/>
    </row>
    <row r="18" ht="14.75" spans="1:6">
      <c r="A18" s="3508" t="s">
        <v>368</v>
      </c>
      <c r="B18" s="572">
        <f>ROUND(B17*F11/F12,2)</f>
        <v>5541.87</v>
      </c>
      <c r="C18" s="572">
        <f>ROUND(F11/F12,4)</f>
        <v>1.1522</v>
      </c>
      <c r="D18" s="3509"/>
      <c r="E18" s="3509"/>
      <c r="F18" s="3510"/>
    </row>
    <row r="19" ht="14.75"/>
    <row r="20" s="3491" customFormat="1" ht="14.75" spans="1:13">
      <c r="A20" s="3511" t="s">
        <v>371</v>
      </c>
      <c r="B20" s="3512"/>
      <c r="C20" s="3512"/>
      <c r="D20" s="3512"/>
      <c r="E20" s="3512"/>
      <c r="F20" s="3512"/>
      <c r="G20" s="3513"/>
      <c r="I20" s="3550" t="s">
        <v>372</v>
      </c>
      <c r="J20" s="3550" t="s">
        <v>373</v>
      </c>
      <c r="K20" s="3550"/>
      <c r="L20" s="3550"/>
      <c r="M20" s="3550"/>
    </row>
    <row r="21" spans="1:10">
      <c r="A21" s="3514"/>
      <c r="B21" s="3515" t="s">
        <v>374</v>
      </c>
      <c r="C21" s="3515" t="s">
        <v>353</v>
      </c>
      <c r="D21" s="3515" t="s">
        <v>375</v>
      </c>
      <c r="E21" s="3515" t="s">
        <v>354</v>
      </c>
      <c r="F21" s="3515" t="s">
        <v>376</v>
      </c>
      <c r="G21" s="3516" t="s">
        <v>377</v>
      </c>
      <c r="I21" s="3493">
        <v>5</v>
      </c>
      <c r="J21" s="3493">
        <v>54.2</v>
      </c>
    </row>
    <row r="22" spans="1:11">
      <c r="A22" s="3514" t="s">
        <v>378</v>
      </c>
      <c r="B22" s="3517">
        <v>70</v>
      </c>
      <c r="C22" s="3517">
        <v>30</v>
      </c>
      <c r="D22" s="3518">
        <v>0.04</v>
      </c>
      <c r="E22" s="3515">
        <f>ROUND(POWER(1+D22,B22-C22)*(POWER(1+D22,C22)-1)/(POWER(1+D22,B22)-1),3)</f>
        <v>0.739</v>
      </c>
      <c r="F22" s="3518">
        <v>0.7</v>
      </c>
      <c r="G22" s="3516">
        <f>ROUND(100*(1-(1-E22)*F22),1)</f>
        <v>81.7</v>
      </c>
      <c r="I22" s="3493">
        <v>10</v>
      </c>
      <c r="J22" s="3493">
        <v>65.4</v>
      </c>
      <c r="K22" s="3493">
        <f>J22-J21</f>
        <v>11.2</v>
      </c>
    </row>
    <row r="23" spans="1:14">
      <c r="A23" s="3514" t="s">
        <v>379</v>
      </c>
      <c r="B23" s="3517">
        <v>70</v>
      </c>
      <c r="C23" s="3517">
        <v>40</v>
      </c>
      <c r="D23" s="3518">
        <v>0.04</v>
      </c>
      <c r="E23" s="3515">
        <f t="shared" ref="E23:E25" si="0">ROUND(POWER(1+D23,B23-C23)*(POWER(1+D23,C23)-1)/(POWER(1+D23,B23)-1),3)</f>
        <v>0.846</v>
      </c>
      <c r="F23" s="3518">
        <f>F22</f>
        <v>0.7</v>
      </c>
      <c r="G23" s="3516">
        <f t="shared" ref="G23:G25" si="1">ROUND(100*(1-(1-E23)*F23),1)</f>
        <v>89.2</v>
      </c>
      <c r="I23" s="3493">
        <v>15</v>
      </c>
      <c r="J23" s="3493">
        <v>74.1</v>
      </c>
      <c r="K23" s="3493">
        <f t="shared" ref="K23:K30" si="2">J23-J22</f>
        <v>8.69999999999999</v>
      </c>
      <c r="L23" s="3493" t="s">
        <v>380</v>
      </c>
      <c r="N23" s="3551" t="s">
        <v>381</v>
      </c>
    </row>
    <row r="24" spans="1:14">
      <c r="A24" s="3514" t="s">
        <v>382</v>
      </c>
      <c r="B24" s="3517">
        <v>70</v>
      </c>
      <c r="C24" s="3517">
        <v>50</v>
      </c>
      <c r="D24" s="3518">
        <v>0.04</v>
      </c>
      <c r="E24" s="3515">
        <f t="shared" si="0"/>
        <v>0.918</v>
      </c>
      <c r="F24" s="3518">
        <f>F23</f>
        <v>0.7</v>
      </c>
      <c r="G24" s="3516">
        <f t="shared" si="1"/>
        <v>94.3</v>
      </c>
      <c r="I24" s="3493">
        <v>20</v>
      </c>
      <c r="J24" s="3493">
        <v>81</v>
      </c>
      <c r="K24" s="3493">
        <f t="shared" si="2"/>
        <v>6.90000000000001</v>
      </c>
      <c r="L24" s="3493" t="s">
        <v>383</v>
      </c>
      <c r="N24" s="3551">
        <v>10</v>
      </c>
    </row>
    <row r="25" spans="1:14">
      <c r="A25" s="3514" t="s">
        <v>384</v>
      </c>
      <c r="B25" s="3517">
        <v>70</v>
      </c>
      <c r="C25" s="3517">
        <v>60</v>
      </c>
      <c r="D25" s="3518">
        <v>0.04</v>
      </c>
      <c r="E25" s="3515">
        <f t="shared" si="0"/>
        <v>0.967</v>
      </c>
      <c r="F25" s="3518">
        <f>F24</f>
        <v>0.7</v>
      </c>
      <c r="G25" s="3516">
        <f t="shared" si="1"/>
        <v>97.7</v>
      </c>
      <c r="I25" s="3493">
        <v>25</v>
      </c>
      <c r="J25" s="3493">
        <v>86.3</v>
      </c>
      <c r="K25" s="3493">
        <f t="shared" si="2"/>
        <v>5.3</v>
      </c>
      <c r="L25" s="3493" t="s">
        <v>385</v>
      </c>
      <c r="N25" s="3551">
        <v>8</v>
      </c>
    </row>
    <row r="26" spans="1:14">
      <c r="A26" s="3519"/>
      <c r="B26" s="3520"/>
      <c r="C26" s="3520"/>
      <c r="D26" s="3520"/>
      <c r="E26" s="3520"/>
      <c r="F26" s="3520"/>
      <c r="G26" s="3521"/>
      <c r="I26" s="3493">
        <v>30</v>
      </c>
      <c r="J26" s="3493">
        <v>90.5</v>
      </c>
      <c r="K26" s="3493">
        <f t="shared" si="2"/>
        <v>4.2</v>
      </c>
      <c r="L26" s="3493" t="s">
        <v>386</v>
      </c>
      <c r="N26" s="3551">
        <v>5</v>
      </c>
    </row>
    <row r="27" spans="1:14">
      <c r="A27" s="3519" t="s">
        <v>387</v>
      </c>
      <c r="B27" s="3520"/>
      <c r="C27" s="3520"/>
      <c r="D27" s="3520"/>
      <c r="E27" s="3520"/>
      <c r="F27" s="3520"/>
      <c r="G27" s="3521"/>
      <c r="I27" s="3493">
        <v>35</v>
      </c>
      <c r="J27" s="3493">
        <v>93.8</v>
      </c>
      <c r="K27" s="3493">
        <f t="shared" si="2"/>
        <v>3.3</v>
      </c>
      <c r="L27" s="3493" t="s">
        <v>388</v>
      </c>
      <c r="N27" s="3551">
        <v>3</v>
      </c>
    </row>
    <row r="28" spans="1:14">
      <c r="A28" s="3519" t="s">
        <v>389</v>
      </c>
      <c r="B28" s="3520"/>
      <c r="C28" s="3520"/>
      <c r="D28" s="3520"/>
      <c r="E28" s="3520"/>
      <c r="F28" s="3520"/>
      <c r="G28" s="3521"/>
      <c r="I28" s="3493">
        <v>40</v>
      </c>
      <c r="J28" s="3493">
        <v>96.4</v>
      </c>
      <c r="K28" s="3493">
        <f t="shared" si="2"/>
        <v>2.60000000000001</v>
      </c>
      <c r="L28" s="3493" t="s">
        <v>390</v>
      </c>
      <c r="N28" s="3551">
        <v>2</v>
      </c>
    </row>
    <row r="29" spans="1:11">
      <c r="A29" s="3519" t="s">
        <v>391</v>
      </c>
      <c r="B29" s="3520"/>
      <c r="C29" s="3520"/>
      <c r="D29" s="3520"/>
      <c r="E29" s="3520"/>
      <c r="F29" s="3520"/>
      <c r="G29" s="3521"/>
      <c r="I29" s="3493">
        <v>45</v>
      </c>
      <c r="J29" s="3493">
        <v>98.4</v>
      </c>
      <c r="K29" s="3493">
        <f t="shared" si="2"/>
        <v>2</v>
      </c>
    </row>
    <row r="30" spans="1:11">
      <c r="A30" s="3519" t="s">
        <v>392</v>
      </c>
      <c r="B30" s="3520"/>
      <c r="C30" s="3520"/>
      <c r="D30" s="3520"/>
      <c r="E30" s="3520"/>
      <c r="F30" s="3520"/>
      <c r="G30" s="3521"/>
      <c r="I30" s="3493">
        <v>50</v>
      </c>
      <c r="J30" s="3493">
        <v>100</v>
      </c>
      <c r="K30" s="3493">
        <f t="shared" si="2"/>
        <v>1.59999999999999</v>
      </c>
    </row>
    <row r="31" spans="1:9">
      <c r="A31" s="3519" t="s">
        <v>393</v>
      </c>
      <c r="B31" s="3520"/>
      <c r="C31" s="3520"/>
      <c r="D31" s="3520"/>
      <c r="E31" s="3520"/>
      <c r="F31" s="3520"/>
      <c r="G31" s="3521"/>
      <c r="I31" s="3493" t="s">
        <v>394</v>
      </c>
    </row>
    <row r="32" spans="1:7">
      <c r="A32" s="3519" t="s">
        <v>395</v>
      </c>
      <c r="B32" s="3520"/>
      <c r="C32" s="3520"/>
      <c r="D32" s="3520"/>
      <c r="E32" s="3520"/>
      <c r="F32" s="3520"/>
      <c r="G32" s="3521"/>
    </row>
    <row r="33" spans="1:10">
      <c r="A33" s="3519" t="s">
        <v>396</v>
      </c>
      <c r="B33" s="3520"/>
      <c r="C33" s="3520"/>
      <c r="D33" s="3520"/>
      <c r="E33" s="3520"/>
      <c r="F33" s="3520"/>
      <c r="G33" s="3521"/>
      <c r="I33" s="3493" t="s">
        <v>372</v>
      </c>
      <c r="J33" s="3493" t="s">
        <v>397</v>
      </c>
    </row>
    <row r="34" spans="1:10">
      <c r="A34" s="3519" t="s">
        <v>398</v>
      </c>
      <c r="B34" s="3520"/>
      <c r="C34" s="3520"/>
      <c r="D34" s="3520"/>
      <c r="E34" s="3520"/>
      <c r="F34" s="3520"/>
      <c r="G34" s="3521"/>
      <c r="I34" s="3493">
        <v>5</v>
      </c>
      <c r="J34" s="3493">
        <v>55.1</v>
      </c>
    </row>
    <row r="35" spans="1:11">
      <c r="A35" s="3519" t="s">
        <v>399</v>
      </c>
      <c r="B35" s="3520"/>
      <c r="C35" s="3520"/>
      <c r="D35" s="3520"/>
      <c r="E35" s="3520"/>
      <c r="F35" s="3520"/>
      <c r="G35" s="3521"/>
      <c r="I35" s="3493">
        <v>10</v>
      </c>
      <c r="J35" s="3493">
        <v>67</v>
      </c>
      <c r="K35" s="3493">
        <f>J35-J34</f>
        <v>11.9</v>
      </c>
    </row>
    <row r="36" spans="1:14">
      <c r="A36" s="3519" t="s">
        <v>400</v>
      </c>
      <c r="B36" s="3520"/>
      <c r="C36" s="3520"/>
      <c r="D36" s="3520"/>
      <c r="E36" s="3520"/>
      <c r="F36" s="3520"/>
      <c r="G36" s="3521"/>
      <c r="I36" s="3493">
        <v>15</v>
      </c>
      <c r="J36" s="3493">
        <v>76.3</v>
      </c>
      <c r="K36" s="3493">
        <f t="shared" ref="K36:K41" si="3">J36-J35</f>
        <v>9.3</v>
      </c>
      <c r="L36" s="3493" t="s">
        <v>380</v>
      </c>
      <c r="N36" s="3551" t="s">
        <v>381</v>
      </c>
    </row>
    <row r="37" spans="1:14">
      <c r="A37" s="3519" t="s">
        <v>401</v>
      </c>
      <c r="B37" s="3520"/>
      <c r="C37" s="3520"/>
      <c r="D37" s="3520"/>
      <c r="E37" s="3520"/>
      <c r="F37" s="3520"/>
      <c r="G37" s="3521"/>
      <c r="I37" s="3493">
        <v>20</v>
      </c>
      <c r="J37" s="3493">
        <v>83.6</v>
      </c>
      <c r="K37" s="3493">
        <f t="shared" si="3"/>
        <v>7.3</v>
      </c>
      <c r="L37" s="3493" t="s">
        <v>383</v>
      </c>
      <c r="N37" s="3551">
        <v>10</v>
      </c>
    </row>
    <row r="38" spans="1:14">
      <c r="A38" s="3519" t="s">
        <v>402</v>
      </c>
      <c r="B38" s="3520"/>
      <c r="C38" s="3520"/>
      <c r="D38" s="3520"/>
      <c r="E38" s="3520"/>
      <c r="F38" s="3520"/>
      <c r="G38" s="3521"/>
      <c r="I38" s="3493">
        <v>25</v>
      </c>
      <c r="J38" s="3493">
        <v>89.3</v>
      </c>
      <c r="K38" s="3493">
        <f t="shared" si="3"/>
        <v>5.7</v>
      </c>
      <c r="L38" s="3493" t="s">
        <v>385</v>
      </c>
      <c r="N38" s="3551">
        <v>8</v>
      </c>
    </row>
    <row r="39" spans="1:14">
      <c r="A39" s="3519"/>
      <c r="B39" s="3520"/>
      <c r="C39" s="3520"/>
      <c r="D39" s="3520"/>
      <c r="E39" s="3520"/>
      <c r="F39" s="3520"/>
      <c r="G39" s="3521"/>
      <c r="I39" s="3493">
        <v>30</v>
      </c>
      <c r="J39" s="3493">
        <v>93.8</v>
      </c>
      <c r="K39" s="3493">
        <f t="shared" si="3"/>
        <v>4.5</v>
      </c>
      <c r="L39" s="3493" t="s">
        <v>386</v>
      </c>
      <c r="N39" s="3551">
        <v>6</v>
      </c>
    </row>
    <row r="40" spans="1:14">
      <c r="A40" s="3522" t="s">
        <v>403</v>
      </c>
      <c r="B40" s="3523"/>
      <c r="C40" s="3523"/>
      <c r="D40" s="3523"/>
      <c r="E40" s="3523"/>
      <c r="F40" s="3523"/>
      <c r="G40" s="3524"/>
      <c r="I40" s="3493">
        <v>35</v>
      </c>
      <c r="J40" s="3493">
        <v>97.2</v>
      </c>
      <c r="K40" s="3493">
        <f t="shared" si="3"/>
        <v>3.40000000000001</v>
      </c>
      <c r="L40" s="3493" t="s">
        <v>388</v>
      </c>
      <c r="N40" s="3551">
        <v>3</v>
      </c>
    </row>
    <row r="41" spans="1:11">
      <c r="A41" s="3525" t="s">
        <v>404</v>
      </c>
      <c r="B41" s="3526" t="s">
        <v>405</v>
      </c>
      <c r="C41" s="3527" t="s">
        <v>406</v>
      </c>
      <c r="D41" s="3527" t="s">
        <v>407</v>
      </c>
      <c r="E41" s="3528"/>
      <c r="F41" s="3529"/>
      <c r="G41" s="3530"/>
      <c r="I41" s="3493">
        <v>40</v>
      </c>
      <c r="J41" s="3493">
        <v>100</v>
      </c>
      <c r="K41" s="3493">
        <f t="shared" si="3"/>
        <v>2.8</v>
      </c>
    </row>
    <row r="42" spans="1:7">
      <c r="A42" s="3525" t="s">
        <v>408</v>
      </c>
      <c r="B42" s="3526" t="s">
        <v>409</v>
      </c>
      <c r="C42" s="3527" t="s">
        <v>409</v>
      </c>
      <c r="D42" s="3531" t="s">
        <v>410</v>
      </c>
      <c r="E42" s="3523" t="s">
        <v>411</v>
      </c>
      <c r="F42" s="3523"/>
      <c r="G42" s="3524"/>
    </row>
    <row r="43" spans="1:10">
      <c r="A43" s="3525" t="s">
        <v>412</v>
      </c>
      <c r="B43" s="3526" t="s">
        <v>413</v>
      </c>
      <c r="C43" s="3527" t="s">
        <v>414</v>
      </c>
      <c r="D43" s="3527" t="s">
        <v>415</v>
      </c>
      <c r="E43" s="3528" t="s">
        <v>416</v>
      </c>
      <c r="F43" s="3529"/>
      <c r="G43" s="3530"/>
      <c r="I43" s="3493" t="s">
        <v>372</v>
      </c>
      <c r="J43" s="3493" t="s">
        <v>417</v>
      </c>
    </row>
    <row r="44" spans="1:10">
      <c r="A44" s="3525" t="s">
        <v>418</v>
      </c>
      <c r="B44" s="3526" t="s">
        <v>419</v>
      </c>
      <c r="C44" s="3527" t="s">
        <v>420</v>
      </c>
      <c r="D44" s="3531">
        <v>0.5</v>
      </c>
      <c r="E44" s="3528" t="s">
        <v>421</v>
      </c>
      <c r="F44" s="3529"/>
      <c r="G44" s="3530"/>
      <c r="I44" s="3493">
        <v>30</v>
      </c>
      <c r="J44" s="3493">
        <v>81.7</v>
      </c>
    </row>
    <row r="45" ht="14.75" spans="1:11">
      <c r="A45" s="3532" t="s">
        <v>422</v>
      </c>
      <c r="B45" s="3533" t="s">
        <v>409</v>
      </c>
      <c r="C45" s="3534" t="s">
        <v>409</v>
      </c>
      <c r="D45" s="3534" t="s">
        <v>423</v>
      </c>
      <c r="E45" s="3535" t="s">
        <v>424</v>
      </c>
      <c r="F45" s="3535"/>
      <c r="G45" s="3536"/>
      <c r="I45" s="3493">
        <v>40</v>
      </c>
      <c r="J45" s="3493">
        <v>89.2</v>
      </c>
      <c r="K45" s="3493">
        <f>J45-J44</f>
        <v>7.5</v>
      </c>
    </row>
    <row r="46" spans="9:11">
      <c r="I46" s="3493">
        <v>50</v>
      </c>
      <c r="J46" s="3493">
        <v>94.3</v>
      </c>
      <c r="K46" s="3493">
        <f t="shared" ref="K46:K47" si="4">J46-J45</f>
        <v>5.09999999999999</v>
      </c>
    </row>
    <row r="47" spans="9:11">
      <c r="I47" s="3493">
        <v>60</v>
      </c>
      <c r="J47" s="3493">
        <v>97.7</v>
      </c>
      <c r="K47" s="3493">
        <f t="shared" si="4"/>
        <v>3.40000000000001</v>
      </c>
    </row>
    <row r="48" ht="14.75"/>
    <row r="49" spans="1:1">
      <c r="A49" s="3494" t="s">
        <v>425</v>
      </c>
    </row>
    <row r="50" spans="1:4">
      <c r="A50" s="3537" t="s">
        <v>426</v>
      </c>
      <c r="B50" s="3537" t="s">
        <v>427</v>
      </c>
      <c r="C50" s="3537" t="s">
        <v>428</v>
      </c>
      <c r="D50" s="3537" t="s">
        <v>429</v>
      </c>
    </row>
    <row r="51" spans="1:4">
      <c r="A51" s="3537" t="s">
        <v>430</v>
      </c>
      <c r="B51" s="3507">
        <f>B52+B53</f>
        <v>15000</v>
      </c>
      <c r="C51" s="3538">
        <f>D51/B51</f>
        <v>2666.66666666667</v>
      </c>
      <c r="D51" s="3507">
        <f>D52+D53</f>
        <v>40000000</v>
      </c>
    </row>
    <row r="52" spans="1:4">
      <c r="A52" s="3539" t="s">
        <v>431</v>
      </c>
      <c r="B52" s="3540">
        <v>10000</v>
      </c>
      <c r="C52" s="3540">
        <v>1500</v>
      </c>
      <c r="D52" s="3541">
        <f>C52*B52</f>
        <v>15000000</v>
      </c>
    </row>
    <row r="53" spans="1:4">
      <c r="A53" s="3539" t="s">
        <v>432</v>
      </c>
      <c r="B53" s="3540">
        <v>5000</v>
      </c>
      <c r="C53" s="3540">
        <v>5000</v>
      </c>
      <c r="D53" s="3541">
        <f>C53*B53</f>
        <v>25000000</v>
      </c>
    </row>
    <row r="54" spans="1:4">
      <c r="A54" s="3537" t="s">
        <v>433</v>
      </c>
      <c r="B54" s="3507">
        <f>B51</f>
        <v>15000</v>
      </c>
      <c r="C54" s="3505">
        <v>700</v>
      </c>
      <c r="D54" s="3507">
        <f t="shared" ref="D54:D55" si="5">C54*B54</f>
        <v>10500000</v>
      </c>
    </row>
    <row r="55" spans="1:4">
      <c r="A55" s="3537" t="s">
        <v>434</v>
      </c>
      <c r="B55" s="3507">
        <f>B51</f>
        <v>15000</v>
      </c>
      <c r="C55" s="3505">
        <v>1500</v>
      </c>
      <c r="D55" s="3507">
        <f t="shared" si="5"/>
        <v>22500000</v>
      </c>
    </row>
    <row r="56" spans="1:4">
      <c r="A56" s="3537" t="s">
        <v>435</v>
      </c>
      <c r="B56" s="3507">
        <f>B51</f>
        <v>15000</v>
      </c>
      <c r="C56" s="3542">
        <f>C51+C54+C55</f>
        <v>4866.66666666667</v>
      </c>
      <c r="D56" s="3507">
        <f>D51+D54+D55</f>
        <v>73000000</v>
      </c>
    </row>
    <row r="58" spans="1:4">
      <c r="A58" s="3537" t="s">
        <v>436</v>
      </c>
      <c r="B58" s="3543">
        <v>0.05</v>
      </c>
      <c r="C58" s="3507">
        <f>C56*(1+B58)</f>
        <v>5110</v>
      </c>
      <c r="D58" s="3507">
        <f>D56*B58</f>
        <v>3650000</v>
      </c>
    </row>
    <row r="60" spans="1:4">
      <c r="A60" s="3537" t="s">
        <v>437</v>
      </c>
      <c r="B60" s="3505">
        <v>3500</v>
      </c>
      <c r="C60" s="3505">
        <f>C53</f>
        <v>5000</v>
      </c>
      <c r="D60" s="3507">
        <f>C60*B60</f>
        <v>17500000</v>
      </c>
    </row>
    <row r="62" spans="1:4">
      <c r="A62" s="3537" t="s">
        <v>350</v>
      </c>
      <c r="B62" s="3505">
        <f>B51</f>
        <v>15000</v>
      </c>
      <c r="C62" s="3544">
        <f>D62/B62</f>
        <v>6276.66666666667</v>
      </c>
      <c r="D62" s="350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37" customWidth="1"/>
    <col min="10" max="10" width="10" style="3140" customWidth="1"/>
    <col min="11" max="11" width="10" style="3336" customWidth="1"/>
    <col min="12" max="13" width="10" style="3337" customWidth="1"/>
    <col min="14" max="14" width="10" style="3140" customWidth="1"/>
    <col min="15" max="15" width="10" style="1000" customWidth="1"/>
    <col min="16" max="17" width="10" style="3140"/>
    <col min="18" max="18" width="10" style="3140" customWidth="1"/>
    <col min="19" max="30" width="10" style="3140"/>
    <col min="31" max="16384" width="10" style="2943"/>
  </cols>
  <sheetData>
    <row r="1" ht="13.75" spans="1:28">
      <c r="A1" s="3338" t="s">
        <v>438</v>
      </c>
      <c r="B1" s="3339" t="str">
        <f>IF(B10="北京市","北京市",C10)&amp;F10&amp;IF(结果表!G1="在建","出让国有建设用地使用权及在建建筑物",IF(结果表!G1="土地","出让国有建设用地使用权",))&amp;B9&amp;"预评估"</f>
        <v>房地产抵押价值预评估</v>
      </c>
      <c r="C1" s="3340"/>
      <c r="D1" s="3340"/>
      <c r="E1" s="3340"/>
      <c r="F1" s="3340"/>
      <c r="G1" s="3340"/>
      <c r="H1" s="3340"/>
      <c r="I1" s="3455"/>
      <c r="J1" s="2893"/>
      <c r="K1" s="3456"/>
      <c r="L1" s="3457"/>
      <c r="M1" s="3457"/>
      <c r="N1" s="3384"/>
      <c r="O1" s="3245"/>
      <c r="P1" s="3384"/>
      <c r="Q1" s="3384"/>
      <c r="R1" s="3384"/>
      <c r="S1" s="2944" t="str">
        <f>IF(B10="北京市","北京市",C10)&amp;F10&amp;IF(结果表!G1="在建","出让国有建设用地使用权及在建建筑物房地产抵押价值",IF(结果表!G1="土地","出让国有建设用地使用权抵押价值",B9))</f>
        <v>房地产抵押价值</v>
      </c>
      <c r="T1" s="2943"/>
      <c r="U1" s="2943"/>
      <c r="V1" s="2943"/>
      <c r="W1" s="2943"/>
      <c r="X1" s="2943"/>
      <c r="Y1" s="2943"/>
      <c r="Z1" s="2943"/>
      <c r="AA1" s="2943"/>
      <c r="AB1" s="2943"/>
    </row>
    <row r="2" ht="13" spans="1:28">
      <c r="A2" s="3341" t="s">
        <v>439</v>
      </c>
      <c r="B2" s="3342"/>
      <c r="C2" s="3343"/>
      <c r="D2" s="3344"/>
      <c r="E2" s="3345"/>
      <c r="F2" s="3345"/>
      <c r="G2" s="3346"/>
      <c r="H2" s="3346"/>
      <c r="I2" s="3346"/>
      <c r="J2" s="2893"/>
      <c r="K2" s="3456"/>
      <c r="L2" s="3457"/>
      <c r="M2" s="3457"/>
      <c r="N2" s="3384"/>
      <c r="O2" s="3245"/>
      <c r="P2" s="3384"/>
      <c r="Q2" s="3384"/>
      <c r="R2" s="3384"/>
      <c r="S2" s="2944" t="str">
        <f>IF(B10="北京市","北京市",C10)&amp;F10&amp;IF(结果表!G1="在建","出让国有建设用地使用权及在建建筑物房地产",IF(结果表!G1="土地","出让国有建设用地使用权","房地产"))</f>
        <v>房地产</v>
      </c>
      <c r="T2" s="2943"/>
      <c r="U2" s="2943"/>
      <c r="V2" s="2943"/>
      <c r="W2" s="2943"/>
      <c r="X2" s="2943"/>
      <c r="Y2" s="2943"/>
      <c r="Z2" s="2943"/>
      <c r="AA2" s="2943"/>
      <c r="AB2" s="2943"/>
    </row>
    <row r="3" ht="13" spans="1:28">
      <c r="A3" s="2102" t="s">
        <v>440</v>
      </c>
      <c r="B3" s="3347"/>
      <c r="C3" s="3348" t="s">
        <v>441</v>
      </c>
      <c r="D3" s="3347">
        <v>45861</v>
      </c>
      <c r="E3" s="3346"/>
      <c r="F3" s="3346"/>
      <c r="G3" s="3346"/>
      <c r="H3" s="3346"/>
      <c r="I3" s="3346"/>
      <c r="J3" s="2893"/>
      <c r="K3" s="3456"/>
      <c r="L3" s="3457"/>
      <c r="M3" s="3457"/>
      <c r="N3" s="3384"/>
      <c r="O3" s="3245"/>
      <c r="P3" s="3384"/>
      <c r="Q3" s="3384"/>
      <c r="R3" s="3384"/>
      <c r="S3" s="2944"/>
      <c r="T3" s="2943"/>
      <c r="U3" s="2943"/>
      <c r="V3" s="2943"/>
      <c r="W3" s="2943"/>
      <c r="X3" s="2943"/>
      <c r="Y3" s="2943"/>
      <c r="Z3" s="2943"/>
      <c r="AA3" s="2943"/>
      <c r="AB3" s="2943"/>
    </row>
    <row r="4" ht="13.75" spans="1:28">
      <c r="A4" s="2126" t="s">
        <v>442</v>
      </c>
      <c r="B4" s="3349"/>
      <c r="C4" s="3350">
        <f ca="1">SUMIF(注册房地产估价师,B4,估价师及机构信息!B3:B24)</f>
        <v>0</v>
      </c>
      <c r="D4" s="3349"/>
      <c r="E4" s="3351">
        <f ca="1">SUMIF(注册房地产估价师,D4,估价师及机构信息!B3:B24)</f>
        <v>0</v>
      </c>
      <c r="F4" s="3349"/>
      <c r="G4" s="3351">
        <f ca="1">SUMIF(注册房地产估价师,F4,估价师及机构信息!B3:B24)</f>
        <v>0</v>
      </c>
      <c r="H4" s="3349"/>
      <c r="I4" s="3351">
        <f ca="1">SUMIF(注册房地产估价师,H4,估价师及机构信息!B3:B24)</f>
        <v>0</v>
      </c>
      <c r="J4" s="2927"/>
      <c r="K4" s="3458" t="str">
        <f ca="1">CONCATENATE(B4,"（注册号：",C4,")、",D4,"（注册号：",E4,")")</f>
        <v>（注册号：0)、（注册号：0)</v>
      </c>
      <c r="L4" s="3457"/>
      <c r="M4" s="3457"/>
      <c r="N4" s="3384"/>
      <c r="O4" s="3245"/>
      <c r="P4" s="3384"/>
      <c r="Q4" s="3384"/>
      <c r="R4" s="3384"/>
      <c r="S4" s="2944"/>
      <c r="T4" s="2943"/>
      <c r="U4" s="2943"/>
      <c r="V4" s="2943"/>
      <c r="W4" s="2943"/>
      <c r="X4" s="2943"/>
      <c r="Y4" s="2943"/>
      <c r="Z4" s="2943"/>
      <c r="AA4" s="2943"/>
      <c r="AB4" s="2943"/>
    </row>
    <row r="5" ht="13.75" spans="1:28">
      <c r="A5" s="3352" t="s">
        <v>443</v>
      </c>
      <c r="B5" s="3353"/>
      <c r="C5" s="3354"/>
      <c r="D5" s="3355"/>
      <c r="E5" s="3048"/>
      <c r="F5" s="3048"/>
      <c r="G5" s="3048"/>
      <c r="H5" s="3048"/>
      <c r="I5" s="3048"/>
      <c r="J5" s="2927"/>
      <c r="K5" s="3458" t="str">
        <f ca="1">IF(F4="——","",IF(H4="——",F4&amp;"（注册号："&amp;G4&amp;")",CONCATENATE(F4,"（注册号：",G4,")、",H4,"（注册号：",I4,")")))</f>
        <v>（注册号：0)、（注册号：0)</v>
      </c>
      <c r="L5" s="3457"/>
      <c r="M5" s="3457"/>
      <c r="N5" s="3384"/>
      <c r="O5" s="3245"/>
      <c r="P5" s="3384"/>
      <c r="Q5" s="3384"/>
      <c r="R5" s="3384"/>
      <c r="S5" s="2943"/>
      <c r="T5" s="2943"/>
      <c r="U5" s="2943"/>
      <c r="V5" s="2943"/>
      <c r="W5" s="2943"/>
      <c r="X5" s="2943"/>
      <c r="Y5" s="2943"/>
      <c r="Z5" s="2943"/>
      <c r="AA5" s="2943"/>
      <c r="AB5" s="2943"/>
    </row>
    <row r="6" ht="13" spans="1:18">
      <c r="A6" s="3356" t="s">
        <v>444</v>
      </c>
      <c r="B6" s="3357"/>
      <c r="C6" s="3358"/>
      <c r="D6" s="3359"/>
      <c r="E6" s="3345"/>
      <c r="F6" s="3048"/>
      <c r="G6" s="3048"/>
      <c r="H6" s="3048"/>
      <c r="I6" s="3048"/>
      <c r="J6" s="2927"/>
      <c r="K6" s="3459" t="str">
        <f>IF(COUNTIF(B6,"*上海银行*"),"上海银行","")</f>
        <v/>
      </c>
      <c r="L6" s="3460"/>
      <c r="M6" s="3460"/>
      <c r="N6" s="2927"/>
      <c r="O6" s="3461"/>
      <c r="P6" s="2927"/>
      <c r="Q6" s="2927"/>
      <c r="R6" s="2927"/>
    </row>
    <row r="7" ht="13" spans="1:18">
      <c r="A7" s="3356" t="s">
        <v>445</v>
      </c>
      <c r="B7" s="3360"/>
      <c r="C7" s="3358"/>
      <c r="D7" s="3359"/>
      <c r="E7" s="3345"/>
      <c r="F7" s="3048"/>
      <c r="G7" s="3048"/>
      <c r="H7" s="3048"/>
      <c r="I7" s="3048"/>
      <c r="J7" s="2927"/>
      <c r="K7" s="3462"/>
      <c r="L7" s="3460"/>
      <c r="M7" s="3460"/>
      <c r="N7" s="2927"/>
      <c r="O7" s="3461"/>
      <c r="P7" s="2927"/>
      <c r="Q7" s="2927"/>
      <c r="R7" s="2927"/>
    </row>
    <row r="8" ht="13" spans="1:18">
      <c r="A8" s="3361" t="s">
        <v>446</v>
      </c>
      <c r="B8" s="3362" t="s">
        <v>325</v>
      </c>
      <c r="C8" s="3363"/>
      <c r="D8" s="3364" t="s">
        <v>447</v>
      </c>
      <c r="E8" s="3365" t="s">
        <v>330</v>
      </c>
      <c r="F8" s="3366"/>
      <c r="G8" s="3346"/>
      <c r="H8" s="3346"/>
      <c r="I8" s="3346"/>
      <c r="J8" s="2927"/>
      <c r="K8" s="3463"/>
      <c r="L8" s="3460"/>
      <c r="M8" s="3460"/>
      <c r="N8" s="2927"/>
      <c r="O8" s="3461"/>
      <c r="P8" s="2927"/>
      <c r="Q8" s="2927"/>
      <c r="R8" s="2927"/>
    </row>
    <row r="9" ht="13.75" spans="1:18">
      <c r="A9" s="3367" t="s">
        <v>448</v>
      </c>
      <c r="B9" s="3368" t="s">
        <v>330</v>
      </c>
      <c r="C9" s="3369"/>
      <c r="D9" s="3370"/>
      <c r="E9" s="3368"/>
      <c r="F9" s="3371"/>
      <c r="G9" s="3372"/>
      <c r="H9" s="3372"/>
      <c r="I9" s="3372"/>
      <c r="J9" s="2927"/>
      <c r="K9" s="3462"/>
      <c r="L9" s="3460"/>
      <c r="M9" s="3460"/>
      <c r="N9" s="2927"/>
      <c r="O9" s="3461"/>
      <c r="P9" s="2927"/>
      <c r="Q9" s="2927"/>
      <c r="R9" s="2927"/>
    </row>
    <row r="10" ht="13.75" spans="1:18">
      <c r="A10" s="3373" t="s">
        <v>449</v>
      </c>
      <c r="B10" s="3374" t="s">
        <v>450</v>
      </c>
      <c r="C10" s="3375"/>
      <c r="D10" s="3355"/>
      <c r="E10" s="3376" t="s">
        <v>451</v>
      </c>
      <c r="F10" s="3377"/>
      <c r="G10" s="3378"/>
      <c r="H10" s="3379"/>
      <c r="I10" s="3464"/>
      <c r="J10" s="2927"/>
      <c r="K10" s="3462"/>
      <c r="L10" s="3460"/>
      <c r="M10" s="3460"/>
      <c r="N10" s="2927"/>
      <c r="O10" s="3461"/>
      <c r="P10" s="2927"/>
      <c r="Q10" s="2927"/>
      <c r="R10" s="2927"/>
    </row>
    <row r="11" ht="13" spans="1:18">
      <c r="A11" s="3380" t="s">
        <v>452</v>
      </c>
      <c r="B11" s="3381" t="s">
        <v>453</v>
      </c>
      <c r="C11" s="3382"/>
      <c r="D11" s="3383"/>
      <c r="E11" s="3384"/>
      <c r="F11" s="3384"/>
      <c r="G11" s="3384"/>
      <c r="H11" s="3384"/>
      <c r="I11" s="3384"/>
      <c r="J11" s="3465"/>
      <c r="K11" s="3466"/>
      <c r="L11" s="3460"/>
      <c r="M11" s="3460"/>
      <c r="N11" s="2927"/>
      <c r="O11" s="3461"/>
      <c r="P11" s="2927"/>
      <c r="Q11" s="2927"/>
      <c r="R11" s="2927"/>
    </row>
    <row r="12" ht="13" spans="1:30">
      <c r="A12" s="3385" t="s">
        <v>454</v>
      </c>
      <c r="B12" s="2145" t="s">
        <v>455</v>
      </c>
      <c r="C12" s="3386" t="s">
        <v>456</v>
      </c>
      <c r="D12" s="3386" t="s">
        <v>457</v>
      </c>
      <c r="E12" s="3386" t="s">
        <v>458</v>
      </c>
      <c r="F12" s="3386" t="s">
        <v>459</v>
      </c>
      <c r="G12" s="3386" t="s">
        <v>460</v>
      </c>
      <c r="H12" s="3386" t="s">
        <v>461</v>
      </c>
      <c r="I12" s="3467" t="s">
        <v>280</v>
      </c>
      <c r="J12" s="3468"/>
      <c r="K12" s="3460"/>
      <c r="L12" s="3460"/>
      <c r="M12" s="2927"/>
      <c r="N12" s="3461"/>
      <c r="O12" s="2927"/>
      <c r="P12" s="2927"/>
      <c r="Q12" s="2927"/>
      <c r="AD12" s="2943"/>
    </row>
    <row r="13" ht="13" spans="1:30">
      <c r="A13" s="3387" t="s">
        <v>462</v>
      </c>
      <c r="B13" s="3388" t="s">
        <v>463</v>
      </c>
      <c r="C13" s="3389"/>
      <c r="D13" s="3389"/>
      <c r="E13" s="3389"/>
      <c r="F13" s="3389"/>
      <c r="G13" s="3389"/>
      <c r="H13" s="3389">
        <v>60646</v>
      </c>
      <c r="I13" s="3389"/>
      <c r="J13" s="3468"/>
      <c r="K13" s="3460"/>
      <c r="L13" s="3460"/>
      <c r="M13" s="2927"/>
      <c r="N13" s="3461"/>
      <c r="O13" s="2927"/>
      <c r="P13" s="2927"/>
      <c r="Q13" s="2927"/>
      <c r="AD13" s="2943"/>
    </row>
    <row r="14" ht="13" spans="1:30">
      <c r="A14" s="2131"/>
      <c r="B14" s="3388" t="s">
        <v>464</v>
      </c>
      <c r="C14" s="3390"/>
      <c r="D14" s="3390"/>
      <c r="E14" s="3390"/>
      <c r="F14" s="3390"/>
      <c r="G14" s="3390"/>
      <c r="H14" s="3390">
        <v>50</v>
      </c>
      <c r="I14" s="3390"/>
      <c r="J14" s="3469"/>
      <c r="K14" s="3460"/>
      <c r="L14" s="3460"/>
      <c r="M14" s="2927"/>
      <c r="N14" s="3461"/>
      <c r="O14" s="2927"/>
      <c r="P14" s="2927"/>
      <c r="Q14" s="2927"/>
      <c r="AD14" s="2943"/>
    </row>
    <row r="15" ht="13" spans="1:30">
      <c r="A15" s="2138"/>
      <c r="B15" s="3391" t="s">
        <v>465</v>
      </c>
      <c r="C15" s="3392" t="str">
        <f>IF(A13="出让",IF(C13="","",ROUNDDOWN(MIN((C13-$D$3)/365,C14),2)),C14)</f>
        <v/>
      </c>
      <c r="D15" s="3392" t="str">
        <f>IF(A13="出让",IF(D13="","",ROUNDDOWN(MIN((D13-$D$3)/365,D14),2)),D14)</f>
        <v/>
      </c>
      <c r="E15" s="3392" t="str">
        <f>IF(A13="出让",IF(E13="","",ROUNDDOWN(MIN((E13-$D$3)/365,E14),2)),E14)</f>
        <v/>
      </c>
      <c r="F15" s="3392" t="str">
        <f>IF(A13="出让",IF(F13="","",ROUNDDOWN(MIN((F13-$D$3)/365,F14),2)),F14)</f>
        <v/>
      </c>
      <c r="G15" s="3392" t="str">
        <f>IF(A13="出让",IF(G13="","",ROUNDDOWN(MIN((G13-$D$3)/365,G14),2)),G14)</f>
        <v/>
      </c>
      <c r="H15" s="3392">
        <f>IF(A13="出让",IF(H13="","",ROUNDDOWN(MIN((H13-$D$3)/365,H14),2)),H14)</f>
        <v>40.5</v>
      </c>
      <c r="I15" s="3392" t="str">
        <f>IF(A13="出让",IF(I13="","",ROUNDDOWN(MIN((I13-$D$3)/365,I14),2)),I14)</f>
        <v/>
      </c>
      <c r="J15" s="3470"/>
      <c r="K15" s="3471"/>
      <c r="L15" s="3471"/>
      <c r="M15" s="2928"/>
      <c r="N15" s="3471"/>
      <c r="O15" s="2928"/>
      <c r="P15" s="2927"/>
      <c r="Q15" s="2927"/>
      <c r="AD15" s="2943"/>
    </row>
    <row r="16" ht="13" spans="1:18">
      <c r="A16" s="3376" t="s">
        <v>466</v>
      </c>
      <c r="B16" s="3393"/>
      <c r="C16" s="3394"/>
      <c r="D16" s="3395"/>
      <c r="E16" s="3396" t="s">
        <v>467</v>
      </c>
      <c r="F16" s="3397"/>
      <c r="G16" s="3398"/>
      <c r="H16" s="3398"/>
      <c r="I16" s="3472"/>
      <c r="J16" s="2927"/>
      <c r="K16" s="3473"/>
      <c r="L16" s="3471"/>
      <c r="M16" s="3471"/>
      <c r="N16" s="2928"/>
      <c r="O16" s="3471"/>
      <c r="P16" s="2928"/>
      <c r="Q16" s="2927"/>
      <c r="R16" s="2927"/>
    </row>
    <row r="17" ht="13" spans="1:22">
      <c r="A17" s="2115" t="s">
        <v>468</v>
      </c>
      <c r="B17" s="2102" t="s">
        <v>469</v>
      </c>
      <c r="C17" s="1063">
        <f>'数据-汇总表'!E3</f>
        <v>54377.37</v>
      </c>
      <c r="D17" s="2158" t="s">
        <v>470</v>
      </c>
      <c r="E17" s="3399" t="s">
        <v>471</v>
      </c>
      <c r="F17" s="3400"/>
      <c r="G17" s="3400"/>
      <c r="H17" s="3400"/>
      <c r="I17" s="3474"/>
      <c r="J17" s="2927"/>
      <c r="K17" s="3475"/>
      <c r="L17" s="3471"/>
      <c r="M17" s="3471"/>
      <c r="N17" s="2928"/>
      <c r="O17" s="3471"/>
      <c r="P17" s="2928"/>
      <c r="Q17" s="2927"/>
      <c r="R17" s="2927"/>
      <c r="S17" s="2927"/>
      <c r="T17" s="2927"/>
      <c r="U17" s="2927"/>
      <c r="V17" s="2927"/>
    </row>
    <row r="18" ht="26.75" spans="1:22">
      <c r="A18" s="3401" t="s">
        <v>472</v>
      </c>
      <c r="B18" s="2126" t="s">
        <v>473</v>
      </c>
      <c r="C18" s="3402">
        <f>'数据-汇总表'!D3</f>
        <v>11805</v>
      </c>
      <c r="D18" s="2151" t="s">
        <v>470</v>
      </c>
      <c r="E18" s="3403" t="s">
        <v>474</v>
      </c>
      <c r="F18" s="3404"/>
      <c r="G18" s="3404"/>
      <c r="H18" s="3404"/>
      <c r="I18" s="3476"/>
      <c r="J18" s="2927"/>
      <c r="K18" s="3475"/>
      <c r="L18" s="3471"/>
      <c r="M18" s="3471"/>
      <c r="N18" s="2928"/>
      <c r="O18" s="3471"/>
      <c r="P18" s="2928"/>
      <c r="Q18" s="2927"/>
      <c r="R18" s="2927"/>
      <c r="S18" s="2927"/>
      <c r="T18" s="2927"/>
      <c r="U18" s="2927"/>
      <c r="V18" s="2927"/>
    </row>
    <row r="19" ht="40.5" spans="1:22">
      <c r="A19" s="2168" t="s">
        <v>475</v>
      </c>
      <c r="B19" s="2107" t="s">
        <v>476</v>
      </c>
      <c r="C19" s="3405"/>
      <c r="D19" s="3406" t="s">
        <v>477</v>
      </c>
      <c r="E19" s="3407"/>
      <c r="F19" s="3408" t="str">
        <f>IF(AND(C19="是",E19="否"),"是否提供他项权证或相关说明","")</f>
        <v/>
      </c>
      <c r="G19" s="3409"/>
      <c r="H19" s="3048"/>
      <c r="I19" s="3048"/>
      <c r="J19" s="2927"/>
      <c r="K19" s="3462"/>
      <c r="L19" s="3460"/>
      <c r="M19" s="3460"/>
      <c r="N19" s="2928"/>
      <c r="O19" s="3471"/>
      <c r="P19" s="2928"/>
      <c r="Q19" s="2927"/>
      <c r="R19" s="2927"/>
      <c r="S19" s="2927"/>
      <c r="T19" s="2927"/>
      <c r="U19" s="2927"/>
      <c r="V19" s="2927"/>
    </row>
    <row r="20" ht="13" spans="1:28">
      <c r="A20" s="3410" t="s">
        <v>478</v>
      </c>
      <c r="B20" s="3411" t="s">
        <v>479</v>
      </c>
      <c r="C20" s="3412"/>
      <c r="D20" s="3413" t="s">
        <v>480</v>
      </c>
      <c r="E20" s="3414"/>
      <c r="F20" s="3415" t="s">
        <v>481</v>
      </c>
      <c r="G20" s="3048"/>
      <c r="H20" s="3048"/>
      <c r="I20" s="3048"/>
      <c r="J20" s="2927"/>
      <c r="K20" s="3256" t="s">
        <v>482</v>
      </c>
      <c r="L20" s="2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7"/>
      <c r="N20" s="3477"/>
      <c r="O20" s="3478"/>
      <c r="P20" s="3477"/>
      <c r="Q20" s="3384"/>
      <c r="R20" s="3384"/>
      <c r="S20" s="3384"/>
      <c r="T20" s="3384"/>
      <c r="U20" s="3384"/>
      <c r="V20" s="3384"/>
      <c r="W20" s="2943"/>
      <c r="X20" s="2943"/>
      <c r="Y20" s="2943"/>
      <c r="Z20" s="2943"/>
      <c r="AA20" s="2943"/>
      <c r="AB20" s="2943"/>
    </row>
    <row r="21" ht="26.75" spans="1:28">
      <c r="A21" s="3410"/>
      <c r="B21" s="3416" t="s">
        <v>483</v>
      </c>
      <c r="C21" s="3417" t="s">
        <v>484</v>
      </c>
      <c r="D21" s="3418" t="s">
        <v>485</v>
      </c>
      <c r="E21" s="3419" t="s">
        <v>484</v>
      </c>
      <c r="F21" s="3420"/>
      <c r="G21" s="3048"/>
      <c r="H21" s="3048"/>
      <c r="I21" s="3048"/>
      <c r="J21" s="2927"/>
      <c r="K21" s="3256"/>
      <c r="L21" s="2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7"/>
      <c r="N21" s="3477"/>
      <c r="O21" s="3478"/>
      <c r="P21" s="3477"/>
      <c r="Q21" s="3384"/>
      <c r="R21" s="3384"/>
      <c r="S21" s="3384"/>
      <c r="T21" s="3384"/>
      <c r="U21" s="3384"/>
      <c r="V21" s="3384"/>
      <c r="W21" s="2943"/>
      <c r="X21" s="2943"/>
      <c r="Y21" s="2943"/>
      <c r="Z21" s="2943"/>
      <c r="AA21" s="2943"/>
      <c r="AB21" s="2943"/>
    </row>
    <row r="22" ht="26.75" spans="1:28">
      <c r="A22" s="3410"/>
      <c r="B22" s="3421" t="s">
        <v>486</v>
      </c>
      <c r="C22" s="3417" t="s">
        <v>487</v>
      </c>
      <c r="D22" s="3346"/>
      <c r="E22" s="3346"/>
      <c r="F22" s="3346"/>
      <c r="G22" s="3048"/>
      <c r="H22" s="3048"/>
      <c r="I22" s="3048"/>
      <c r="J22" s="2927"/>
      <c r="K22" s="3256"/>
      <c r="L22" s="2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7"/>
      <c r="N22" s="3477"/>
      <c r="O22" s="3478"/>
      <c r="P22" s="3477"/>
      <c r="Q22" s="3384"/>
      <c r="R22" s="3384"/>
      <c r="S22" s="3384"/>
      <c r="T22" s="3384"/>
      <c r="U22" s="3384"/>
      <c r="V22" s="3384"/>
      <c r="W22" s="2943"/>
      <c r="X22" s="2943"/>
      <c r="Y22" s="2943"/>
      <c r="Z22" s="2943"/>
      <c r="AA22" s="2943"/>
      <c r="AB22" s="2943"/>
    </row>
    <row r="23" ht="13" spans="1:22">
      <c r="A23" s="3422" t="s">
        <v>488</v>
      </c>
      <c r="B23" s="2918" t="s">
        <v>489</v>
      </c>
      <c r="C23" s="3423"/>
      <c r="D23" s="3424" t="s">
        <v>489</v>
      </c>
      <c r="E23" s="3425"/>
      <c r="F23" s="3346"/>
      <c r="G23" s="3048"/>
      <c r="H23" s="3048"/>
      <c r="I23" s="3048"/>
      <c r="J23" s="2927"/>
      <c r="K23" s="3479"/>
      <c r="L23" s="2267"/>
      <c r="M23" s="3460"/>
      <c r="N23" s="2928"/>
      <c r="O23" s="3471"/>
      <c r="P23" s="2928"/>
      <c r="Q23" s="2927"/>
      <c r="R23" s="2927"/>
      <c r="S23" s="2927"/>
      <c r="T23" s="2927"/>
      <c r="U23" s="2927"/>
      <c r="V23" s="2927"/>
    </row>
    <row r="24" ht="13" spans="1:22">
      <c r="A24" s="3422"/>
      <c r="B24" s="2918" t="s">
        <v>490</v>
      </c>
      <c r="C24" s="3426"/>
      <c r="D24" s="3422" t="s">
        <v>490</v>
      </c>
      <c r="E24" s="3427"/>
      <c r="F24" s="3346"/>
      <c r="G24" s="3048"/>
      <c r="H24" s="3048"/>
      <c r="I24" s="3048"/>
      <c r="J24" s="2927"/>
      <c r="K24" s="3479"/>
      <c r="L24" s="2267"/>
      <c r="M24" s="3460"/>
      <c r="N24" s="2928"/>
      <c r="O24" s="3471"/>
      <c r="P24" s="2928"/>
      <c r="Q24" s="2927"/>
      <c r="R24" s="2927"/>
      <c r="S24" s="2927"/>
      <c r="T24" s="2927"/>
      <c r="U24" s="2927"/>
      <c r="V24" s="2927"/>
    </row>
    <row r="25" ht="13" spans="1:22">
      <c r="A25" s="3422"/>
      <c r="B25" s="2918" t="s">
        <v>491</v>
      </c>
      <c r="C25" s="3426"/>
      <c r="D25" s="3422" t="s">
        <v>491</v>
      </c>
      <c r="E25" s="3427"/>
      <c r="F25" s="3346"/>
      <c r="G25" s="3048"/>
      <c r="H25" s="3048"/>
      <c r="I25" s="3048"/>
      <c r="J25" s="2927"/>
      <c r="K25" s="3462"/>
      <c r="L25" s="3460"/>
      <c r="M25" s="3460"/>
      <c r="N25" s="2928"/>
      <c r="O25" s="3471"/>
      <c r="P25" s="2928"/>
      <c r="Q25" s="2927"/>
      <c r="R25" s="2927"/>
      <c r="S25" s="2927"/>
      <c r="T25" s="2927"/>
      <c r="U25" s="2927"/>
      <c r="V25" s="2927"/>
    </row>
    <row r="26" ht="13.75" spans="1:22">
      <c r="A26" s="3428"/>
      <c r="B26" s="3429" t="s">
        <v>492</v>
      </c>
      <c r="C26" s="3430"/>
      <c r="D26" s="3428" t="s">
        <v>492</v>
      </c>
      <c r="E26" s="3431"/>
      <c r="F26" s="3372"/>
      <c r="G26" s="3372"/>
      <c r="H26" s="3372"/>
      <c r="I26" s="3372"/>
      <c r="J26" s="2927"/>
      <c r="K26" s="3462"/>
      <c r="L26" s="3460"/>
      <c r="M26" s="3460"/>
      <c r="N26" s="2928"/>
      <c r="O26" s="3471"/>
      <c r="P26" s="2928"/>
      <c r="Q26" s="2927"/>
      <c r="R26" s="2927"/>
      <c r="S26" s="2927"/>
      <c r="T26" s="2927"/>
      <c r="U26" s="2927"/>
      <c r="V26" s="2927"/>
    </row>
    <row r="27" ht="13.75" spans="1:22">
      <c r="A27" s="2131" t="s">
        <v>493</v>
      </c>
      <c r="B27" s="2138" t="s">
        <v>494</v>
      </c>
      <c r="C27" s="3432" t="s">
        <v>495</v>
      </c>
      <c r="D27" s="3433"/>
      <c r="E27" s="3048"/>
      <c r="F27" s="3048"/>
      <c r="G27" s="3048"/>
      <c r="H27" s="3048"/>
      <c r="I27" s="3048"/>
      <c r="J27" s="2927"/>
      <c r="K27" s="3473"/>
      <c r="L27" s="3471"/>
      <c r="M27" s="3471"/>
      <c r="N27" s="2928"/>
      <c r="O27" s="3471"/>
      <c r="P27" s="2928"/>
      <c r="Q27" s="2927"/>
      <c r="R27" s="2927"/>
      <c r="S27" s="2927"/>
      <c r="T27" s="2927"/>
      <c r="U27" s="2927"/>
      <c r="V27" s="2927"/>
    </row>
    <row r="28" ht="13" spans="1:22">
      <c r="A28" s="2131"/>
      <c r="B28" s="2102" t="s">
        <v>496</v>
      </c>
      <c r="C28" s="3434"/>
      <c r="D28" s="3435"/>
      <c r="E28" s="3048"/>
      <c r="F28" s="3048"/>
      <c r="G28" s="3048"/>
      <c r="H28" s="3048"/>
      <c r="I28" s="3048"/>
      <c r="J28" s="2927"/>
      <c r="K28" s="3462"/>
      <c r="L28" s="3460"/>
      <c r="M28" s="3460"/>
      <c r="N28" s="2927"/>
      <c r="O28" s="3461"/>
      <c r="P28" s="2927"/>
      <c r="Q28" s="2927"/>
      <c r="R28" s="2927"/>
      <c r="S28" s="2927"/>
      <c r="T28" s="2927"/>
      <c r="U28" s="2927"/>
      <c r="V28" s="2927"/>
    </row>
    <row r="29" ht="13" spans="1:22">
      <c r="A29" s="2131"/>
      <c r="B29" s="2102" t="s">
        <v>497</v>
      </c>
      <c r="C29" s="3436"/>
      <c r="D29" s="3437"/>
      <c r="E29" s="3048"/>
      <c r="F29" s="3048"/>
      <c r="G29" s="3048"/>
      <c r="H29" s="3048"/>
      <c r="I29" s="3048"/>
      <c r="J29" s="2927"/>
      <c r="K29" s="3462"/>
      <c r="L29" s="3460"/>
      <c r="M29" s="3460"/>
      <c r="N29" s="2927"/>
      <c r="O29" s="3461"/>
      <c r="P29" s="2927"/>
      <c r="Q29" s="2927"/>
      <c r="R29" s="2927"/>
      <c r="S29" s="2927"/>
      <c r="T29" s="2927"/>
      <c r="U29" s="2927"/>
      <c r="V29" s="2927"/>
    </row>
    <row r="30" ht="13" spans="1:22">
      <c r="A30" s="2138"/>
      <c r="B30" s="2102" t="s">
        <v>498</v>
      </c>
      <c r="C30" s="3438"/>
      <c r="D30" s="3439"/>
      <c r="E30" s="3048"/>
      <c r="F30" s="3048"/>
      <c r="G30" s="3048"/>
      <c r="H30" s="3048"/>
      <c r="I30" s="3048"/>
      <c r="J30" s="2927"/>
      <c r="K30" s="3462"/>
      <c r="L30" s="3460"/>
      <c r="M30" s="3460"/>
      <c r="N30" s="2927"/>
      <c r="O30" s="3461"/>
      <c r="P30" s="2927"/>
      <c r="Q30" s="2927"/>
      <c r="R30" s="2927"/>
      <c r="S30" s="2927"/>
      <c r="T30" s="2927"/>
      <c r="U30" s="2927"/>
      <c r="V30" s="2927"/>
    </row>
    <row r="31" spans="1:22">
      <c r="A31" s="3440" t="s">
        <v>499</v>
      </c>
      <c r="B31" s="3441"/>
      <c r="C31" s="2258" t="str">
        <f>IF(B31="现房","成新及维护状况正常否",IF(B31="在建","工程状态是否正常",IF(B31="土地","是否闲置","-")))</f>
        <v>-</v>
      </c>
      <c r="D31" s="2360"/>
      <c r="E31" s="3442"/>
      <c r="F31" s="3048"/>
      <c r="G31" s="3048"/>
      <c r="H31" s="3048"/>
      <c r="I31" s="3048"/>
      <c r="J31" s="2927"/>
      <c r="K31" s="3459"/>
      <c r="L31" s="3460"/>
      <c r="M31" s="3460"/>
      <c r="N31" s="2927"/>
      <c r="O31" s="3461"/>
      <c r="P31" s="2927"/>
      <c r="Q31" s="2927"/>
      <c r="R31" s="2927"/>
      <c r="S31" s="2927"/>
      <c r="T31" s="2927"/>
      <c r="U31" s="2927"/>
      <c r="V31" s="2927"/>
    </row>
    <row r="32" spans="1:22">
      <c r="A32" s="2628"/>
      <c r="B32" s="3441"/>
      <c r="C32" s="2258" t="str">
        <f>IF(B32="现房","成新及维护状况是否正常",IF(B32="在建","工程状态是否正常",IF(B32="土地","是否闲置","-")))</f>
        <v>-</v>
      </c>
      <c r="D32" s="2360"/>
      <c r="E32" s="3442"/>
      <c r="F32" s="3048"/>
      <c r="G32" s="3048"/>
      <c r="H32" s="3048"/>
      <c r="I32" s="3048"/>
      <c r="J32" s="2927"/>
      <c r="K32" s="3462"/>
      <c r="L32" s="3460"/>
      <c r="M32" s="3460"/>
      <c r="N32" s="2927"/>
      <c r="O32" s="3461"/>
      <c r="P32" s="2927"/>
      <c r="Q32" s="2927"/>
      <c r="R32" s="2927"/>
      <c r="S32" s="2927"/>
      <c r="T32" s="2927"/>
      <c r="U32" s="2927"/>
      <c r="V32" s="2927"/>
    </row>
    <row r="33" spans="1:22">
      <c r="A33" s="2628"/>
      <c r="B33" s="3443"/>
      <c r="C33" s="2627" t="str">
        <f>IF(B33="现房","成新及维护状况是否正常",IF(B33="在建","工程状态是否正常",IF(B33="土地","是否闲置","-")))</f>
        <v>-</v>
      </c>
      <c r="D33" s="2113"/>
      <c r="E33" s="3444"/>
      <c r="F33" s="3048"/>
      <c r="G33" s="3048"/>
      <c r="H33" s="3048"/>
      <c r="I33" s="3048"/>
      <c r="J33" s="2927"/>
      <c r="K33" s="3462"/>
      <c r="L33" s="3460"/>
      <c r="M33" s="3460"/>
      <c r="N33" s="2927"/>
      <c r="O33" s="3461"/>
      <c r="P33" s="2927"/>
      <c r="Q33" s="2927"/>
      <c r="R33" s="2927"/>
      <c r="S33" s="2927"/>
      <c r="T33" s="2927"/>
      <c r="U33" s="2927"/>
      <c r="V33" s="2927"/>
    </row>
    <row r="34" ht="13" spans="1:22">
      <c r="A34" s="2102" t="s">
        <v>500</v>
      </c>
      <c r="B34" s="620"/>
      <c r="C34" s="620"/>
      <c r="D34" s="620"/>
      <c r="E34" s="620"/>
      <c r="F34" s="620"/>
      <c r="G34" s="620"/>
      <c r="H34" s="620"/>
      <c r="I34" s="3048"/>
      <c r="J34" s="2927"/>
      <c r="K34" s="1063">
        <f>COUNTIF(B34:H34,"——")</f>
        <v>0</v>
      </c>
      <c r="L34" s="2145" t="s">
        <v>501</v>
      </c>
      <c r="M34" s="2145" t="s">
        <v>502</v>
      </c>
      <c r="N34" s="2145" t="s">
        <v>503</v>
      </c>
      <c r="O34" s="2145" t="s">
        <v>504</v>
      </c>
      <c r="P34" s="2145" t="s">
        <v>505</v>
      </c>
      <c r="Q34" s="2145" t="s">
        <v>506</v>
      </c>
      <c r="R34" s="2145" t="s">
        <v>507</v>
      </c>
      <c r="S34" s="1063" t="s">
        <v>508</v>
      </c>
      <c r="T34" s="2145" t="str">
        <f>NUMBERSTRING(7-K34,1)&amp;"通"</f>
        <v>七通</v>
      </c>
      <c r="U34" s="2927"/>
      <c r="V34" s="2927"/>
    </row>
    <row r="35" spans="1:22">
      <c r="A35" s="3445"/>
      <c r="B35" s="1121" t="s">
        <v>509</v>
      </c>
      <c r="C35" s="1121"/>
      <c r="D35" s="1121"/>
      <c r="E35" s="1121"/>
      <c r="F35" s="1121">
        <f>C10</f>
        <v>0</v>
      </c>
      <c r="G35" s="3048"/>
      <c r="H35" s="3048"/>
      <c r="I35" s="3048"/>
      <c r="J35" s="2927"/>
      <c r="K35" s="2145"/>
      <c r="L35" s="2145">
        <f>B34</f>
        <v>0</v>
      </c>
      <c r="M35" s="2147" t="str">
        <f>B34&amp;"、"&amp;C34</f>
        <v>、</v>
      </c>
      <c r="N35" s="2147" t="str">
        <f>B34&amp;"、"&amp;C34&amp;"、"&amp;D34</f>
        <v>、、</v>
      </c>
      <c r="O35" s="2147" t="str">
        <f>B34&amp;"、"&amp;C34&amp;"、"&amp;D34&amp;"、"&amp;E34</f>
        <v>、、、</v>
      </c>
      <c r="P35" s="2147" t="str">
        <f>B34&amp;"、"&amp;C34&amp;"、"&amp;D34&amp;"、"&amp;E34&amp;"、"&amp;F34</f>
        <v>、、、、</v>
      </c>
      <c r="Q35" s="2147" t="str">
        <f>B34&amp;"、"&amp;C34&amp;"、"&amp;D34&amp;"、"&amp;E34&amp;"、"&amp;F34&amp;"、"&amp;G34</f>
        <v>、、、、、</v>
      </c>
      <c r="R35" s="2147" t="str">
        <f>B34&amp;"、"&amp;C34&amp;"、"&amp;D34&amp;"、"&amp;E34&amp;"、"&amp;F34&amp;"、"&amp;G34&amp;"、"&amp;H34</f>
        <v>、、、、、、</v>
      </c>
      <c r="S35" s="1063"/>
      <c r="T35" s="2147" t="str">
        <f>IF(T34="一通",L35,IF(T34="二通",M35,IF(T34="三通",N35,IF(T34="四通",O35,IF(T34="五通",P35,IF(T34="六通",Q35,R35))))))</f>
        <v>、、、、、、</v>
      </c>
      <c r="U35" s="2927"/>
      <c r="V35" s="2927"/>
    </row>
    <row r="36" ht="13" spans="1:22">
      <c r="A36" s="3446"/>
      <c r="B36" s="1121" t="s">
        <v>457</v>
      </c>
      <c r="C36" s="1121" t="s">
        <v>458</v>
      </c>
      <c r="D36" s="1121" t="s">
        <v>456</v>
      </c>
      <c r="E36" s="1121" t="s">
        <v>461</v>
      </c>
      <c r="F36" s="3447" t="s">
        <v>280</v>
      </c>
      <c r="G36" s="3048"/>
      <c r="H36" s="3048"/>
      <c r="I36" s="3048"/>
      <c r="J36" s="2927"/>
      <c r="K36" s="3462"/>
      <c r="L36" s="3460"/>
      <c r="M36" s="3460"/>
      <c r="N36" s="2927"/>
      <c r="O36" s="3461"/>
      <c r="P36" s="2927"/>
      <c r="Q36" s="2927"/>
      <c r="R36" s="2927"/>
      <c r="S36" s="2927"/>
      <c r="T36" s="2927"/>
      <c r="U36" s="2927"/>
      <c r="V36" s="2927"/>
    </row>
    <row r="37" ht="13" spans="1:22">
      <c r="A37" s="3448" t="s">
        <v>510</v>
      </c>
      <c r="B37" s="3449"/>
      <c r="C37" s="3449"/>
      <c r="D37" s="3449"/>
      <c r="E37" s="3449"/>
      <c r="F37" s="3449"/>
      <c r="G37" s="3048"/>
      <c r="H37" s="3048"/>
      <c r="I37" s="3048"/>
      <c r="J37" s="2927"/>
      <c r="K37" s="3462"/>
      <c r="L37" s="3460"/>
      <c r="M37" s="3460"/>
      <c r="N37" s="2927"/>
      <c r="O37" s="3461"/>
      <c r="P37" s="2927"/>
      <c r="Q37" s="2927"/>
      <c r="R37" s="2927"/>
      <c r="S37" s="2927"/>
      <c r="T37" s="2927"/>
      <c r="U37" s="2927"/>
      <c r="V37" s="2927"/>
    </row>
    <row r="38" ht="13.75" spans="1:22">
      <c r="A38" s="3450" t="s">
        <v>511</v>
      </c>
      <c r="B38" s="3451"/>
      <c r="C38" s="3451"/>
      <c r="D38" s="3451"/>
      <c r="E38" s="3451"/>
      <c r="F38" s="3451"/>
      <c r="G38" s="3372"/>
      <c r="H38" s="3372"/>
      <c r="I38" s="3372"/>
      <c r="J38" s="2927"/>
      <c r="K38" s="3462"/>
      <c r="L38" s="3460"/>
      <c r="M38" s="3460"/>
      <c r="N38" s="2927"/>
      <c r="O38" s="3461"/>
      <c r="P38" s="2927"/>
      <c r="Q38" s="2927"/>
      <c r="R38" s="2927"/>
      <c r="S38" s="2927"/>
      <c r="T38" s="2927"/>
      <c r="U38" s="2927"/>
      <c r="V38" s="2927"/>
    </row>
    <row r="39" s="3335" customFormat="1" ht="14.5" spans="1:30">
      <c r="A39" s="3452" t="s">
        <v>512</v>
      </c>
      <c r="B39" s="3453"/>
      <c r="C39" s="3453"/>
      <c r="D39" s="3453"/>
      <c r="E39" s="3453"/>
      <c r="F39" s="3453"/>
      <c r="G39" s="3453"/>
      <c r="H39" s="3453"/>
      <c r="I39" s="3453"/>
      <c r="J39" s="3480"/>
      <c r="K39" s="3481"/>
      <c r="L39" s="3480"/>
      <c r="M39" s="3480"/>
      <c r="N39" s="3480"/>
      <c r="O39" s="3482"/>
      <c r="P39" s="3480"/>
      <c r="Q39" s="3480"/>
      <c r="R39" s="3480"/>
      <c r="S39" s="3480"/>
      <c r="T39" s="3480"/>
      <c r="U39" s="3480"/>
      <c r="V39" s="3480"/>
      <c r="W39" s="3489"/>
      <c r="X39" s="3489"/>
      <c r="Y39" s="3489"/>
      <c r="Z39" s="3489"/>
      <c r="AA39" s="3489"/>
      <c r="AB39" s="3489"/>
      <c r="AC39" s="3489"/>
      <c r="AD39" s="3489"/>
    </row>
    <row r="40" spans="1:22">
      <c r="A40" s="3384"/>
      <c r="B40" s="3384"/>
      <c r="C40" s="3384"/>
      <c r="D40" s="3384"/>
      <c r="E40" s="3384"/>
      <c r="F40" s="3384"/>
      <c r="G40" s="3384"/>
      <c r="H40" s="3384"/>
      <c r="I40" s="2653"/>
      <c r="J40" s="2928"/>
      <c r="K40" s="3459"/>
      <c r="L40" s="3471"/>
      <c r="M40" s="3471"/>
      <c r="N40" s="2928"/>
      <c r="O40" s="3471"/>
      <c r="P40" s="2927"/>
      <c r="Q40" s="2927"/>
      <c r="R40" s="2927"/>
      <c r="S40" s="2927"/>
      <c r="T40" s="2927"/>
      <c r="U40" s="2927"/>
      <c r="V40" s="2927"/>
    </row>
    <row r="41" ht="13" spans="1:22">
      <c r="A41" s="3454" t="s">
        <v>513</v>
      </c>
      <c r="B41" s="2517"/>
      <c r="C41" s="2360"/>
      <c r="D41" s="3384"/>
      <c r="E41" s="3384"/>
      <c r="F41" s="3384"/>
      <c r="G41" s="3384"/>
      <c r="H41" s="3384"/>
      <c r="I41" s="3245"/>
      <c r="J41" s="2927"/>
      <c r="K41" s="3462"/>
      <c r="L41" s="3460"/>
      <c r="M41" s="3460"/>
      <c r="N41" s="2927"/>
      <c r="O41" s="3461"/>
      <c r="P41" s="2927"/>
      <c r="Q41" s="2927"/>
      <c r="R41" s="2927"/>
      <c r="S41" s="2927"/>
      <c r="T41" s="2927"/>
      <c r="U41" s="2927"/>
      <c r="V41" s="2927"/>
    </row>
    <row r="42" ht="26" spans="1:22">
      <c r="A42" s="2145" t="s">
        <v>514</v>
      </c>
      <c r="B42" s="1063" t="s">
        <v>515</v>
      </c>
      <c r="C42" s="1063" t="s">
        <v>516</v>
      </c>
      <c r="D42" s="1063" t="s">
        <v>517</v>
      </c>
      <c r="E42" s="1063" t="s">
        <v>518</v>
      </c>
      <c r="F42" s="1063" t="s">
        <v>519</v>
      </c>
      <c r="G42" s="1063" t="s">
        <v>520</v>
      </c>
      <c r="H42" s="1063" t="s">
        <v>521</v>
      </c>
      <c r="I42" s="1063" t="s">
        <v>522</v>
      </c>
      <c r="J42" s="3483" t="s">
        <v>523</v>
      </c>
      <c r="K42" s="3484" t="s">
        <v>524</v>
      </c>
      <c r="L42" s="3484" t="s">
        <v>525</v>
      </c>
      <c r="M42" s="3484" t="s">
        <v>526</v>
      </c>
      <c r="N42" s="3485" t="s">
        <v>527</v>
      </c>
      <c r="O42" s="3485" t="s">
        <v>528</v>
      </c>
      <c r="P42" s="3485" t="s">
        <v>529</v>
      </c>
      <c r="Q42" s="3490" t="s">
        <v>530</v>
      </c>
      <c r="R42" s="3490" t="s">
        <v>531</v>
      </c>
      <c r="S42" s="2927"/>
      <c r="T42" s="2927"/>
      <c r="U42" s="2927"/>
      <c r="V42" s="2927"/>
    </row>
    <row r="43" s="3140" customFormat="1" spans="1:22">
      <c r="A43" s="3272"/>
      <c r="B43" s="3266"/>
      <c r="C43" s="3266"/>
      <c r="D43" s="3266"/>
      <c r="E43" s="3266"/>
      <c r="F43" s="3266"/>
      <c r="G43" s="3266"/>
      <c r="H43" s="3266"/>
      <c r="I43" s="3266"/>
      <c r="J43" s="3486"/>
      <c r="K43" s="3487"/>
      <c r="L43" s="3487"/>
      <c r="M43" s="3266"/>
      <c r="N43" s="3266"/>
      <c r="O43" s="3266"/>
      <c r="P43" s="3266"/>
      <c r="Q43" s="3266"/>
      <c r="R43" s="3266"/>
      <c r="S43" s="2927"/>
      <c r="T43" s="2927"/>
      <c r="U43" s="2927"/>
      <c r="V43" s="2927"/>
    </row>
    <row r="44" s="3140" customFormat="1" spans="1:22">
      <c r="A44" s="3272"/>
      <c r="B44" s="3272"/>
      <c r="C44" s="3266"/>
      <c r="D44" s="3266"/>
      <c r="E44" s="3266"/>
      <c r="F44" s="3266"/>
      <c r="G44" s="3266"/>
      <c r="H44" s="3266"/>
      <c r="I44" s="3266"/>
      <c r="J44" s="3486"/>
      <c r="K44" s="3487"/>
      <c r="L44" s="3487"/>
      <c r="M44" s="3266"/>
      <c r="N44" s="3266"/>
      <c r="O44" s="3266"/>
      <c r="P44" s="3266"/>
      <c r="Q44" s="3266"/>
      <c r="R44" s="3266"/>
      <c r="S44" s="2927"/>
      <c r="T44" s="2927"/>
      <c r="U44" s="2927"/>
      <c r="V44" s="2927"/>
    </row>
    <row r="45" s="3140" customFormat="1" spans="1:22">
      <c r="A45" s="3272"/>
      <c r="B45" s="3272"/>
      <c r="C45" s="3266"/>
      <c r="D45" s="3266"/>
      <c r="E45" s="3266"/>
      <c r="F45" s="3266"/>
      <c r="G45" s="3266"/>
      <c r="H45" s="3266"/>
      <c r="I45" s="3266"/>
      <c r="J45" s="3486"/>
      <c r="K45" s="3487"/>
      <c r="L45" s="3487"/>
      <c r="M45" s="3266"/>
      <c r="N45" s="3266"/>
      <c r="O45" s="3266"/>
      <c r="P45" s="3266"/>
      <c r="Q45" s="3266"/>
      <c r="R45" s="3266"/>
      <c r="S45" s="2927"/>
      <c r="T45" s="2927"/>
      <c r="U45" s="2927"/>
      <c r="V45" s="2927"/>
    </row>
    <row r="46" s="3140" customFormat="1" spans="1:22">
      <c r="A46" s="3272"/>
      <c r="B46" s="3272"/>
      <c r="C46" s="3266"/>
      <c r="D46" s="3266"/>
      <c r="E46" s="3266"/>
      <c r="F46" s="3266"/>
      <c r="G46" s="3266"/>
      <c r="H46" s="3266"/>
      <c r="I46" s="3266"/>
      <c r="J46" s="3486"/>
      <c r="K46" s="3487"/>
      <c r="L46" s="3487"/>
      <c r="M46" s="3266"/>
      <c r="N46" s="3266"/>
      <c r="O46" s="3266"/>
      <c r="P46" s="3266"/>
      <c r="Q46" s="3266"/>
      <c r="R46" s="3266"/>
      <c r="S46" s="2927"/>
      <c r="T46" s="2927"/>
      <c r="U46" s="2927"/>
      <c r="V46" s="2927"/>
    </row>
    <row r="47" s="3140" customFormat="1" spans="1:22">
      <c r="A47" s="3272"/>
      <c r="B47" s="3272"/>
      <c r="C47" s="3266"/>
      <c r="D47" s="3266"/>
      <c r="E47" s="3266"/>
      <c r="F47" s="3266"/>
      <c r="G47" s="3266"/>
      <c r="H47" s="3266"/>
      <c r="I47" s="3266"/>
      <c r="J47" s="3486"/>
      <c r="K47" s="3487"/>
      <c r="L47" s="3487"/>
      <c r="M47" s="3266"/>
      <c r="N47" s="3266"/>
      <c r="O47" s="3266"/>
      <c r="P47" s="3266"/>
      <c r="Q47" s="3266"/>
      <c r="R47" s="3266"/>
      <c r="S47" s="2927"/>
      <c r="T47" s="2927"/>
      <c r="U47" s="2927"/>
      <c r="V47" s="2927"/>
    </row>
    <row r="48" s="3140" customFormat="1" spans="1:22">
      <c r="A48" s="3272"/>
      <c r="B48" s="3272"/>
      <c r="C48" s="3266"/>
      <c r="D48" s="3266"/>
      <c r="E48" s="3266"/>
      <c r="F48" s="3266"/>
      <c r="G48" s="3266"/>
      <c r="H48" s="3266"/>
      <c r="I48" s="3266"/>
      <c r="J48" s="3486"/>
      <c r="K48" s="3487"/>
      <c r="L48" s="3487"/>
      <c r="M48" s="3266"/>
      <c r="N48" s="3266"/>
      <c r="O48" s="3266"/>
      <c r="P48" s="3266"/>
      <c r="Q48" s="3266"/>
      <c r="R48" s="3266"/>
      <c r="S48" s="2927"/>
      <c r="T48" s="2927"/>
      <c r="U48" s="2927"/>
      <c r="V48" s="2927"/>
    </row>
    <row r="49" s="3140" customFormat="1" spans="1:22">
      <c r="A49" s="3272"/>
      <c r="B49" s="3272"/>
      <c r="C49" s="3266"/>
      <c r="D49" s="3266"/>
      <c r="E49" s="3266"/>
      <c r="F49" s="3266"/>
      <c r="G49" s="3266"/>
      <c r="H49" s="3266"/>
      <c r="I49" s="3266"/>
      <c r="J49" s="3486"/>
      <c r="K49" s="3487"/>
      <c r="L49" s="3487"/>
      <c r="M49" s="3266"/>
      <c r="N49" s="3266"/>
      <c r="O49" s="3266"/>
      <c r="P49" s="3266"/>
      <c r="Q49" s="3266"/>
      <c r="R49" s="3266"/>
      <c r="S49" s="2927"/>
      <c r="T49" s="2927"/>
      <c r="U49" s="2927"/>
      <c r="V49" s="2927"/>
    </row>
    <row r="50" s="3140" customFormat="1" spans="1:22">
      <c r="A50" s="3272"/>
      <c r="B50" s="3272"/>
      <c r="C50" s="3266"/>
      <c r="D50" s="3266"/>
      <c r="E50" s="3266"/>
      <c r="F50" s="3266"/>
      <c r="G50" s="3266"/>
      <c r="H50" s="3266"/>
      <c r="I50" s="3266"/>
      <c r="J50" s="3486"/>
      <c r="K50" s="3487"/>
      <c r="L50" s="3487"/>
      <c r="M50" s="3266"/>
      <c r="N50" s="3266"/>
      <c r="O50" s="3266"/>
      <c r="P50" s="3266"/>
      <c r="Q50" s="3266"/>
      <c r="R50" s="3266"/>
      <c r="S50" s="2927"/>
      <c r="T50" s="2927"/>
      <c r="U50" s="2927"/>
      <c r="V50" s="2927"/>
    </row>
    <row r="51" s="3140" customFormat="1" spans="1:18">
      <c r="A51" s="3272"/>
      <c r="B51" s="3272"/>
      <c r="C51" s="3266"/>
      <c r="D51" s="3266"/>
      <c r="E51" s="3266"/>
      <c r="F51" s="3266"/>
      <c r="G51" s="3266"/>
      <c r="H51" s="3266"/>
      <c r="I51" s="3266"/>
      <c r="J51" s="3486"/>
      <c r="K51" s="3487"/>
      <c r="L51" s="3487"/>
      <c r="M51" s="3266"/>
      <c r="N51" s="3266"/>
      <c r="O51" s="3266"/>
      <c r="P51" s="3266"/>
      <c r="Q51" s="3266"/>
      <c r="R51" s="3266"/>
    </row>
    <row r="52" s="3140" customFormat="1" spans="1:18">
      <c r="A52" s="3272"/>
      <c r="B52" s="3272"/>
      <c r="C52" s="3272"/>
      <c r="D52" s="3272"/>
      <c r="E52" s="3272"/>
      <c r="F52" s="3266"/>
      <c r="G52" s="3272"/>
      <c r="H52" s="3272"/>
      <c r="I52" s="3272"/>
      <c r="J52" s="3488"/>
      <c r="K52" s="3487"/>
      <c r="L52" s="3487"/>
      <c r="M52" s="3487"/>
      <c r="N52" s="3272"/>
      <c r="O52" s="3272"/>
      <c r="P52" s="3272"/>
      <c r="Q52" s="3272"/>
      <c r="R52" s="3272"/>
    </row>
    <row r="53" s="3140" customFormat="1" spans="1:18">
      <c r="A53" s="3272"/>
      <c r="B53" s="3272"/>
      <c r="C53" s="3272"/>
      <c r="D53" s="3272"/>
      <c r="E53" s="3272"/>
      <c r="F53" s="3266"/>
      <c r="G53" s="3272"/>
      <c r="H53" s="3272"/>
      <c r="I53" s="3272"/>
      <c r="J53" s="3488"/>
      <c r="K53" s="3487"/>
      <c r="L53" s="3487"/>
      <c r="M53" s="3487"/>
      <c r="N53" s="3272"/>
      <c r="O53" s="3272"/>
      <c r="P53" s="3272"/>
      <c r="Q53" s="3272"/>
      <c r="R53" s="3272"/>
    </row>
    <row r="54" s="3140" customFormat="1" spans="1:18">
      <c r="A54" s="3272"/>
      <c r="B54" s="3272"/>
      <c r="C54" s="3272"/>
      <c r="D54" s="3272"/>
      <c r="E54" s="3272"/>
      <c r="F54" s="3266"/>
      <c r="G54" s="3272"/>
      <c r="H54" s="3272"/>
      <c r="I54" s="3272"/>
      <c r="J54" s="3488"/>
      <c r="K54" s="3487"/>
      <c r="L54" s="3487"/>
      <c r="M54" s="3487"/>
      <c r="N54" s="3272"/>
      <c r="O54" s="3272"/>
      <c r="P54" s="3272"/>
      <c r="Q54" s="3272"/>
      <c r="R54" s="3272"/>
    </row>
    <row r="55" s="3140" customFormat="1" spans="1:18">
      <c r="A55" s="3272"/>
      <c r="B55" s="3272"/>
      <c r="C55" s="3272"/>
      <c r="D55" s="3272"/>
      <c r="E55" s="3272"/>
      <c r="F55" s="3266"/>
      <c r="G55" s="3272"/>
      <c r="H55" s="3272"/>
      <c r="I55" s="3272"/>
      <c r="J55" s="3488"/>
      <c r="K55" s="3487"/>
      <c r="L55" s="3487"/>
      <c r="M55" s="3487"/>
      <c r="N55" s="3272"/>
      <c r="O55" s="3272"/>
      <c r="P55" s="3272"/>
      <c r="Q55" s="3272"/>
      <c r="R55" s="3272"/>
    </row>
    <row r="56" s="3140" customFormat="1" spans="1:18">
      <c r="A56" s="3272"/>
      <c r="B56" s="3272"/>
      <c r="C56" s="3272"/>
      <c r="D56" s="3272"/>
      <c r="E56" s="3272"/>
      <c r="F56" s="3266"/>
      <c r="G56" s="3272"/>
      <c r="H56" s="3272"/>
      <c r="I56" s="3272"/>
      <c r="J56" s="3488"/>
      <c r="K56" s="3487"/>
      <c r="L56" s="3487"/>
      <c r="M56" s="3487"/>
      <c r="N56" s="3272"/>
      <c r="O56" s="3272"/>
      <c r="P56" s="3272"/>
      <c r="Q56" s="3272"/>
      <c r="R56" s="327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2" sqref="K22"/>
    </sheetView>
  </sheetViews>
  <sheetFormatPr defaultColWidth="8.87272727272727" defaultRowHeight="14"/>
  <cols>
    <col min="1" max="1" width="10.6272727272727" style="3242" customWidth="1"/>
    <col min="2" max="2" width="11" style="3242" customWidth="1"/>
    <col min="3" max="3" width="10.3727272727273" style="3242" customWidth="1"/>
    <col min="4" max="4" width="9.12727272727273" style="3242" customWidth="1"/>
    <col min="5" max="6" width="10" style="3240" customWidth="1"/>
    <col min="7" max="8" width="10" style="3242" customWidth="1"/>
    <col min="9" max="9" width="10.6272727272727" style="3242" customWidth="1"/>
    <col min="10" max="10" width="9.5" style="3242" customWidth="1"/>
    <col min="11" max="11" width="11" style="3242" customWidth="1"/>
    <col min="12" max="14" width="9.5" style="3242" customWidth="1"/>
    <col min="15" max="15" width="9.87272727272727" style="3242" customWidth="1"/>
    <col min="16" max="16" width="9.75454545454545" style="3242" customWidth="1"/>
    <col min="17" max="17" width="9.37272727272727" style="3242" customWidth="1"/>
    <col min="18" max="18" width="9.25454545454545" style="3242" customWidth="1"/>
    <col min="19" max="19" width="10.8727272727273" style="3242" customWidth="1"/>
    <col min="20" max="21" width="10.7545454545455" style="3242" customWidth="1"/>
    <col min="22" max="22" width="10.8727272727273" style="3242" customWidth="1"/>
    <col min="23" max="27" width="10.7545454545455" style="3242" customWidth="1"/>
    <col min="28" max="28" width="10.8727272727273" style="3242" customWidth="1"/>
    <col min="29" max="29" width="11" style="3242" customWidth="1"/>
    <col min="30" max="30" width="10" style="3242" customWidth="1"/>
    <col min="31" max="31" width="9.75454545454545" style="3242" customWidth="1"/>
    <col min="32" max="46" width="9.5" style="3242" customWidth="1"/>
    <col min="47" max="47" width="18.1272727272727" style="3242" customWidth="1"/>
    <col min="48" max="50" width="9.75454545454545" style="3242" customWidth="1"/>
    <col min="51" max="55" width="10.5" style="3242" customWidth="1"/>
    <col min="56" max="56" width="9.5" style="3242" customWidth="1"/>
    <col min="57" max="63" width="9.12727272727273" style="3242" customWidth="1"/>
    <col min="64" max="64" width="9.5" style="3242" customWidth="1"/>
    <col min="65" max="65" width="9.12727272727273" style="3242" customWidth="1"/>
    <col min="66" max="66" width="9.5" style="3242" customWidth="1"/>
    <col min="67" max="69" width="9.12727272727273" style="3242" customWidth="1"/>
    <col min="70" max="70" width="9.5" style="3242" customWidth="1"/>
    <col min="71" max="71" width="9" style="3242" customWidth="1"/>
    <col min="72" max="72" width="9.12727272727273" style="3242" customWidth="1"/>
    <col min="73" max="16384" width="8.87272727272727" style="3242"/>
  </cols>
  <sheetData>
    <row r="1" ht="21" spans="1:72">
      <c r="A1" s="3243" t="s">
        <v>532</v>
      </c>
      <c r="B1" s="3244"/>
      <c r="C1" s="3244"/>
      <c r="D1" s="3244"/>
      <c r="E1" s="3244"/>
      <c r="F1" s="3244"/>
      <c r="G1" s="3244"/>
      <c r="H1" s="3244"/>
      <c r="I1" s="3244"/>
      <c r="J1" s="3244"/>
      <c r="K1" s="3244"/>
      <c r="L1" s="3244"/>
      <c r="M1" s="3244"/>
      <c r="N1" s="3244"/>
      <c r="O1" s="3244"/>
      <c r="P1" s="3244"/>
      <c r="Q1" s="3244"/>
      <c r="R1" s="3244"/>
      <c r="S1" s="3244"/>
      <c r="T1" s="3244"/>
      <c r="U1" s="3244"/>
      <c r="V1" s="3244"/>
      <c r="W1" s="3244"/>
      <c r="X1" s="3244"/>
      <c r="Y1" s="3244"/>
      <c r="Z1" s="3244"/>
      <c r="AA1" s="3244"/>
      <c r="AB1" s="3244"/>
      <c r="AC1" s="3244"/>
      <c r="AD1" s="3244"/>
      <c r="AE1" s="3244"/>
      <c r="AF1" s="3244"/>
      <c r="AG1" s="3244"/>
      <c r="AH1" s="3244"/>
      <c r="AI1" s="3244"/>
      <c r="AJ1" s="3244"/>
      <c r="AK1" s="3244"/>
      <c r="AL1" s="3244"/>
      <c r="AM1" s="3244"/>
      <c r="AN1" s="3244"/>
      <c r="AO1" s="3244"/>
      <c r="AP1" s="3244"/>
      <c r="AQ1" s="3244"/>
      <c r="AR1" s="3244"/>
      <c r="AS1" s="3244"/>
      <c r="AT1" s="3244"/>
      <c r="AU1" s="3244"/>
      <c r="AV1" s="3298" t="s">
        <v>533</v>
      </c>
      <c r="AW1" s="3244"/>
      <c r="AX1" s="3244"/>
      <c r="AY1" s="3244"/>
      <c r="AZ1" s="3244"/>
      <c r="BA1" s="3244"/>
      <c r="BB1" s="3244"/>
      <c r="BC1" s="3244"/>
      <c r="BD1" s="3244"/>
      <c r="BE1" s="3244"/>
      <c r="BF1" s="3244"/>
      <c r="BG1" s="3244"/>
      <c r="BH1" s="3244"/>
      <c r="BI1" s="3244"/>
      <c r="BJ1" s="3244"/>
      <c r="BK1" s="3244"/>
      <c r="BL1" s="3244"/>
      <c r="BM1" s="3244"/>
      <c r="BN1" s="3244"/>
      <c r="BO1" s="3244"/>
      <c r="BP1" s="3244"/>
      <c r="BQ1" s="3244"/>
      <c r="BR1" s="3244"/>
      <c r="BS1" s="3244"/>
      <c r="BT1" s="3244"/>
    </row>
    <row r="2" s="3237" customFormat="1" ht="26" spans="1:72">
      <c r="A2" s="1063" t="s">
        <v>473</v>
      </c>
      <c r="B2" s="1063" t="s">
        <v>469</v>
      </c>
      <c r="C2" s="1063" t="s">
        <v>534</v>
      </c>
      <c r="D2" s="3245"/>
      <c r="E2" s="2601"/>
      <c r="F2" s="2653"/>
      <c r="G2" s="3245"/>
      <c r="H2" s="3245"/>
      <c r="I2" s="3245"/>
      <c r="J2" s="3245"/>
      <c r="K2" s="3245"/>
      <c r="L2" s="3245"/>
      <c r="M2" s="3245"/>
      <c r="N2" s="3245"/>
      <c r="O2" s="3245"/>
      <c r="P2" s="3245"/>
      <c r="Q2" s="3245"/>
      <c r="R2" s="3245"/>
      <c r="S2" s="3245"/>
      <c r="T2" s="3245"/>
      <c r="U2" s="3245"/>
      <c r="V2" s="3245"/>
      <c r="W2" s="3245"/>
      <c r="X2" s="3245"/>
      <c r="Y2" s="3245"/>
      <c r="Z2" s="3245"/>
      <c r="AA2" s="3245"/>
      <c r="AB2" s="3245"/>
      <c r="AC2" s="3245"/>
      <c r="AD2" s="3245"/>
      <c r="AE2" s="3245"/>
      <c r="AF2" s="3245"/>
      <c r="AG2" s="3245"/>
      <c r="AH2" s="3245"/>
      <c r="AI2" s="3245"/>
      <c r="AJ2" s="3245"/>
      <c r="AK2" s="3245"/>
      <c r="AL2" s="3245"/>
      <c r="AM2" s="3245"/>
      <c r="AN2" s="3245"/>
      <c r="AO2" s="3245"/>
      <c r="AP2" s="3245"/>
      <c r="AQ2" s="3245"/>
      <c r="AR2" s="3245"/>
      <c r="AS2" s="3245"/>
      <c r="AT2" s="3245"/>
      <c r="AU2" s="3245"/>
      <c r="AV2" s="3245"/>
      <c r="AW2" s="3245"/>
      <c r="AX2" s="3245"/>
      <c r="AY2" s="3308" t="s">
        <v>535</v>
      </c>
      <c r="AZ2" s="3309" t="s">
        <v>536</v>
      </c>
      <c r="BA2" s="1063" t="s">
        <v>537</v>
      </c>
      <c r="BB2" s="3245"/>
      <c r="BC2" s="3245"/>
      <c r="BD2" s="3245"/>
      <c r="BE2" s="3245"/>
      <c r="BF2" s="3245"/>
      <c r="BG2" s="3245"/>
      <c r="BH2" s="3245"/>
      <c r="BI2" s="3245"/>
      <c r="BJ2" s="3245"/>
      <c r="BK2" s="3245"/>
      <c r="BL2" s="3245"/>
      <c r="BM2" s="3245"/>
      <c r="BN2" s="3245"/>
      <c r="BO2" s="3245"/>
      <c r="BP2" s="3245"/>
      <c r="BQ2" s="3245"/>
      <c r="BR2" s="3245"/>
      <c r="BS2" s="3245"/>
      <c r="BT2" s="3245"/>
    </row>
    <row r="3" s="3237" customFormat="1" ht="13" spans="1:72">
      <c r="A3" s="3246">
        <v>11805</v>
      </c>
      <c r="B3" s="3247">
        <f>IF(C3="否",G5-AT5,G5)</f>
        <v>54377.37</v>
      </c>
      <c r="C3" s="3248" t="s">
        <v>538</v>
      </c>
      <c r="D3" s="3245"/>
      <c r="E3" s="3245"/>
      <c r="F3" s="3245"/>
      <c r="G3" s="3245"/>
      <c r="H3" s="3245"/>
      <c r="I3" s="3245"/>
      <c r="J3" s="3245"/>
      <c r="K3" s="3245"/>
      <c r="L3" s="3245"/>
      <c r="M3" s="3245"/>
      <c r="N3" s="3245"/>
      <c r="O3" s="3245"/>
      <c r="P3" s="3245"/>
      <c r="Q3" s="3245"/>
      <c r="R3" s="3245"/>
      <c r="S3" s="3245"/>
      <c r="T3" s="3245"/>
      <c r="U3" s="3245"/>
      <c r="V3" s="3245"/>
      <c r="W3" s="3245"/>
      <c r="X3" s="3245"/>
      <c r="Y3" s="3245"/>
      <c r="Z3" s="3245"/>
      <c r="AA3" s="3245"/>
      <c r="AB3" s="3245"/>
      <c r="AC3" s="3245"/>
      <c r="AD3" s="3245"/>
      <c r="AE3" s="3245"/>
      <c r="AF3" s="3245"/>
      <c r="AG3" s="3245"/>
      <c r="AH3" s="3245"/>
      <c r="AI3" s="3245"/>
      <c r="AJ3" s="3245"/>
      <c r="AK3" s="3245"/>
      <c r="AL3" s="3245"/>
      <c r="AM3" s="3245"/>
      <c r="AN3" s="3245"/>
      <c r="AO3" s="3245"/>
      <c r="AP3" s="3245"/>
      <c r="AQ3" s="3245"/>
      <c r="AR3" s="3245"/>
      <c r="AS3" s="3245"/>
      <c r="AT3" s="3245"/>
      <c r="AU3" s="3245"/>
      <c r="AV3" s="3245"/>
      <c r="AW3" s="3245"/>
      <c r="AX3" s="3245"/>
      <c r="AY3" s="3310"/>
      <c r="AZ3" s="3266"/>
      <c r="BA3" s="3311"/>
      <c r="BB3" s="3245"/>
      <c r="BC3" s="3245"/>
      <c r="BD3" s="3245"/>
      <c r="BE3" s="3245"/>
      <c r="BF3" s="3245"/>
      <c r="BG3" s="3245"/>
      <c r="BH3" s="3245"/>
      <c r="BI3" s="3245"/>
      <c r="BJ3" s="3245"/>
      <c r="BK3" s="3245"/>
      <c r="BL3" s="3245"/>
      <c r="BM3" s="3245"/>
      <c r="BN3" s="3245"/>
      <c r="BO3" s="3245"/>
      <c r="BP3" s="3245"/>
      <c r="BQ3" s="3245"/>
      <c r="BR3" s="3245"/>
      <c r="BS3" s="3245"/>
      <c r="BT3" s="3245"/>
    </row>
    <row r="4" s="3238" customFormat="1" ht="13.25" spans="1:72">
      <c r="A4" s="3249"/>
      <c r="B4" s="3250"/>
      <c r="C4" s="3251"/>
      <c r="D4" s="3245"/>
      <c r="E4" s="3245"/>
      <c r="F4" s="3245"/>
      <c r="G4" s="3245"/>
      <c r="H4" s="3245"/>
      <c r="I4" s="3245"/>
      <c r="J4" s="3245"/>
      <c r="K4" s="3245"/>
      <c r="L4" s="3245"/>
      <c r="M4" s="3245"/>
      <c r="N4" s="3245"/>
      <c r="O4" s="3245"/>
      <c r="P4" s="3245"/>
      <c r="Q4" s="3245"/>
      <c r="R4" s="3245"/>
      <c r="S4" s="3245"/>
      <c r="T4" s="3245"/>
      <c r="U4" s="3245"/>
      <c r="V4" s="3245"/>
      <c r="W4" s="3245"/>
      <c r="X4" s="3245"/>
      <c r="Y4" s="3245"/>
      <c r="Z4" s="3245"/>
      <c r="AA4" s="3245"/>
      <c r="AB4" s="3245"/>
      <c r="AC4" s="3245"/>
      <c r="AD4" s="3245"/>
      <c r="AE4" s="3245"/>
      <c r="AF4" s="3245"/>
      <c r="AG4" s="3245"/>
      <c r="AH4" s="3245"/>
      <c r="AI4" s="3245"/>
      <c r="AJ4" s="3245"/>
      <c r="AK4" s="3245"/>
      <c r="AL4" s="3245"/>
      <c r="AM4" s="3245"/>
      <c r="AN4" s="3245"/>
      <c r="AO4" s="3245"/>
      <c r="AP4" s="3245"/>
      <c r="AQ4" s="3245"/>
      <c r="AR4" s="3245"/>
      <c r="AS4" s="3245"/>
      <c r="AT4" s="3245"/>
      <c r="AU4" s="3245"/>
      <c r="AV4" s="3245"/>
      <c r="AW4" s="3245"/>
      <c r="AX4" s="3245"/>
      <c r="AY4" s="3245"/>
      <c r="AZ4" s="3245"/>
      <c r="BA4" s="3312"/>
      <c r="BB4" s="3245"/>
      <c r="BC4" s="3245"/>
      <c r="BD4" s="3245"/>
      <c r="BE4" s="3245"/>
      <c r="BF4" s="3245"/>
      <c r="BG4" s="3245"/>
      <c r="BH4" s="3245"/>
      <c r="BI4" s="3245"/>
      <c r="BJ4" s="3245"/>
      <c r="BK4" s="3245"/>
      <c r="BL4" s="3245"/>
      <c r="BM4" s="3245"/>
      <c r="BN4" s="3245"/>
      <c r="BO4" s="3245"/>
      <c r="BP4" s="3245"/>
      <c r="BQ4" s="3245"/>
      <c r="BR4" s="3245"/>
      <c r="BS4" s="3245"/>
      <c r="BT4" s="3245"/>
    </row>
    <row r="5" s="3237" customFormat="1" ht="13" spans="1:72">
      <c r="A5" s="2258" t="s">
        <v>539</v>
      </c>
      <c r="B5" s="2513"/>
      <c r="C5" s="2513"/>
      <c r="D5" s="2667"/>
      <c r="E5" s="3252" t="s">
        <v>124</v>
      </c>
      <c r="F5" s="3252">
        <f>SUM(F13:F587)</f>
        <v>0</v>
      </c>
      <c r="G5" s="3252">
        <f>SUM(G13:G587)</f>
        <v>54377.37</v>
      </c>
      <c r="H5" s="3252">
        <f t="shared" ref="H5:AT5" si="0">SUM(H13:H656)</f>
        <v>54377.37</v>
      </c>
      <c r="I5" s="3252">
        <f t="shared" si="0"/>
        <v>36094.88</v>
      </c>
      <c r="J5" s="3252">
        <f t="shared" si="0"/>
        <v>0</v>
      </c>
      <c r="K5" s="3252">
        <f t="shared" si="0"/>
        <v>8623.19</v>
      </c>
      <c r="L5" s="3252">
        <f t="shared" si="0"/>
        <v>0</v>
      </c>
      <c r="M5" s="3252">
        <f t="shared" si="0"/>
        <v>9659.3</v>
      </c>
      <c r="N5" s="3252">
        <f t="shared" si="0"/>
        <v>0</v>
      </c>
      <c r="O5" s="3252">
        <f t="shared" si="0"/>
        <v>0</v>
      </c>
      <c r="P5" s="3252">
        <f t="shared" si="0"/>
        <v>0</v>
      </c>
      <c r="Q5" s="3252">
        <f t="shared" si="0"/>
        <v>0</v>
      </c>
      <c r="R5" s="3252">
        <f t="shared" si="0"/>
        <v>0</v>
      </c>
      <c r="S5" s="3252">
        <f t="shared" si="0"/>
        <v>0</v>
      </c>
      <c r="T5" s="3252">
        <f t="shared" si="0"/>
        <v>0</v>
      </c>
      <c r="U5" s="3252">
        <f t="shared" si="0"/>
        <v>0</v>
      </c>
      <c r="V5" s="3252">
        <f t="shared" si="0"/>
        <v>0</v>
      </c>
      <c r="W5" s="3252">
        <f t="shared" si="0"/>
        <v>0</v>
      </c>
      <c r="X5" s="3252">
        <f t="shared" si="0"/>
        <v>0</v>
      </c>
      <c r="Y5" s="3252">
        <f t="shared" si="0"/>
        <v>0</v>
      </c>
      <c r="Z5" s="3252">
        <f t="shared" si="0"/>
        <v>0</v>
      </c>
      <c r="AA5" s="3252">
        <f t="shared" si="0"/>
        <v>0</v>
      </c>
      <c r="AB5" s="3252">
        <f t="shared" si="0"/>
        <v>0</v>
      </c>
      <c r="AC5" s="3252">
        <f t="shared" si="0"/>
        <v>0</v>
      </c>
      <c r="AD5" s="3252">
        <f t="shared" si="0"/>
        <v>0</v>
      </c>
      <c r="AE5" s="3252">
        <f t="shared" si="0"/>
        <v>0</v>
      </c>
      <c r="AF5" s="3252">
        <f t="shared" si="0"/>
        <v>0</v>
      </c>
      <c r="AG5" s="3252">
        <f t="shared" si="0"/>
        <v>0</v>
      </c>
      <c r="AH5" s="3252">
        <f t="shared" si="0"/>
        <v>0</v>
      </c>
      <c r="AI5" s="3252">
        <f t="shared" si="0"/>
        <v>0</v>
      </c>
      <c r="AJ5" s="3252">
        <f t="shared" si="0"/>
        <v>0</v>
      </c>
      <c r="AK5" s="3252">
        <f t="shared" si="0"/>
        <v>0</v>
      </c>
      <c r="AL5" s="3252">
        <f t="shared" si="0"/>
        <v>0</v>
      </c>
      <c r="AM5" s="3252">
        <f t="shared" si="0"/>
        <v>0</v>
      </c>
      <c r="AN5" s="3252">
        <f t="shared" si="0"/>
        <v>0</v>
      </c>
      <c r="AO5" s="3252">
        <f t="shared" si="0"/>
        <v>0</v>
      </c>
      <c r="AP5" s="3252">
        <f t="shared" si="0"/>
        <v>0</v>
      </c>
      <c r="AQ5" s="3252">
        <f t="shared" si="0"/>
        <v>0</v>
      </c>
      <c r="AR5" s="3252">
        <f t="shared" si="0"/>
        <v>0</v>
      </c>
      <c r="AS5" s="3252">
        <f t="shared" si="0"/>
        <v>0</v>
      </c>
      <c r="AT5" s="3252">
        <f t="shared" si="0"/>
        <v>0</v>
      </c>
      <c r="AU5" s="2512"/>
      <c r="AV5" s="2258" t="s">
        <v>539</v>
      </c>
      <c r="AW5" s="2513"/>
      <c r="AX5" s="2513"/>
      <c r="AY5" s="3313" t="s">
        <v>124</v>
      </c>
      <c r="AZ5" s="3314">
        <f t="shared" ref="AZ5:BT5" si="1">SUM(AZ13:AZ656)</f>
        <v>54377.37</v>
      </c>
      <c r="BA5" s="3314">
        <f t="shared" si="1"/>
        <v>54377.37</v>
      </c>
      <c r="BB5" s="3314">
        <f t="shared" si="1"/>
        <v>36094.88</v>
      </c>
      <c r="BC5" s="3314">
        <f t="shared" si="1"/>
        <v>8623.19</v>
      </c>
      <c r="BD5" s="3314">
        <f t="shared" si="1"/>
        <v>9659.3</v>
      </c>
      <c r="BE5" s="3314">
        <f t="shared" si="1"/>
        <v>0</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39" customFormat="1" ht="13" spans="1:72">
      <c r="A6" s="2258" t="s">
        <v>540</v>
      </c>
      <c r="B6" s="3253"/>
      <c r="C6" s="3253"/>
      <c r="D6" s="3254"/>
      <c r="E6" s="3252">
        <f>H6+AC6+AT6</f>
        <v>11805</v>
      </c>
      <c r="F6" s="3252" t="s">
        <v>124</v>
      </c>
      <c r="G6" s="3252" t="s">
        <v>124</v>
      </c>
      <c r="H6" s="3255">
        <f>SUMIF(I$12:AB$12,"总值",I6:AB6)</f>
        <v>11805</v>
      </c>
      <c r="I6" s="3252">
        <f t="shared" ref="I6:AB6" si="2">ROUND($A$3*I5/$B$3,2)</f>
        <v>7835.98</v>
      </c>
      <c r="J6" s="3252">
        <f t="shared" si="2"/>
        <v>0</v>
      </c>
      <c r="K6" s="3252">
        <f t="shared" si="2"/>
        <v>1872.04</v>
      </c>
      <c r="L6" s="3252">
        <f t="shared" si="2"/>
        <v>0</v>
      </c>
      <c r="M6" s="3252">
        <f t="shared" si="2"/>
        <v>2096.98</v>
      </c>
      <c r="N6" s="3252">
        <f t="shared" si="2"/>
        <v>0</v>
      </c>
      <c r="O6" s="3252">
        <f t="shared" si="2"/>
        <v>0</v>
      </c>
      <c r="P6" s="3252">
        <f t="shared" si="2"/>
        <v>0</v>
      </c>
      <c r="Q6" s="3252">
        <f t="shared" si="2"/>
        <v>0</v>
      </c>
      <c r="R6" s="3252">
        <f t="shared" si="2"/>
        <v>0</v>
      </c>
      <c r="S6" s="3252">
        <f t="shared" si="2"/>
        <v>0</v>
      </c>
      <c r="T6" s="3252">
        <f t="shared" si="2"/>
        <v>0</v>
      </c>
      <c r="U6" s="3252">
        <f t="shared" si="2"/>
        <v>0</v>
      </c>
      <c r="V6" s="3252">
        <f t="shared" si="2"/>
        <v>0</v>
      </c>
      <c r="W6" s="3252">
        <f t="shared" si="2"/>
        <v>0</v>
      </c>
      <c r="X6" s="3252">
        <f t="shared" si="2"/>
        <v>0</v>
      </c>
      <c r="Y6" s="3252">
        <f t="shared" si="2"/>
        <v>0</v>
      </c>
      <c r="Z6" s="3252">
        <f t="shared" si="2"/>
        <v>0</v>
      </c>
      <c r="AA6" s="3252">
        <f t="shared" si="2"/>
        <v>0</v>
      </c>
      <c r="AB6" s="3252">
        <f t="shared" si="2"/>
        <v>0</v>
      </c>
      <c r="AC6" s="3255">
        <f>SUMIF(AD$12:AS$12,"总值",AD6:AS6)</f>
        <v>0</v>
      </c>
      <c r="AD6" s="3252">
        <f t="shared" ref="AD6:AS6" si="3">ROUND($A$3*AD5/$B$3,2)</f>
        <v>0</v>
      </c>
      <c r="AE6" s="3252">
        <f t="shared" si="3"/>
        <v>0</v>
      </c>
      <c r="AF6" s="3252">
        <f t="shared" si="3"/>
        <v>0</v>
      </c>
      <c r="AG6" s="3252">
        <f t="shared" si="3"/>
        <v>0</v>
      </c>
      <c r="AH6" s="3252">
        <f t="shared" si="3"/>
        <v>0</v>
      </c>
      <c r="AI6" s="3252">
        <f t="shared" si="3"/>
        <v>0</v>
      </c>
      <c r="AJ6" s="3252">
        <f t="shared" si="3"/>
        <v>0</v>
      </c>
      <c r="AK6" s="3252">
        <f t="shared" si="3"/>
        <v>0</v>
      </c>
      <c r="AL6" s="3252">
        <f t="shared" si="3"/>
        <v>0</v>
      </c>
      <c r="AM6" s="3252">
        <f t="shared" si="3"/>
        <v>0</v>
      </c>
      <c r="AN6" s="3252">
        <f t="shared" si="3"/>
        <v>0</v>
      </c>
      <c r="AO6" s="3252">
        <f t="shared" si="3"/>
        <v>0</v>
      </c>
      <c r="AP6" s="3252">
        <f t="shared" si="3"/>
        <v>0</v>
      </c>
      <c r="AQ6" s="3252">
        <f t="shared" si="3"/>
        <v>0</v>
      </c>
      <c r="AR6" s="3252">
        <f t="shared" si="3"/>
        <v>0</v>
      </c>
      <c r="AS6" s="3252">
        <f t="shared" si="3"/>
        <v>0</v>
      </c>
      <c r="AT6" s="3255">
        <f>IF(C3="是",ROUND($A$3*AT5/$B$3,2),0)</f>
        <v>0</v>
      </c>
      <c r="AU6" s="3299"/>
      <c r="AV6" s="2258" t="s">
        <v>540</v>
      </c>
      <c r="AW6" s="3253"/>
      <c r="AX6" s="3253"/>
      <c r="AY6" s="3315">
        <f>IF(AY3&gt;0,AY3,ROUND($A$3*AZ5/$B$3,2))</f>
        <v>11805</v>
      </c>
      <c r="AZ6" s="3252" t="s">
        <v>124</v>
      </c>
      <c r="BA6" s="3252">
        <f>ROUND($AY$6*BA5/$AZ$5,2)</f>
        <v>11805</v>
      </c>
      <c r="BB6" s="3252">
        <f>ROUND($AY$6*BB5/$AZ$5,2)</f>
        <v>7835.98</v>
      </c>
      <c r="BC6" s="3252">
        <f t="shared" ref="BC6:BH6" si="4">ROUND($AY$6*BC5/$AZ$5,2)</f>
        <v>1872.04</v>
      </c>
      <c r="BD6" s="3252">
        <f t="shared" si="4"/>
        <v>2096.98</v>
      </c>
      <c r="BE6" s="3252">
        <f t="shared" si="4"/>
        <v>0</v>
      </c>
      <c r="BF6" s="3252">
        <f t="shared" si="4"/>
        <v>0</v>
      </c>
      <c r="BG6" s="3252">
        <f t="shared" si="4"/>
        <v>0</v>
      </c>
      <c r="BH6" s="3252">
        <f t="shared" si="4"/>
        <v>0</v>
      </c>
      <c r="BI6" s="3252">
        <f t="shared" ref="BI6:BT6" si="5">ROUND($AY$6*BI5/$AZ$5,2)</f>
        <v>0</v>
      </c>
      <c r="BJ6" s="3252">
        <f t="shared" si="5"/>
        <v>0</v>
      </c>
      <c r="BK6" s="3252">
        <f t="shared" si="5"/>
        <v>0</v>
      </c>
      <c r="BL6" s="3252">
        <f t="shared" si="5"/>
        <v>0</v>
      </c>
      <c r="BM6" s="3252">
        <f t="shared" si="5"/>
        <v>0</v>
      </c>
      <c r="BN6" s="3252">
        <f t="shared" si="5"/>
        <v>0</v>
      </c>
      <c r="BO6" s="3252">
        <f t="shared" si="5"/>
        <v>0</v>
      </c>
      <c r="BP6" s="3252">
        <f t="shared" si="5"/>
        <v>0</v>
      </c>
      <c r="BQ6" s="3252">
        <f t="shared" si="5"/>
        <v>0</v>
      </c>
      <c r="BR6" s="3252">
        <f t="shared" si="5"/>
        <v>0</v>
      </c>
      <c r="BS6" s="3252">
        <f t="shared" si="5"/>
        <v>0</v>
      </c>
      <c r="BT6" s="3324">
        <f t="shared" si="5"/>
        <v>0</v>
      </c>
    </row>
    <row r="7" s="3237" customFormat="1" ht="26" spans="1:72">
      <c r="A7" s="3256" t="s">
        <v>541</v>
      </c>
      <c r="B7" s="3256" t="s">
        <v>542</v>
      </c>
      <c r="C7" s="3256" t="s">
        <v>515</v>
      </c>
      <c r="D7" s="3256" t="s">
        <v>543</v>
      </c>
      <c r="E7" s="3256" t="s">
        <v>540</v>
      </c>
      <c r="F7" s="3256" t="s">
        <v>544</v>
      </c>
      <c r="G7" s="2627" t="s">
        <v>545</v>
      </c>
      <c r="H7" s="3257"/>
      <c r="I7" s="3257"/>
      <c r="J7" s="3257"/>
      <c r="K7" s="3257"/>
      <c r="L7" s="3257"/>
      <c r="M7" s="3257"/>
      <c r="N7" s="3257"/>
      <c r="O7" s="3257"/>
      <c r="P7" s="3257"/>
      <c r="Q7" s="3257"/>
      <c r="R7" s="3257"/>
      <c r="S7" s="3257"/>
      <c r="T7" s="3257"/>
      <c r="U7" s="3257"/>
      <c r="V7" s="3257"/>
      <c r="W7" s="3257"/>
      <c r="X7" s="3257"/>
      <c r="Y7" s="3257"/>
      <c r="Z7" s="3257"/>
      <c r="AA7" s="3257"/>
      <c r="AB7" s="3257"/>
      <c r="AC7" s="3257"/>
      <c r="AD7" s="3257"/>
      <c r="AE7" s="3257"/>
      <c r="AF7" s="3257"/>
      <c r="AG7" s="3257"/>
      <c r="AH7" s="3257"/>
      <c r="AI7" s="3257"/>
      <c r="AJ7" s="3257"/>
      <c r="AK7" s="3257"/>
      <c r="AL7" s="3257"/>
      <c r="AM7" s="3257"/>
      <c r="AN7" s="3257"/>
      <c r="AO7" s="3257"/>
      <c r="AP7" s="3257"/>
      <c r="AQ7" s="3257"/>
      <c r="AR7" s="3257"/>
      <c r="AS7" s="3257"/>
      <c r="AT7" s="2667"/>
      <c r="AU7" s="3257" t="s">
        <v>546</v>
      </c>
      <c r="AV7" s="3300" t="s">
        <v>541</v>
      </c>
      <c r="AW7" s="2653" t="s">
        <v>542</v>
      </c>
      <c r="AX7" s="3300" t="s">
        <v>515</v>
      </c>
      <c r="AY7" s="2513" t="s">
        <v>547</v>
      </c>
      <c r="AZ7" s="3291"/>
      <c r="BA7" s="3257"/>
      <c r="BB7" s="3257"/>
      <c r="BC7" s="3257"/>
      <c r="BD7" s="3257"/>
      <c r="BE7" s="3257"/>
      <c r="BF7" s="3257"/>
      <c r="BG7" s="3257"/>
      <c r="BH7" s="3257"/>
      <c r="BI7" s="3257"/>
      <c r="BJ7" s="3257"/>
      <c r="BK7" s="3257"/>
      <c r="BL7" s="3257"/>
      <c r="BM7" s="3257"/>
      <c r="BN7" s="3257"/>
      <c r="BO7" s="3257"/>
      <c r="BP7" s="3257"/>
      <c r="BQ7" s="3257"/>
      <c r="BR7" s="3257"/>
      <c r="BS7" s="3257"/>
      <c r="BT7" s="3325"/>
    </row>
    <row r="8" s="2946" customFormat="1" ht="26" spans="1:72">
      <c r="A8" s="3258"/>
      <c r="B8" s="3258"/>
      <c r="C8" s="3258"/>
      <c r="D8" s="3258"/>
      <c r="E8" s="3258"/>
      <c r="F8" s="3258"/>
      <c r="G8" s="3259" t="s">
        <v>548</v>
      </c>
      <c r="H8" s="3260" t="s">
        <v>549</v>
      </c>
      <c r="I8" s="3280"/>
      <c r="J8" s="1062"/>
      <c r="K8" s="1062"/>
      <c r="L8" s="1062"/>
      <c r="M8" s="1062"/>
      <c r="N8" s="1062"/>
      <c r="O8" s="1062"/>
      <c r="P8" s="1062"/>
      <c r="Q8" s="1062"/>
      <c r="R8" s="1062"/>
      <c r="S8" s="1062"/>
      <c r="T8" s="1062"/>
      <c r="U8" s="1062"/>
      <c r="V8" s="3287"/>
      <c r="W8" s="1062"/>
      <c r="X8" s="1062"/>
      <c r="Y8" s="1062"/>
      <c r="Z8" s="1062"/>
      <c r="AA8" s="3287"/>
      <c r="AB8" s="3289"/>
      <c r="AC8" s="2409" t="s">
        <v>550</v>
      </c>
      <c r="AD8" s="3290"/>
      <c r="AE8" s="3291"/>
      <c r="AF8" s="1062"/>
      <c r="AG8" s="1062"/>
      <c r="AH8" s="1062"/>
      <c r="AI8" s="1062"/>
      <c r="AJ8" s="1062"/>
      <c r="AK8" s="1062"/>
      <c r="AL8" s="1062"/>
      <c r="AM8" s="1062"/>
      <c r="AN8" s="1062"/>
      <c r="AO8" s="1062"/>
      <c r="AP8" s="1062"/>
      <c r="AQ8" s="1062"/>
      <c r="AR8" s="1062"/>
      <c r="AS8" s="1062"/>
      <c r="AT8" s="2094" t="s">
        <v>551</v>
      </c>
      <c r="AU8" s="3258" t="s">
        <v>552</v>
      </c>
      <c r="AV8" s="2094"/>
      <c r="AW8" s="2601"/>
      <c r="AX8" s="2094"/>
      <c r="AY8" s="2653" t="s">
        <v>540</v>
      </c>
      <c r="AZ8" s="1061" t="s">
        <v>469</v>
      </c>
      <c r="BA8" s="1062"/>
      <c r="BB8" s="1062"/>
      <c r="BC8" s="1062"/>
      <c r="BD8" s="1062"/>
      <c r="BE8" s="1062"/>
      <c r="BF8" s="1062"/>
      <c r="BG8" s="1062"/>
      <c r="BH8" s="1062"/>
      <c r="BI8" s="1062"/>
      <c r="BJ8" s="1062"/>
      <c r="BK8" s="1062"/>
      <c r="BL8" s="1062"/>
      <c r="BM8" s="1062"/>
      <c r="BN8" s="1062"/>
      <c r="BO8" s="1062"/>
      <c r="BP8" s="1062"/>
      <c r="BQ8" s="1062"/>
      <c r="BR8" s="1062"/>
      <c r="BS8" s="1062"/>
      <c r="BT8" s="2143"/>
    </row>
    <row r="9" s="2946" customFormat="1" ht="13" spans="1:72">
      <c r="A9" s="3258"/>
      <c r="B9" s="3258"/>
      <c r="C9" s="3258"/>
      <c r="D9" s="3258"/>
      <c r="E9" s="3258"/>
      <c r="F9" s="3258"/>
      <c r="G9" s="2094"/>
      <c r="H9" s="3261" t="s">
        <v>553</v>
      </c>
      <c r="I9" s="3281" t="s">
        <v>431</v>
      </c>
      <c r="J9" s="2409"/>
      <c r="K9" s="3281" t="s">
        <v>432</v>
      </c>
      <c r="L9" s="2409"/>
      <c r="M9" s="3281" t="s">
        <v>432</v>
      </c>
      <c r="N9" s="2409"/>
      <c r="O9" s="3281"/>
      <c r="P9" s="2409"/>
      <c r="Q9" s="3281"/>
      <c r="R9" s="2409"/>
      <c r="S9" s="3281"/>
      <c r="T9" s="2409"/>
      <c r="U9" s="3281"/>
      <c r="V9" s="2409"/>
      <c r="W9" s="3281"/>
      <c r="X9" s="3288"/>
      <c r="Y9" s="3281"/>
      <c r="Z9" s="2409"/>
      <c r="AA9" s="3281"/>
      <c r="AB9" s="2409"/>
      <c r="AC9" s="3259" t="s">
        <v>553</v>
      </c>
      <c r="AD9" s="2258" t="s">
        <v>554</v>
      </c>
      <c r="AE9" s="2108"/>
      <c r="AF9" s="2258" t="s">
        <v>555</v>
      </c>
      <c r="AG9" s="2108"/>
      <c r="AH9" s="2258" t="s">
        <v>554</v>
      </c>
      <c r="AI9" s="2108"/>
      <c r="AJ9" s="2258" t="s">
        <v>555</v>
      </c>
      <c r="AK9" s="2108"/>
      <c r="AL9" s="2258" t="s">
        <v>554</v>
      </c>
      <c r="AM9" s="2108"/>
      <c r="AN9" s="2258" t="s">
        <v>555</v>
      </c>
      <c r="AO9" s="2108"/>
      <c r="AP9" s="2258" t="s">
        <v>554</v>
      </c>
      <c r="AQ9" s="2108"/>
      <c r="AR9" s="2258" t="s">
        <v>555</v>
      </c>
      <c r="AS9" s="3301"/>
      <c r="AT9" s="3258"/>
      <c r="AU9" s="3258" t="s">
        <v>556</v>
      </c>
      <c r="AV9" s="2094"/>
      <c r="AW9" s="2601"/>
      <c r="AX9" s="2094"/>
      <c r="AY9" s="3262"/>
      <c r="AZ9" s="3262" t="s">
        <v>548</v>
      </c>
      <c r="BA9" s="3316" t="s">
        <v>557</v>
      </c>
      <c r="BB9" s="3317"/>
      <c r="BC9" s="2155"/>
      <c r="BD9" s="2155"/>
      <c r="BE9" s="2155"/>
      <c r="BF9" s="2155"/>
      <c r="BG9" s="2155"/>
      <c r="BH9" s="2155"/>
      <c r="BI9" s="2155"/>
      <c r="BJ9" s="2155"/>
      <c r="BK9" s="3322"/>
      <c r="BL9" s="2258" t="s">
        <v>558</v>
      </c>
      <c r="BM9" s="1062"/>
      <c r="BN9" s="3280"/>
      <c r="BO9" s="1062"/>
      <c r="BP9" s="1062"/>
      <c r="BQ9" s="1062"/>
      <c r="BR9" s="1062"/>
      <c r="BS9" s="1062"/>
      <c r="BT9" s="2143"/>
    </row>
    <row r="10" s="2946" customFormat="1" ht="13" spans="1:72">
      <c r="A10" s="3258"/>
      <c r="B10" s="3258"/>
      <c r="C10" s="3258"/>
      <c r="D10" s="3258"/>
      <c r="E10" s="3258"/>
      <c r="F10" s="3258"/>
      <c r="G10" s="2094"/>
      <c r="H10" s="3262"/>
      <c r="I10" s="3281" t="s">
        <v>408</v>
      </c>
      <c r="J10" s="2409"/>
      <c r="K10" s="3282" t="s">
        <v>408</v>
      </c>
      <c r="L10" s="2409"/>
      <c r="M10" s="3282" t="s">
        <v>559</v>
      </c>
      <c r="N10" s="2409"/>
      <c r="O10" s="3282"/>
      <c r="P10" s="2409"/>
      <c r="Q10" s="3282"/>
      <c r="R10" s="2409"/>
      <c r="S10" s="3282"/>
      <c r="T10" s="2409"/>
      <c r="U10" s="3282"/>
      <c r="V10" s="2409"/>
      <c r="W10" s="3282"/>
      <c r="X10" s="2409"/>
      <c r="Y10" s="3282"/>
      <c r="Z10" s="2409"/>
      <c r="AA10" s="3282"/>
      <c r="AB10" s="2409"/>
      <c r="AC10" s="2094"/>
      <c r="AD10" s="2258" t="s">
        <v>560</v>
      </c>
      <c r="AE10" s="3292"/>
      <c r="AF10" s="2258" t="s">
        <v>560</v>
      </c>
      <c r="AG10" s="3292"/>
      <c r="AH10" s="2258" t="s">
        <v>561</v>
      </c>
      <c r="AI10" s="3292"/>
      <c r="AJ10" s="2258" t="s">
        <v>561</v>
      </c>
      <c r="AK10" s="3292"/>
      <c r="AL10" s="2258" t="s">
        <v>562</v>
      </c>
      <c r="AM10" s="2108"/>
      <c r="AN10" s="2258" t="s">
        <v>562</v>
      </c>
      <c r="AO10" s="2108"/>
      <c r="AP10" s="2258" t="s">
        <v>563</v>
      </c>
      <c r="AQ10" s="2108"/>
      <c r="AR10" s="2258" t="s">
        <v>563</v>
      </c>
      <c r="AS10" s="2108"/>
      <c r="AT10" s="3258"/>
      <c r="AU10" s="3258"/>
      <c r="AV10" s="2094"/>
      <c r="AW10" s="2601"/>
      <c r="AX10" s="2094"/>
      <c r="AY10" s="3262"/>
      <c r="AZ10" s="3262"/>
      <c r="BA10" s="3263" t="s">
        <v>553</v>
      </c>
      <c r="BB10" s="3318" t="str">
        <f>I9</f>
        <v>地上</v>
      </c>
      <c r="BC10" s="2167" t="str">
        <f>K9</f>
        <v>地下</v>
      </c>
      <c r="BD10" s="2167" t="str">
        <f>M9</f>
        <v>地下</v>
      </c>
      <c r="BE10" s="2167">
        <f>O9</f>
        <v>0</v>
      </c>
      <c r="BF10" s="2167">
        <f>Q9</f>
        <v>0</v>
      </c>
      <c r="BG10" s="2167">
        <f>S9</f>
        <v>0</v>
      </c>
      <c r="BH10" s="2167">
        <f>U9</f>
        <v>0</v>
      </c>
      <c r="BI10" s="2167">
        <f>W9</f>
        <v>0</v>
      </c>
      <c r="BJ10" s="2167">
        <f>Y9</f>
        <v>0</v>
      </c>
      <c r="BK10" s="2167">
        <f>AA9</f>
        <v>0</v>
      </c>
      <c r="BL10" s="2163" t="s">
        <v>553</v>
      </c>
      <c r="BM10" s="1061" t="str">
        <f>AD9</f>
        <v>地上</v>
      </c>
      <c r="BN10" s="2167" t="str">
        <f>AF9</f>
        <v>地下</v>
      </c>
      <c r="BO10" s="1061" t="str">
        <f>AH9</f>
        <v>地上</v>
      </c>
      <c r="BP10" s="2167" t="str">
        <f>AJ9</f>
        <v>地下</v>
      </c>
      <c r="BQ10" s="1061" t="str">
        <f>AL9</f>
        <v>地上</v>
      </c>
      <c r="BR10" s="2167" t="str">
        <f>AN9</f>
        <v>地下</v>
      </c>
      <c r="BS10" s="1061" t="str">
        <f>AP9</f>
        <v>地上</v>
      </c>
      <c r="BT10" s="3326" t="str">
        <f>AR9</f>
        <v>地下</v>
      </c>
    </row>
    <row r="11" s="2946" customFormat="1" ht="13" spans="1:72">
      <c r="A11" s="3258"/>
      <c r="B11" s="3258"/>
      <c r="C11" s="3258"/>
      <c r="D11" s="3258"/>
      <c r="E11" s="3258"/>
      <c r="F11" s="3258"/>
      <c r="G11" s="2094"/>
      <c r="H11" s="3263"/>
      <c r="I11" s="3283"/>
      <c r="J11" s="3284"/>
      <c r="K11" s="3283"/>
      <c r="L11" s="3284"/>
      <c r="M11" s="3283"/>
      <c r="N11" s="3284"/>
      <c r="O11" s="3283"/>
      <c r="P11" s="3284"/>
      <c r="Q11" s="3283"/>
      <c r="R11" s="3284"/>
      <c r="S11" s="3283"/>
      <c r="T11" s="3284"/>
      <c r="U11" s="3283"/>
      <c r="V11" s="3284"/>
      <c r="W11" s="3283"/>
      <c r="X11" s="3284"/>
      <c r="Y11" s="3283"/>
      <c r="Z11" s="3284"/>
      <c r="AA11" s="3283"/>
      <c r="AB11" s="3284"/>
      <c r="AC11" s="2094"/>
      <c r="AD11" s="3293" t="s">
        <v>564</v>
      </c>
      <c r="AE11" s="1119"/>
      <c r="AF11" s="3293" t="s">
        <v>564</v>
      </c>
      <c r="AG11" s="1119"/>
      <c r="AH11" s="3293" t="s">
        <v>565</v>
      </c>
      <c r="AI11" s="3297"/>
      <c r="AJ11" s="3293" t="s">
        <v>565</v>
      </c>
      <c r="AK11" s="1119"/>
      <c r="AL11" s="1061"/>
      <c r="AM11" s="1119"/>
      <c r="AN11" s="1061"/>
      <c r="AO11" s="1119"/>
      <c r="AP11" s="1061"/>
      <c r="AQ11" s="1119"/>
      <c r="AR11" s="1061"/>
      <c r="AS11" s="1119"/>
      <c r="AT11" s="2601"/>
      <c r="AU11" s="3258"/>
      <c r="AV11" s="2094"/>
      <c r="AW11" s="2601"/>
      <c r="AX11" s="2094"/>
      <c r="AY11" s="3262"/>
      <c r="AZ11" s="3262"/>
      <c r="BA11" s="3262"/>
      <c r="BB11" s="3289" t="str">
        <f>I10</f>
        <v>工业</v>
      </c>
      <c r="BC11" s="3289" t="str">
        <f>K10</f>
        <v>工业</v>
      </c>
      <c r="BD11" s="3289" t="str">
        <f>M10</f>
        <v>车库</v>
      </c>
      <c r="BE11" s="3289">
        <f>O10</f>
        <v>0</v>
      </c>
      <c r="BF11" s="3289">
        <f>Q10</f>
        <v>0</v>
      </c>
      <c r="BG11" s="3289">
        <f>S10</f>
        <v>0</v>
      </c>
      <c r="BH11" s="3289">
        <f>U10</f>
        <v>0</v>
      </c>
      <c r="BI11" s="3289">
        <f>W10</f>
        <v>0</v>
      </c>
      <c r="BJ11" s="3289">
        <f>Y10</f>
        <v>0</v>
      </c>
      <c r="BK11" s="3289">
        <f>AA10</f>
        <v>0</v>
      </c>
      <c r="BL11" s="2094"/>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63" t="str">
        <f>AP10</f>
        <v>未注明</v>
      </c>
      <c r="BT11" s="3327" t="str">
        <f>AR10</f>
        <v>未注明</v>
      </c>
    </row>
    <row r="12" s="3237" customFormat="1" ht="13" spans="1:72">
      <c r="A12" s="3264"/>
      <c r="B12" s="3264"/>
      <c r="C12" s="3264"/>
      <c r="D12" s="3264"/>
      <c r="E12" s="3264"/>
      <c r="F12" s="3264"/>
      <c r="G12" s="646"/>
      <c r="H12" s="3265"/>
      <c r="I12" s="2667" t="s">
        <v>566</v>
      </c>
      <c r="J12" s="1063" t="s">
        <v>567</v>
      </c>
      <c r="K12" s="1063" t="s">
        <v>566</v>
      </c>
      <c r="L12" s="1063" t="s">
        <v>567</v>
      </c>
      <c r="M12" s="1063" t="s">
        <v>566</v>
      </c>
      <c r="N12" s="1063" t="s">
        <v>567</v>
      </c>
      <c r="O12" s="1063" t="s">
        <v>566</v>
      </c>
      <c r="P12" s="1063" t="s">
        <v>567</v>
      </c>
      <c r="Q12" s="1063" t="s">
        <v>566</v>
      </c>
      <c r="R12" s="1063" t="s">
        <v>567</v>
      </c>
      <c r="S12" s="1063" t="s">
        <v>566</v>
      </c>
      <c r="T12" s="1063" t="s">
        <v>567</v>
      </c>
      <c r="U12" s="1063" t="s">
        <v>566</v>
      </c>
      <c r="V12" s="2512" t="s">
        <v>567</v>
      </c>
      <c r="W12" s="1063" t="s">
        <v>566</v>
      </c>
      <c r="X12" s="1063" t="s">
        <v>567</v>
      </c>
      <c r="Y12" s="1063" t="s">
        <v>566</v>
      </c>
      <c r="Z12" s="1063" t="s">
        <v>567</v>
      </c>
      <c r="AA12" s="1063" t="s">
        <v>566</v>
      </c>
      <c r="AB12" s="1063" t="s">
        <v>567</v>
      </c>
      <c r="AC12" s="3294"/>
      <c r="AD12" s="2667" t="s">
        <v>566</v>
      </c>
      <c r="AE12" s="1063" t="s">
        <v>567</v>
      </c>
      <c r="AF12" s="1063" t="s">
        <v>566</v>
      </c>
      <c r="AG12" s="1063" t="s">
        <v>567</v>
      </c>
      <c r="AH12" s="1063" t="s">
        <v>566</v>
      </c>
      <c r="AI12" s="1063" t="s">
        <v>567</v>
      </c>
      <c r="AJ12" s="1063" t="s">
        <v>566</v>
      </c>
      <c r="AK12" s="1063" t="s">
        <v>567</v>
      </c>
      <c r="AL12" s="1063" t="s">
        <v>566</v>
      </c>
      <c r="AM12" s="1063" t="s">
        <v>567</v>
      </c>
      <c r="AN12" s="1063" t="s">
        <v>566</v>
      </c>
      <c r="AO12" s="1063" t="s">
        <v>567</v>
      </c>
      <c r="AP12" s="1063" t="s">
        <v>566</v>
      </c>
      <c r="AQ12" s="1063" t="s">
        <v>567</v>
      </c>
      <c r="AR12" s="646" t="s">
        <v>566</v>
      </c>
      <c r="AS12" s="3264" t="s">
        <v>567</v>
      </c>
      <c r="AT12" s="3302"/>
      <c r="AU12" s="3264"/>
      <c r="AV12" s="3303"/>
      <c r="AW12" s="2653"/>
      <c r="AX12" s="3303"/>
      <c r="AY12" s="3319"/>
      <c r="AZ12" s="3262"/>
      <c r="BA12" s="3263"/>
      <c r="BB12" s="1060">
        <f>I11</f>
        <v>0</v>
      </c>
      <c r="BC12" s="3320">
        <f>K11</f>
        <v>0</v>
      </c>
      <c r="BD12" s="3320">
        <f>M11</f>
        <v>0</v>
      </c>
      <c r="BE12" s="3289">
        <f>O11</f>
        <v>0</v>
      </c>
      <c r="BF12" s="3289">
        <f>Q11</f>
        <v>0</v>
      </c>
      <c r="BG12" s="3289">
        <f>S11</f>
        <v>0</v>
      </c>
      <c r="BH12" s="3289">
        <f>U11</f>
        <v>0</v>
      </c>
      <c r="BI12" s="3289">
        <f>W11</f>
        <v>0</v>
      </c>
      <c r="BJ12" s="3289">
        <f>Y11</f>
        <v>0</v>
      </c>
      <c r="BK12" s="3289">
        <f>AA11</f>
        <v>0</v>
      </c>
      <c r="BL12" s="2094"/>
      <c r="BM12" s="1061" t="str">
        <f>AD11</f>
        <v>（住宅）</v>
      </c>
      <c r="BN12" s="1061" t="str">
        <f>AF11</f>
        <v>（住宅）</v>
      </c>
      <c r="BO12" s="1060" t="str">
        <f>AH11</f>
        <v>（住宅、计出让金）</v>
      </c>
      <c r="BP12" s="1060" t="str">
        <f>AJ11</f>
        <v>（住宅、计出让金）</v>
      </c>
      <c r="BQ12" s="1060">
        <f>AL11</f>
        <v>0</v>
      </c>
      <c r="BR12" s="1060">
        <f>AN11</f>
        <v>0</v>
      </c>
      <c r="BS12" s="2163">
        <f>AP11</f>
        <v>0</v>
      </c>
      <c r="BT12" s="3327">
        <f>AR11</f>
        <v>0</v>
      </c>
    </row>
    <row r="13" s="3237" customFormat="1" ht="13" spans="1:72">
      <c r="A13" s="3266"/>
      <c r="B13" s="3266"/>
      <c r="C13" s="3267"/>
      <c r="D13" s="3268" t="s">
        <v>538</v>
      </c>
      <c r="E13" s="3252">
        <f>IF($C$3="是",ROUND($A$3*G13/$B$3,2),ROUND($A$3*(G13-AT13)/$B$3,2))</f>
        <v>11805</v>
      </c>
      <c r="F13" s="3269"/>
      <c r="G13" s="3270">
        <f>H13+AC13+AT13</f>
        <v>54377.37</v>
      </c>
      <c r="H13" s="3255">
        <f>SUMIF(I$12:AB$12,"总值",I13:AB13)</f>
        <v>54377.37</v>
      </c>
      <c r="I13" s="3285">
        <v>36094.88</v>
      </c>
      <c r="J13" s="3285"/>
      <c r="K13" s="3285">
        <v>8623.19</v>
      </c>
      <c r="L13" s="3285"/>
      <c r="M13" s="3285">
        <v>9659.3</v>
      </c>
      <c r="N13" s="3285"/>
      <c r="O13" s="3285"/>
      <c r="P13" s="3285"/>
      <c r="Q13" s="3285"/>
      <c r="R13" s="3285"/>
      <c r="S13" s="3285"/>
      <c r="T13" s="3285"/>
      <c r="U13" s="3285"/>
      <c r="V13" s="3285"/>
      <c r="W13" s="3285"/>
      <c r="X13" s="3285"/>
      <c r="Y13" s="3285"/>
      <c r="Z13" s="3285"/>
      <c r="AA13" s="3285"/>
      <c r="AB13" s="3285"/>
      <c r="AC13" s="3252">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063">
        <f t="shared" ref="AV13:AX17" si="6">A13</f>
        <v>0</v>
      </c>
      <c r="AW13" s="1063">
        <f t="shared" si="6"/>
        <v>0</v>
      </c>
      <c r="AX13" s="1063">
        <f t="shared" si="6"/>
        <v>0</v>
      </c>
      <c r="AY13" s="2667">
        <f>ROUND($AY$6*AZ13/$AZ$5,2)</f>
        <v>11805</v>
      </c>
      <c r="AZ13" s="3252">
        <f>BA13+BL13</f>
        <v>54377.37</v>
      </c>
      <c r="BA13" s="3252">
        <f>SUM(BB13:BK13)</f>
        <v>54377.37</v>
      </c>
      <c r="BB13" s="3252">
        <f>IF($D13="是",I13-J13,0)</f>
        <v>36094.88</v>
      </c>
      <c r="BC13" s="3252">
        <f>IF($D13="是",K13-L13,0)</f>
        <v>8623.19</v>
      </c>
      <c r="BD13" s="3252">
        <f>IF($D13="是",M13-N13,0)</f>
        <v>9659.3</v>
      </c>
      <c r="BE13" s="3252">
        <f>IF($D13="是",O13-P13,0)</f>
        <v>0</v>
      </c>
      <c r="BF13" s="3252">
        <f>IF($D13="是",Q13-R13,0)</f>
        <v>0</v>
      </c>
      <c r="BG13" s="3252">
        <f>IF($D13="是",S13-T13,0)</f>
        <v>0</v>
      </c>
      <c r="BH13" s="3252">
        <f>IF($D13="是",U13-V13,0)</f>
        <v>0</v>
      </c>
      <c r="BI13" s="3252">
        <f>IF($D13="是",W13-X13,0)</f>
        <v>0</v>
      </c>
      <c r="BJ13" s="3252">
        <f>IF($D13="是",Y13-Z13,0)</f>
        <v>0</v>
      </c>
      <c r="BK13" s="3252">
        <f>IF($D13="是",AA13-AB13,0)</f>
        <v>0</v>
      </c>
      <c r="BL13" s="3252">
        <f>SUM(BM13:BT13)</f>
        <v>0</v>
      </c>
      <c r="BM13" s="3252">
        <f>IF($D13="是",AD13-AE13,0)</f>
        <v>0</v>
      </c>
      <c r="BN13" s="3252">
        <f>IF($D13="是",AF13-AG13,0)</f>
        <v>0</v>
      </c>
      <c r="BO13" s="3252">
        <f>IF($D13="是",AH13-AI13,0)</f>
        <v>0</v>
      </c>
      <c r="BP13" s="3252">
        <f>IF($D13="是",AJ13-AK13,0)</f>
        <v>0</v>
      </c>
      <c r="BQ13" s="3252">
        <f>IF($D13="是",AL13-AM13,0)</f>
        <v>0</v>
      </c>
      <c r="BR13" s="3252">
        <f>IF($D13="是",AN13-AO13,0)</f>
        <v>0</v>
      </c>
      <c r="BS13" s="3252">
        <f>IF($D13="是",AP13-AQ13,0)</f>
        <v>0</v>
      </c>
      <c r="BT13" s="3324">
        <f>IF($D13="是",AR13-AS13,0)</f>
        <v>0</v>
      </c>
    </row>
    <row r="14" s="3237" customFormat="1" ht="13" spans="1:72">
      <c r="A14" s="3266"/>
      <c r="B14" s="3266"/>
      <c r="C14" s="3271"/>
      <c r="D14" s="3268"/>
      <c r="E14" s="3252">
        <f>IF($C$3="是",ROUND($A$3*G14/$B$3,2),ROUND($A$3*(G14-AT14)/$B$3,2))</f>
        <v>0</v>
      </c>
      <c r="F14" s="3269"/>
      <c r="G14" s="3270">
        <f>H14+AC14+AT14</f>
        <v>0</v>
      </c>
      <c r="H14" s="3255">
        <f>SUMIF(I$12:AB$12,"总值",I14:AB14)</f>
        <v>0</v>
      </c>
      <c r="I14" s="3285"/>
      <c r="J14" s="3285"/>
      <c r="K14" s="3285"/>
      <c r="L14" s="3285"/>
      <c r="M14" s="3285"/>
      <c r="N14" s="3285"/>
      <c r="O14" s="3285"/>
      <c r="P14" s="3285"/>
      <c r="Q14" s="3285"/>
      <c r="R14" s="3285"/>
      <c r="S14" s="3285"/>
      <c r="T14" s="3285"/>
      <c r="U14" s="3285"/>
      <c r="V14" s="3285"/>
      <c r="W14" s="3285"/>
      <c r="X14" s="3285"/>
      <c r="Y14" s="3285"/>
      <c r="Z14" s="3285"/>
      <c r="AA14" s="3285"/>
      <c r="AB14" s="3285"/>
      <c r="AC14" s="3252">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063">
        <f t="shared" si="6"/>
        <v>0</v>
      </c>
      <c r="AW14" s="1063">
        <f t="shared" si="6"/>
        <v>0</v>
      </c>
      <c r="AX14" s="1063">
        <f t="shared" si="6"/>
        <v>0</v>
      </c>
      <c r="AY14" s="2667">
        <f>ROUND($AY$6*AZ14/$AZ$5,2)</f>
        <v>0</v>
      </c>
      <c r="AZ14" s="3252">
        <f>BA14+BL14</f>
        <v>0</v>
      </c>
      <c r="BA14" s="3252">
        <f>SUM(BB14:BK14)</f>
        <v>0</v>
      </c>
      <c r="BB14" s="3252">
        <f>IF($D14="是",I14-J14,0)</f>
        <v>0</v>
      </c>
      <c r="BC14" s="3252">
        <f>IF($D14="是",K14-L14,0)</f>
        <v>0</v>
      </c>
      <c r="BD14" s="3252">
        <f>IF($D14="是",M14-N14,0)</f>
        <v>0</v>
      </c>
      <c r="BE14" s="3252">
        <f>IF($D14="是",O14-P14,0)</f>
        <v>0</v>
      </c>
      <c r="BF14" s="3252">
        <f>IF($D14="是",Q14-R14,0)</f>
        <v>0</v>
      </c>
      <c r="BG14" s="3252">
        <f>IF($D14="是",S14-T14,0)</f>
        <v>0</v>
      </c>
      <c r="BH14" s="3252">
        <f>IF($D14="是",U14-V14,0)</f>
        <v>0</v>
      </c>
      <c r="BI14" s="3252">
        <f>IF($D14="是",W14-X14,0)</f>
        <v>0</v>
      </c>
      <c r="BJ14" s="3252">
        <f>IF($D14="是",Y14-Z14,0)</f>
        <v>0</v>
      </c>
      <c r="BK14" s="3252">
        <f>IF($D14="是",AA14-AB14,0)</f>
        <v>0</v>
      </c>
      <c r="BL14" s="3252">
        <f>SUM(BM14:BT14)</f>
        <v>0</v>
      </c>
      <c r="BM14" s="3252">
        <f>IF($D14="是",AD14-AE14,0)</f>
        <v>0</v>
      </c>
      <c r="BN14" s="3252">
        <f>IF($D14="是",AF14-AG14,0)</f>
        <v>0</v>
      </c>
      <c r="BO14" s="3252">
        <f>IF($D14="是",AH14-AI14,0)</f>
        <v>0</v>
      </c>
      <c r="BP14" s="3252">
        <f>IF($D14="是",AJ14-AK14,0)</f>
        <v>0</v>
      </c>
      <c r="BQ14" s="3252">
        <f>IF($D14="是",AL14-AM14,0)</f>
        <v>0</v>
      </c>
      <c r="BR14" s="3252">
        <f>IF($D14="是",AN14-AO14,0)</f>
        <v>0</v>
      </c>
      <c r="BS14" s="3252">
        <f>IF($D14="是",AP14-AQ14,0)</f>
        <v>0</v>
      </c>
      <c r="BT14" s="3324">
        <f>IF($D14="是",AR14-AS14,0)</f>
        <v>0</v>
      </c>
    </row>
    <row r="15" s="3237" customFormat="1" ht="13" spans="1:72">
      <c r="A15" s="3266"/>
      <c r="B15" s="3266"/>
      <c r="C15" s="3271"/>
      <c r="D15" s="3268"/>
      <c r="E15" s="3252">
        <f>IF($C$3="是",ROUND($A$3*G15/$B$3,2),ROUND($A$3*(G15-AT15)/$B$3,2))</f>
        <v>0</v>
      </c>
      <c r="F15" s="3269"/>
      <c r="G15" s="3270">
        <f>H15+AC15+AT15</f>
        <v>0</v>
      </c>
      <c r="H15" s="3255">
        <f>SUMIF(I$12:AB$12,"总值",I15:AB15)</f>
        <v>0</v>
      </c>
      <c r="I15" s="3285"/>
      <c r="J15" s="3285"/>
      <c r="K15" s="3285"/>
      <c r="L15" s="3285"/>
      <c r="M15" s="3285"/>
      <c r="N15" s="3285"/>
      <c r="O15" s="3285"/>
      <c r="P15" s="3285"/>
      <c r="Q15" s="3285"/>
      <c r="R15" s="3285"/>
      <c r="S15" s="3285"/>
      <c r="T15" s="3285"/>
      <c r="U15" s="3285"/>
      <c r="V15" s="3285"/>
      <c r="W15" s="3285"/>
      <c r="X15" s="3285"/>
      <c r="Y15" s="3285"/>
      <c r="Z15" s="3285"/>
      <c r="AA15" s="3285"/>
      <c r="AB15" s="3285"/>
      <c r="AC15" s="3252">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063">
        <f t="shared" si="6"/>
        <v>0</v>
      </c>
      <c r="AW15" s="1063">
        <f t="shared" si="6"/>
        <v>0</v>
      </c>
      <c r="AX15" s="1063">
        <f t="shared" si="6"/>
        <v>0</v>
      </c>
      <c r="AY15" s="2667">
        <f>ROUND($AY$6*AZ15/$AZ$5,2)</f>
        <v>0</v>
      </c>
      <c r="AZ15" s="3252">
        <f>BA15+BL15</f>
        <v>0</v>
      </c>
      <c r="BA15" s="3252">
        <f>SUM(BB15:BK15)</f>
        <v>0</v>
      </c>
      <c r="BB15" s="3252">
        <f>IF($D15="是",I15-J15,0)</f>
        <v>0</v>
      </c>
      <c r="BC15" s="3252">
        <f>IF($D15="是",K15-L15,0)</f>
        <v>0</v>
      </c>
      <c r="BD15" s="3252">
        <f>IF($D15="是",M15-N15,0)</f>
        <v>0</v>
      </c>
      <c r="BE15" s="3252">
        <f>IF($D15="是",O15-P15,0)</f>
        <v>0</v>
      </c>
      <c r="BF15" s="3252">
        <f>IF($D15="是",Q15-R15,0)</f>
        <v>0</v>
      </c>
      <c r="BG15" s="3252">
        <f>IF($D15="是",S15-T15,0)</f>
        <v>0</v>
      </c>
      <c r="BH15" s="3252">
        <f>IF($D15="是",U15-V15,0)</f>
        <v>0</v>
      </c>
      <c r="BI15" s="3252">
        <f>IF($D15="是",W15-X15,0)</f>
        <v>0</v>
      </c>
      <c r="BJ15" s="3252">
        <f>IF($D15="是",Y15-Z15,0)</f>
        <v>0</v>
      </c>
      <c r="BK15" s="3252">
        <f>IF($D15="是",AA15-AB15,0)</f>
        <v>0</v>
      </c>
      <c r="BL15" s="3252">
        <f>SUM(BM15:BT15)</f>
        <v>0</v>
      </c>
      <c r="BM15" s="3252">
        <f>IF($D15="是",AD15-AE15,0)</f>
        <v>0</v>
      </c>
      <c r="BN15" s="3252">
        <f>IF($D15="是",AF15-AG15,0)</f>
        <v>0</v>
      </c>
      <c r="BO15" s="3252">
        <f>IF($D15="是",AH15-AI15,0)</f>
        <v>0</v>
      </c>
      <c r="BP15" s="3252">
        <f>IF($D15="是",AJ15-AK15,0)</f>
        <v>0</v>
      </c>
      <c r="BQ15" s="3252">
        <f>IF($D15="是",AL15-AM15,0)</f>
        <v>0</v>
      </c>
      <c r="BR15" s="3252">
        <f>IF($D15="是",AN15-AO15,0)</f>
        <v>0</v>
      </c>
      <c r="BS15" s="3252">
        <f>IF($D15="是",AP15-AQ15,0)</f>
        <v>0</v>
      </c>
      <c r="BT15" s="3324">
        <f>IF($D15="是",AR15-AS15,0)</f>
        <v>0</v>
      </c>
    </row>
    <row r="16" s="3237" customFormat="1" ht="13" spans="1:72">
      <c r="A16" s="3266"/>
      <c r="B16" s="3266"/>
      <c r="C16" s="3271"/>
      <c r="D16" s="3268"/>
      <c r="E16" s="3252">
        <f>IF($C$3="是",ROUND($A$3*G16/$B$3,2),ROUND($A$3*(G16-AT16)/$B$3,2))</f>
        <v>0</v>
      </c>
      <c r="F16" s="3269"/>
      <c r="G16" s="3270">
        <f>H16+AC16+AT16</f>
        <v>0</v>
      </c>
      <c r="H16" s="3255">
        <f>SUMIF(I$12:AB$12,"总值",I16:AB16)</f>
        <v>0</v>
      </c>
      <c r="I16" s="3285"/>
      <c r="J16" s="3285"/>
      <c r="K16" s="3285"/>
      <c r="L16" s="3285"/>
      <c r="M16" s="3285"/>
      <c r="N16" s="3285"/>
      <c r="O16" s="3285"/>
      <c r="P16" s="3285"/>
      <c r="Q16" s="3285"/>
      <c r="R16" s="3285"/>
      <c r="S16" s="3285"/>
      <c r="T16" s="3285"/>
      <c r="U16" s="3285"/>
      <c r="V16" s="3285"/>
      <c r="W16" s="3285"/>
      <c r="X16" s="3285"/>
      <c r="Y16" s="3285"/>
      <c r="Z16" s="3285"/>
      <c r="AA16" s="3285"/>
      <c r="AB16" s="3285"/>
      <c r="AC16" s="3252">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063">
        <f t="shared" si="6"/>
        <v>0</v>
      </c>
      <c r="AW16" s="1063">
        <f t="shared" si="6"/>
        <v>0</v>
      </c>
      <c r="AX16" s="1063">
        <f t="shared" si="6"/>
        <v>0</v>
      </c>
      <c r="AY16" s="2667">
        <f>ROUND($AY$6*AZ16/$AZ$5,2)</f>
        <v>0</v>
      </c>
      <c r="AZ16" s="3252">
        <f>BA16+BL16</f>
        <v>0</v>
      </c>
      <c r="BA16" s="3252">
        <f>SUM(BB16:BK16)</f>
        <v>0</v>
      </c>
      <c r="BB16" s="3252">
        <f>IF($D16="是",I16-J16,0)</f>
        <v>0</v>
      </c>
      <c r="BC16" s="3252">
        <f>IF($D16="是",K16-L16,0)</f>
        <v>0</v>
      </c>
      <c r="BD16" s="3252">
        <f>IF($D16="是",M16-N16,0)</f>
        <v>0</v>
      </c>
      <c r="BE16" s="3252">
        <f>IF($D16="是",O16-P16,0)</f>
        <v>0</v>
      </c>
      <c r="BF16" s="3252">
        <f>IF($D16="是",Q16-R16,0)</f>
        <v>0</v>
      </c>
      <c r="BG16" s="3252">
        <f>IF($D16="是",S16-T16,0)</f>
        <v>0</v>
      </c>
      <c r="BH16" s="3252">
        <f>IF($D16="是",U16-V16,0)</f>
        <v>0</v>
      </c>
      <c r="BI16" s="3252">
        <f>IF($D16="是",W16-X16,0)</f>
        <v>0</v>
      </c>
      <c r="BJ16" s="3252">
        <f>IF($D16="是",Y16-Z16,0)</f>
        <v>0</v>
      </c>
      <c r="BK16" s="3252">
        <f>IF($D16="是",AA16-AB16,0)</f>
        <v>0</v>
      </c>
      <c r="BL16" s="3252">
        <f>SUM(BM16:BT16)</f>
        <v>0</v>
      </c>
      <c r="BM16" s="3252">
        <f>IF($D16="是",AD16-AE16,0)</f>
        <v>0</v>
      </c>
      <c r="BN16" s="3252">
        <f>IF($D16="是",AF16-AG16,0)</f>
        <v>0</v>
      </c>
      <c r="BO16" s="3252">
        <f>IF($D16="是",AH16-AI16,0)</f>
        <v>0</v>
      </c>
      <c r="BP16" s="3252">
        <f>IF($D16="是",AJ16-AK16,0)</f>
        <v>0</v>
      </c>
      <c r="BQ16" s="3252">
        <f>IF($D16="是",AL16-AM16,0)</f>
        <v>0</v>
      </c>
      <c r="BR16" s="3252">
        <f>IF($D16="是",AN16-AO16,0)</f>
        <v>0</v>
      </c>
      <c r="BS16" s="3252">
        <f>IF($D16="是",AP16-AQ16,0)</f>
        <v>0</v>
      </c>
      <c r="BT16" s="3324">
        <f>IF($D16="是",AR16-AS16,0)</f>
        <v>0</v>
      </c>
    </row>
    <row r="17" s="3237" customFormat="1" ht="12.5" spans="1:72">
      <c r="A17" s="3266"/>
      <c r="B17" s="3266"/>
      <c r="C17" s="3272"/>
      <c r="D17" s="3268"/>
      <c r="E17" s="3252">
        <f>IF($C$3="是",ROUND($A$3*G17/$B$3,2),ROUND($A$3*(G17-AT17)/$B$3,2))</f>
        <v>0</v>
      </c>
      <c r="F17" s="3269"/>
      <c r="G17" s="3270">
        <f>H17+AC17+AT17</f>
        <v>0</v>
      </c>
      <c r="H17" s="3255">
        <f>SUMIF(I$12:AB$12,"总值",I17:AB17)</f>
        <v>0</v>
      </c>
      <c r="I17" s="3285"/>
      <c r="J17" s="3285"/>
      <c r="K17" s="3285"/>
      <c r="L17" s="3285"/>
      <c r="M17" s="3285"/>
      <c r="N17" s="3285"/>
      <c r="O17" s="3285"/>
      <c r="P17" s="3285"/>
      <c r="Q17" s="3285"/>
      <c r="R17" s="3285"/>
      <c r="S17" s="3285"/>
      <c r="T17" s="3285"/>
      <c r="U17" s="3285"/>
      <c r="V17" s="3285"/>
      <c r="W17" s="3285"/>
      <c r="X17" s="3285"/>
      <c r="Y17" s="3285"/>
      <c r="Z17" s="3285"/>
      <c r="AA17" s="3285"/>
      <c r="AB17" s="3285"/>
      <c r="AC17" s="3252">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063">
        <f t="shared" si="6"/>
        <v>0</v>
      </c>
      <c r="AW17" s="1063">
        <f t="shared" si="6"/>
        <v>0</v>
      </c>
      <c r="AX17" s="1063">
        <f t="shared" si="6"/>
        <v>0</v>
      </c>
      <c r="AY17" s="2667">
        <f>ROUND($AY$6*AZ17/$AZ$5,2)</f>
        <v>0</v>
      </c>
      <c r="AZ17" s="3252">
        <f>BA17+BL17</f>
        <v>0</v>
      </c>
      <c r="BA17" s="3252">
        <f>SUM(BB17:BK17)</f>
        <v>0</v>
      </c>
      <c r="BB17" s="3252">
        <f>IF($D17="是",I17-J17,0)</f>
        <v>0</v>
      </c>
      <c r="BC17" s="3252">
        <f>IF($D17="是",K17-L17,0)</f>
        <v>0</v>
      </c>
      <c r="BD17" s="3252">
        <f>IF($D17="是",M17-N17,0)</f>
        <v>0</v>
      </c>
      <c r="BE17" s="3252">
        <f>IF($D17="是",O17-P17,0)</f>
        <v>0</v>
      </c>
      <c r="BF17" s="3252">
        <f>IF($D17="是",Q17-R17,0)</f>
        <v>0</v>
      </c>
      <c r="BG17" s="3252">
        <f>IF($D17="是",S17-T17,0)</f>
        <v>0</v>
      </c>
      <c r="BH17" s="3252">
        <f>IF($D17="是",U17-V17,0)</f>
        <v>0</v>
      </c>
      <c r="BI17" s="3252">
        <f>IF($D17="是",W17-X17,0)</f>
        <v>0</v>
      </c>
      <c r="BJ17" s="3252">
        <f>IF($D17="是",Y17-Z17,0)</f>
        <v>0</v>
      </c>
      <c r="BK17" s="3252">
        <f>IF($D17="是",AA17-AB17,0)</f>
        <v>0</v>
      </c>
      <c r="BL17" s="3252">
        <f>SUM(BM17:BT17)</f>
        <v>0</v>
      </c>
      <c r="BM17" s="3252">
        <f>IF($D17="是",AD17-AE17,0)</f>
        <v>0</v>
      </c>
      <c r="BN17" s="3252">
        <f>IF($D17="是",AF17-AG17,0)</f>
        <v>0</v>
      </c>
      <c r="BO17" s="3252">
        <f>IF($D17="是",AH17-AI17,0)</f>
        <v>0</v>
      </c>
      <c r="BP17" s="3252">
        <f>IF($D17="是",AJ17-AK17,0)</f>
        <v>0</v>
      </c>
      <c r="BQ17" s="3252">
        <f>IF($D17="是",AL17-AM17,0)</f>
        <v>0</v>
      </c>
      <c r="BR17" s="3252">
        <f>IF($D17="是",AN17-AO17,0)</f>
        <v>0</v>
      </c>
      <c r="BS17" s="3252">
        <f>IF($D17="是",AP17-AQ17,0)</f>
        <v>0</v>
      </c>
      <c r="BT17" s="3324">
        <f>IF($D17="是",AR17-AS17,0)</f>
        <v>0</v>
      </c>
    </row>
    <row r="18" spans="1:72">
      <c r="A18" s="3273"/>
      <c r="B18" s="3274"/>
      <c r="C18" s="3274"/>
      <c r="D18" s="3275"/>
      <c r="E18" s="3276">
        <f t="shared" ref="E18:E112" si="7">IF($C$3="是",ROUND($A$3*G18/$B$3,2),ROUND($A$3*(G18-AT18)/$B$3,2))</f>
        <v>0</v>
      </c>
      <c r="F18" s="3277"/>
      <c r="G18" s="3278">
        <f t="shared" ref="G18:G109" si="8">H18+AC18+AT18</f>
        <v>0</v>
      </c>
      <c r="H18" s="3279">
        <f t="shared" ref="H18:H109" si="9">SUMIF(I$12:AB$12,"总值",I18:AB18)</f>
        <v>0</v>
      </c>
      <c r="I18" s="3286"/>
      <c r="J18" s="3286"/>
      <c r="K18" s="3286"/>
      <c r="L18" s="3286"/>
      <c r="M18" s="3286"/>
      <c r="N18" s="3286"/>
      <c r="O18" s="3286"/>
      <c r="P18" s="3286"/>
      <c r="Q18" s="3286"/>
      <c r="R18" s="3286"/>
      <c r="S18" s="3286"/>
      <c r="T18" s="3286"/>
      <c r="U18" s="3286"/>
      <c r="V18" s="3286"/>
      <c r="W18" s="3286"/>
      <c r="X18" s="3286"/>
      <c r="Y18" s="3286"/>
      <c r="Z18" s="3286"/>
      <c r="AA18" s="3286"/>
      <c r="AB18" s="3286"/>
      <c r="AC18" s="3276">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1371">
        <f t="shared" ref="AV18:AV112" si="11">A18</f>
        <v>0</v>
      </c>
      <c r="AW18" s="1371">
        <f t="shared" ref="AW18:AW112" si="12">B18</f>
        <v>0</v>
      </c>
      <c r="AX18" s="1371">
        <f t="shared" ref="AX18:AX112" si="13">C18</f>
        <v>0</v>
      </c>
      <c r="AY18" s="3321">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8">
        <f t="shared" ref="BT18:BT109" si="35">IF($D18="是",AR18-AS18,0)</f>
        <v>0</v>
      </c>
    </row>
    <row r="19" spans="1:72">
      <c r="A19" s="3273"/>
      <c r="B19" s="3274"/>
      <c r="C19" s="3274"/>
      <c r="D19" s="3275"/>
      <c r="E19" s="3276">
        <f t="shared" si="7"/>
        <v>0</v>
      </c>
      <c r="F19" s="3277"/>
      <c r="G19" s="3278">
        <f t="shared" si="8"/>
        <v>0</v>
      </c>
      <c r="H19" s="3279">
        <f t="shared" si="9"/>
        <v>0</v>
      </c>
      <c r="I19" s="3286"/>
      <c r="J19" s="3286"/>
      <c r="K19" s="3286"/>
      <c r="L19" s="3286"/>
      <c r="M19" s="3286"/>
      <c r="N19" s="3286"/>
      <c r="O19" s="3286"/>
      <c r="P19" s="3286"/>
      <c r="Q19" s="3286"/>
      <c r="R19" s="3286"/>
      <c r="S19" s="3286"/>
      <c r="T19" s="3286"/>
      <c r="U19" s="3286"/>
      <c r="V19" s="3286"/>
      <c r="W19" s="3286"/>
      <c r="X19" s="3286"/>
      <c r="Y19" s="3286"/>
      <c r="Z19" s="3286"/>
      <c r="AA19" s="3286"/>
      <c r="AB19" s="3286"/>
      <c r="AC19" s="3276">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1371">
        <f t="shared" si="11"/>
        <v>0</v>
      </c>
      <c r="AW19" s="1371">
        <f t="shared" si="12"/>
        <v>0</v>
      </c>
      <c r="AX19" s="1371">
        <f t="shared" si="13"/>
        <v>0</v>
      </c>
      <c r="AY19" s="3321">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8">
        <f t="shared" si="35"/>
        <v>0</v>
      </c>
    </row>
    <row r="20" spans="1:72">
      <c r="A20" s="3273"/>
      <c r="B20" s="3274"/>
      <c r="C20" s="3274"/>
      <c r="D20" s="3275"/>
      <c r="E20" s="3276">
        <f t="shared" si="7"/>
        <v>0</v>
      </c>
      <c r="F20" s="3277"/>
      <c r="G20" s="3278">
        <f t="shared" si="8"/>
        <v>0</v>
      </c>
      <c r="H20" s="3279">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6">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1371">
        <f t="shared" si="11"/>
        <v>0</v>
      </c>
      <c r="AW20" s="1371">
        <f t="shared" si="12"/>
        <v>0</v>
      </c>
      <c r="AX20" s="1371">
        <f t="shared" si="13"/>
        <v>0</v>
      </c>
      <c r="AY20" s="3321">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8">
        <f t="shared" si="35"/>
        <v>0</v>
      </c>
    </row>
    <row r="21" spans="1:72">
      <c r="A21" s="3273"/>
      <c r="B21" s="3274"/>
      <c r="C21" s="3274"/>
      <c r="D21" s="3275"/>
      <c r="E21" s="3276">
        <f t="shared" si="7"/>
        <v>0</v>
      </c>
      <c r="F21" s="3277"/>
      <c r="G21" s="3278">
        <f t="shared" si="8"/>
        <v>0</v>
      </c>
      <c r="H21" s="3279">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6">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1371">
        <f t="shared" si="11"/>
        <v>0</v>
      </c>
      <c r="AW21" s="1371">
        <f t="shared" si="12"/>
        <v>0</v>
      </c>
      <c r="AX21" s="1371">
        <f t="shared" si="13"/>
        <v>0</v>
      </c>
      <c r="AY21" s="3321">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8">
        <f t="shared" si="35"/>
        <v>0</v>
      </c>
    </row>
    <row r="22" spans="1:72">
      <c r="A22" s="3273"/>
      <c r="B22" s="3274"/>
      <c r="C22" s="3274"/>
      <c r="D22" s="3275"/>
      <c r="E22" s="3276">
        <f t="shared" si="7"/>
        <v>0</v>
      </c>
      <c r="F22" s="3277"/>
      <c r="G22" s="3278">
        <f t="shared" si="8"/>
        <v>0</v>
      </c>
      <c r="H22" s="3279">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6">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1371">
        <f t="shared" si="11"/>
        <v>0</v>
      </c>
      <c r="AW22" s="1371">
        <f t="shared" si="12"/>
        <v>0</v>
      </c>
      <c r="AX22" s="1371">
        <f t="shared" si="13"/>
        <v>0</v>
      </c>
      <c r="AY22" s="3321">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8">
        <f t="shared" si="35"/>
        <v>0</v>
      </c>
    </row>
    <row r="23" spans="1:72">
      <c r="A23" s="3273"/>
      <c r="B23" s="3274"/>
      <c r="C23" s="3274"/>
      <c r="D23" s="3275"/>
      <c r="E23" s="3276">
        <f t="shared" si="7"/>
        <v>0</v>
      </c>
      <c r="F23" s="3277"/>
      <c r="G23" s="3278">
        <f t="shared" si="8"/>
        <v>0</v>
      </c>
      <c r="H23" s="3279">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6">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1371">
        <f t="shared" si="11"/>
        <v>0</v>
      </c>
      <c r="AW23" s="1371">
        <f t="shared" si="12"/>
        <v>0</v>
      </c>
      <c r="AX23" s="1371">
        <f t="shared" si="13"/>
        <v>0</v>
      </c>
      <c r="AY23" s="3321">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8">
        <f t="shared" si="35"/>
        <v>0</v>
      </c>
    </row>
    <row r="24" spans="1:72">
      <c r="A24" s="3273"/>
      <c r="B24" s="3274"/>
      <c r="C24" s="3274"/>
      <c r="D24" s="3275"/>
      <c r="E24" s="3276">
        <f t="shared" si="7"/>
        <v>0</v>
      </c>
      <c r="F24" s="3277"/>
      <c r="G24" s="3278">
        <f t="shared" si="8"/>
        <v>0</v>
      </c>
      <c r="H24" s="3279">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6">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1371">
        <f t="shared" si="11"/>
        <v>0</v>
      </c>
      <c r="AW24" s="1371">
        <f t="shared" si="12"/>
        <v>0</v>
      </c>
      <c r="AX24" s="1371">
        <f t="shared" si="13"/>
        <v>0</v>
      </c>
      <c r="AY24" s="3321">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8">
        <f t="shared" si="35"/>
        <v>0</v>
      </c>
    </row>
    <row r="25" spans="1:72">
      <c r="A25" s="3273"/>
      <c r="B25" s="3274"/>
      <c r="C25" s="3274"/>
      <c r="D25" s="3275"/>
      <c r="E25" s="3276">
        <f t="shared" si="7"/>
        <v>0</v>
      </c>
      <c r="F25" s="3277"/>
      <c r="G25" s="3278">
        <f t="shared" si="8"/>
        <v>0</v>
      </c>
      <c r="H25" s="3279">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6">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1371">
        <f t="shared" si="11"/>
        <v>0</v>
      </c>
      <c r="AW25" s="1371">
        <f t="shared" si="12"/>
        <v>0</v>
      </c>
      <c r="AX25" s="1371">
        <f t="shared" si="13"/>
        <v>0</v>
      </c>
      <c r="AY25" s="3321">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8">
        <f t="shared" si="35"/>
        <v>0</v>
      </c>
    </row>
    <row r="26" spans="1:72">
      <c r="A26" s="3273"/>
      <c r="B26" s="3274"/>
      <c r="C26" s="3274"/>
      <c r="D26" s="3275"/>
      <c r="E26" s="3276">
        <f t="shared" si="7"/>
        <v>0</v>
      </c>
      <c r="F26" s="3277"/>
      <c r="G26" s="3278">
        <f t="shared" si="8"/>
        <v>0</v>
      </c>
      <c r="H26" s="3279">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6">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1371">
        <f t="shared" si="11"/>
        <v>0</v>
      </c>
      <c r="AW26" s="1371">
        <f t="shared" si="12"/>
        <v>0</v>
      </c>
      <c r="AX26" s="1371">
        <f t="shared" si="13"/>
        <v>0</v>
      </c>
      <c r="AY26" s="3321">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8">
        <f t="shared" si="35"/>
        <v>0</v>
      </c>
    </row>
    <row r="27" spans="1:72">
      <c r="A27" s="3273"/>
      <c r="B27" s="3274"/>
      <c r="C27" s="3274"/>
      <c r="D27" s="3275"/>
      <c r="E27" s="3276">
        <f t="shared" si="7"/>
        <v>0</v>
      </c>
      <c r="F27" s="3277"/>
      <c r="G27" s="3278">
        <f t="shared" si="8"/>
        <v>0</v>
      </c>
      <c r="H27" s="3279">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6">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1371">
        <f t="shared" si="11"/>
        <v>0</v>
      </c>
      <c r="AW27" s="1371">
        <f t="shared" si="12"/>
        <v>0</v>
      </c>
      <c r="AX27" s="1371">
        <f t="shared" si="13"/>
        <v>0</v>
      </c>
      <c r="AY27" s="3321">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8">
        <f t="shared" si="35"/>
        <v>0</v>
      </c>
    </row>
    <row r="28" spans="1:72">
      <c r="A28" s="3273"/>
      <c r="B28" s="3274"/>
      <c r="C28" s="3274"/>
      <c r="D28" s="3275"/>
      <c r="E28" s="3276">
        <f t="shared" si="7"/>
        <v>0</v>
      </c>
      <c r="F28" s="3277"/>
      <c r="G28" s="3278">
        <f t="shared" si="8"/>
        <v>0</v>
      </c>
      <c r="H28" s="3279">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6">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1371">
        <f t="shared" si="11"/>
        <v>0</v>
      </c>
      <c r="AW28" s="1371">
        <f t="shared" si="12"/>
        <v>0</v>
      </c>
      <c r="AX28" s="1371">
        <f t="shared" si="13"/>
        <v>0</v>
      </c>
      <c r="AY28" s="3321">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8">
        <f t="shared" si="35"/>
        <v>0</v>
      </c>
    </row>
    <row r="29" spans="1:72">
      <c r="A29" s="3273"/>
      <c r="B29" s="3274"/>
      <c r="C29" s="3274"/>
      <c r="D29" s="3275"/>
      <c r="E29" s="3276">
        <f t="shared" si="7"/>
        <v>0</v>
      </c>
      <c r="F29" s="3277"/>
      <c r="G29" s="3278">
        <f t="shared" si="8"/>
        <v>0</v>
      </c>
      <c r="H29" s="3279">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6">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1371">
        <f t="shared" si="11"/>
        <v>0</v>
      </c>
      <c r="AW29" s="1371">
        <f t="shared" si="12"/>
        <v>0</v>
      </c>
      <c r="AX29" s="1371">
        <f t="shared" si="13"/>
        <v>0</v>
      </c>
      <c r="AY29" s="3321">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8">
        <f t="shared" si="35"/>
        <v>0</v>
      </c>
    </row>
    <row r="30" spans="1:72">
      <c r="A30" s="3273"/>
      <c r="B30" s="3274"/>
      <c r="C30" s="3274"/>
      <c r="D30" s="3275"/>
      <c r="E30" s="3276">
        <f t="shared" si="7"/>
        <v>0</v>
      </c>
      <c r="F30" s="3277"/>
      <c r="G30" s="3278">
        <f t="shared" si="8"/>
        <v>0</v>
      </c>
      <c r="H30" s="3279">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6">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1371">
        <f t="shared" si="11"/>
        <v>0</v>
      </c>
      <c r="AW30" s="1371">
        <f t="shared" si="12"/>
        <v>0</v>
      </c>
      <c r="AX30" s="1371">
        <f t="shared" si="13"/>
        <v>0</v>
      </c>
      <c r="AY30" s="3321">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8">
        <f t="shared" si="35"/>
        <v>0</v>
      </c>
    </row>
    <row r="31" spans="1:72">
      <c r="A31" s="3273"/>
      <c r="B31" s="3274"/>
      <c r="C31" s="3274"/>
      <c r="D31" s="3275"/>
      <c r="E31" s="3276">
        <f t="shared" si="7"/>
        <v>0</v>
      </c>
      <c r="F31" s="3277"/>
      <c r="G31" s="3278">
        <f t="shared" si="8"/>
        <v>0</v>
      </c>
      <c r="H31" s="3279">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6">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1371">
        <f t="shared" si="11"/>
        <v>0</v>
      </c>
      <c r="AW31" s="1371">
        <f t="shared" si="12"/>
        <v>0</v>
      </c>
      <c r="AX31" s="1371">
        <f t="shared" si="13"/>
        <v>0</v>
      </c>
      <c r="AY31" s="3321">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8">
        <f t="shared" si="35"/>
        <v>0</v>
      </c>
    </row>
    <row r="32" spans="1:72">
      <c r="A32" s="3273"/>
      <c r="B32" s="3274"/>
      <c r="C32" s="3274"/>
      <c r="D32" s="3275"/>
      <c r="E32" s="3276">
        <f t="shared" si="7"/>
        <v>0</v>
      </c>
      <c r="F32" s="3277"/>
      <c r="G32" s="3278">
        <f t="shared" si="8"/>
        <v>0</v>
      </c>
      <c r="H32" s="3279">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6">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1371">
        <f t="shared" si="11"/>
        <v>0</v>
      </c>
      <c r="AW32" s="1371">
        <f t="shared" si="12"/>
        <v>0</v>
      </c>
      <c r="AX32" s="1371">
        <f t="shared" si="13"/>
        <v>0</v>
      </c>
      <c r="AY32" s="3321">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8">
        <f t="shared" si="35"/>
        <v>0</v>
      </c>
    </row>
    <row r="33" spans="1:72">
      <c r="A33" s="3273"/>
      <c r="B33" s="3274"/>
      <c r="C33" s="3274"/>
      <c r="D33" s="3275"/>
      <c r="E33" s="3276">
        <f t="shared" si="7"/>
        <v>0</v>
      </c>
      <c r="F33" s="3277"/>
      <c r="G33" s="3278">
        <f t="shared" si="8"/>
        <v>0</v>
      </c>
      <c r="H33" s="3279">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6">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1371">
        <f t="shared" si="11"/>
        <v>0</v>
      </c>
      <c r="AW33" s="1371">
        <f t="shared" si="12"/>
        <v>0</v>
      </c>
      <c r="AX33" s="1371">
        <f t="shared" si="13"/>
        <v>0</v>
      </c>
      <c r="AY33" s="3321">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8">
        <f t="shared" si="35"/>
        <v>0</v>
      </c>
    </row>
    <row r="34" spans="1:72">
      <c r="A34" s="3273"/>
      <c r="B34" s="3274"/>
      <c r="C34" s="3274"/>
      <c r="D34" s="3275"/>
      <c r="E34" s="3276">
        <f t="shared" si="7"/>
        <v>0</v>
      </c>
      <c r="F34" s="3277"/>
      <c r="G34" s="3278">
        <f t="shared" si="8"/>
        <v>0</v>
      </c>
      <c r="H34" s="3279">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6">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1371">
        <f t="shared" si="11"/>
        <v>0</v>
      </c>
      <c r="AW34" s="1371">
        <f t="shared" si="12"/>
        <v>0</v>
      </c>
      <c r="AX34" s="1371">
        <f t="shared" si="13"/>
        <v>0</v>
      </c>
      <c r="AY34" s="3321">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8">
        <f t="shared" si="35"/>
        <v>0</v>
      </c>
    </row>
    <row r="35" spans="1:72">
      <c r="A35" s="3273"/>
      <c r="B35" s="3274"/>
      <c r="C35" s="3274"/>
      <c r="D35" s="3275"/>
      <c r="E35" s="3276">
        <f t="shared" si="7"/>
        <v>0</v>
      </c>
      <c r="F35" s="3277"/>
      <c r="G35" s="3278">
        <f t="shared" si="8"/>
        <v>0</v>
      </c>
      <c r="H35" s="3279">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6">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1371">
        <f t="shared" si="11"/>
        <v>0</v>
      </c>
      <c r="AW35" s="1371">
        <f t="shared" si="12"/>
        <v>0</v>
      </c>
      <c r="AX35" s="1371">
        <f t="shared" si="13"/>
        <v>0</v>
      </c>
      <c r="AY35" s="3321">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8">
        <f t="shared" si="35"/>
        <v>0</v>
      </c>
    </row>
    <row r="36" spans="1:72">
      <c r="A36" s="3273"/>
      <c r="B36" s="3274"/>
      <c r="C36" s="3274"/>
      <c r="D36" s="3275"/>
      <c r="E36" s="3276">
        <f t="shared" si="7"/>
        <v>0</v>
      </c>
      <c r="F36" s="3277"/>
      <c r="G36" s="3278">
        <f t="shared" si="8"/>
        <v>0</v>
      </c>
      <c r="H36" s="3279">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6">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1371">
        <f t="shared" si="11"/>
        <v>0</v>
      </c>
      <c r="AW36" s="1371">
        <f t="shared" si="12"/>
        <v>0</v>
      </c>
      <c r="AX36" s="1371">
        <f t="shared" si="13"/>
        <v>0</v>
      </c>
      <c r="AY36" s="3321">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8">
        <f t="shared" si="35"/>
        <v>0</v>
      </c>
    </row>
    <row r="37" spans="1:72">
      <c r="A37" s="3273"/>
      <c r="B37" s="3274"/>
      <c r="C37" s="3274"/>
      <c r="D37" s="3275"/>
      <c r="E37" s="3276">
        <f t="shared" si="7"/>
        <v>0</v>
      </c>
      <c r="F37" s="3277"/>
      <c r="G37" s="3278">
        <f t="shared" si="8"/>
        <v>0</v>
      </c>
      <c r="H37" s="3279">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6">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1371">
        <f t="shared" si="11"/>
        <v>0</v>
      </c>
      <c r="AW37" s="1371">
        <f t="shared" si="12"/>
        <v>0</v>
      </c>
      <c r="AX37" s="1371">
        <f t="shared" si="13"/>
        <v>0</v>
      </c>
      <c r="AY37" s="3321">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8">
        <f t="shared" si="35"/>
        <v>0</v>
      </c>
    </row>
    <row r="38" spans="1:72">
      <c r="A38" s="3273"/>
      <c r="B38" s="3274"/>
      <c r="C38" s="3274"/>
      <c r="D38" s="3275"/>
      <c r="E38" s="3276">
        <f t="shared" si="7"/>
        <v>0</v>
      </c>
      <c r="F38" s="3277"/>
      <c r="G38" s="3278">
        <f t="shared" si="8"/>
        <v>0</v>
      </c>
      <c r="H38" s="3279">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6">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1371">
        <f t="shared" si="11"/>
        <v>0</v>
      </c>
      <c r="AW38" s="1371">
        <f t="shared" si="12"/>
        <v>0</v>
      </c>
      <c r="AX38" s="1371">
        <f t="shared" si="13"/>
        <v>0</v>
      </c>
      <c r="AY38" s="3321">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8">
        <f t="shared" si="35"/>
        <v>0</v>
      </c>
    </row>
    <row r="39" spans="1:72">
      <c r="A39" s="3273"/>
      <c r="B39" s="3274"/>
      <c r="C39" s="3274"/>
      <c r="D39" s="3275"/>
      <c r="E39" s="3276">
        <f t="shared" si="7"/>
        <v>0</v>
      </c>
      <c r="F39" s="3277"/>
      <c r="G39" s="3278">
        <f t="shared" si="8"/>
        <v>0</v>
      </c>
      <c r="H39" s="3279">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6">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1371">
        <f t="shared" si="11"/>
        <v>0</v>
      </c>
      <c r="AW39" s="1371">
        <f t="shared" si="12"/>
        <v>0</v>
      </c>
      <c r="AX39" s="1371">
        <f t="shared" si="13"/>
        <v>0</v>
      </c>
      <c r="AY39" s="3321">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8">
        <f t="shared" si="35"/>
        <v>0</v>
      </c>
    </row>
    <row r="40" spans="1:72">
      <c r="A40" s="3273"/>
      <c r="B40" s="3274"/>
      <c r="C40" s="3274"/>
      <c r="D40" s="3275"/>
      <c r="E40" s="3276">
        <f t="shared" si="7"/>
        <v>0</v>
      </c>
      <c r="F40" s="3277"/>
      <c r="G40" s="3278">
        <f t="shared" si="8"/>
        <v>0</v>
      </c>
      <c r="H40" s="3279">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6">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1371">
        <f t="shared" si="11"/>
        <v>0</v>
      </c>
      <c r="AW40" s="1371">
        <f t="shared" si="12"/>
        <v>0</v>
      </c>
      <c r="AX40" s="1371">
        <f t="shared" si="13"/>
        <v>0</v>
      </c>
      <c r="AY40" s="3321">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8">
        <f t="shared" si="35"/>
        <v>0</v>
      </c>
    </row>
    <row r="41" spans="1:72">
      <c r="A41" s="3273"/>
      <c r="B41" s="3274"/>
      <c r="C41" s="3274"/>
      <c r="D41" s="3275"/>
      <c r="E41" s="3276">
        <f t="shared" si="7"/>
        <v>0</v>
      </c>
      <c r="F41" s="3277"/>
      <c r="G41" s="3278">
        <f t="shared" si="8"/>
        <v>0</v>
      </c>
      <c r="H41" s="3279">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6">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1371">
        <f t="shared" si="11"/>
        <v>0</v>
      </c>
      <c r="AW41" s="1371">
        <f t="shared" si="12"/>
        <v>0</v>
      </c>
      <c r="AX41" s="1371">
        <f t="shared" si="13"/>
        <v>0</v>
      </c>
      <c r="AY41" s="3321">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8">
        <f t="shared" si="35"/>
        <v>0</v>
      </c>
    </row>
    <row r="42" spans="1:72">
      <c r="A42" s="3273"/>
      <c r="B42" s="3274"/>
      <c r="C42" s="3274"/>
      <c r="D42" s="3275"/>
      <c r="E42" s="3276">
        <f t="shared" si="7"/>
        <v>0</v>
      </c>
      <c r="F42" s="3277"/>
      <c r="G42" s="3278">
        <f t="shared" si="8"/>
        <v>0</v>
      </c>
      <c r="H42" s="3279">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6">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1371">
        <f t="shared" si="11"/>
        <v>0</v>
      </c>
      <c r="AW42" s="1371">
        <f t="shared" si="12"/>
        <v>0</v>
      </c>
      <c r="AX42" s="1371">
        <f t="shared" si="13"/>
        <v>0</v>
      </c>
      <c r="AY42" s="3321">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8">
        <f t="shared" si="35"/>
        <v>0</v>
      </c>
    </row>
    <row r="43" spans="1:72">
      <c r="A43" s="3273"/>
      <c r="B43" s="3274"/>
      <c r="C43" s="3274"/>
      <c r="D43" s="3275"/>
      <c r="E43" s="3276">
        <f t="shared" si="7"/>
        <v>0</v>
      </c>
      <c r="F43" s="3277"/>
      <c r="G43" s="3278">
        <f t="shared" si="8"/>
        <v>0</v>
      </c>
      <c r="H43" s="3279">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6">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1371">
        <f t="shared" si="11"/>
        <v>0</v>
      </c>
      <c r="AW43" s="1371">
        <f t="shared" si="12"/>
        <v>0</v>
      </c>
      <c r="AX43" s="1371">
        <f t="shared" si="13"/>
        <v>0</v>
      </c>
      <c r="AY43" s="3321">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8">
        <f t="shared" si="35"/>
        <v>0</v>
      </c>
    </row>
    <row r="44" spans="1:72">
      <c r="A44" s="3273"/>
      <c r="B44" s="3274"/>
      <c r="C44" s="3274"/>
      <c r="D44" s="3275"/>
      <c r="E44" s="3276">
        <f t="shared" si="7"/>
        <v>0</v>
      </c>
      <c r="F44" s="3277"/>
      <c r="G44" s="3278">
        <f t="shared" si="8"/>
        <v>0</v>
      </c>
      <c r="H44" s="3279">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6">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1371">
        <f t="shared" si="11"/>
        <v>0</v>
      </c>
      <c r="AW44" s="1371">
        <f t="shared" si="12"/>
        <v>0</v>
      </c>
      <c r="AX44" s="1371">
        <f t="shared" si="13"/>
        <v>0</v>
      </c>
      <c r="AY44" s="3321">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8">
        <f t="shared" si="35"/>
        <v>0</v>
      </c>
    </row>
    <row r="45" spans="1:72">
      <c r="A45" s="3273"/>
      <c r="B45" s="3274"/>
      <c r="C45" s="3274"/>
      <c r="D45" s="3275"/>
      <c r="E45" s="3276">
        <f t="shared" si="7"/>
        <v>0</v>
      </c>
      <c r="F45" s="3277"/>
      <c r="G45" s="3278">
        <f t="shared" si="8"/>
        <v>0</v>
      </c>
      <c r="H45" s="3279">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6">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1371">
        <f t="shared" si="11"/>
        <v>0</v>
      </c>
      <c r="AW45" s="1371">
        <f t="shared" si="12"/>
        <v>0</v>
      </c>
      <c r="AX45" s="1371">
        <f t="shared" si="13"/>
        <v>0</v>
      </c>
      <c r="AY45" s="3321">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8">
        <f t="shared" si="35"/>
        <v>0</v>
      </c>
    </row>
    <row r="46" spans="1:72">
      <c r="A46" s="3273"/>
      <c r="B46" s="3274"/>
      <c r="C46" s="3274"/>
      <c r="D46" s="3275"/>
      <c r="E46" s="3276">
        <f t="shared" si="7"/>
        <v>0</v>
      </c>
      <c r="F46" s="3277"/>
      <c r="G46" s="3278">
        <f t="shared" si="8"/>
        <v>0</v>
      </c>
      <c r="H46" s="3279">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6">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1371">
        <f t="shared" si="11"/>
        <v>0</v>
      </c>
      <c r="AW46" s="1371">
        <f t="shared" si="12"/>
        <v>0</v>
      </c>
      <c r="AX46" s="1371">
        <f t="shared" si="13"/>
        <v>0</v>
      </c>
      <c r="AY46" s="3321">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8">
        <f t="shared" si="35"/>
        <v>0</v>
      </c>
    </row>
    <row r="47" spans="1:72">
      <c r="A47" s="3273"/>
      <c r="B47" s="3274"/>
      <c r="C47" s="3274"/>
      <c r="D47" s="3275"/>
      <c r="E47" s="3276">
        <f t="shared" si="7"/>
        <v>0</v>
      </c>
      <c r="F47" s="3277"/>
      <c r="G47" s="3278">
        <f t="shared" si="8"/>
        <v>0</v>
      </c>
      <c r="H47" s="3279">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6">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1371">
        <f t="shared" si="11"/>
        <v>0</v>
      </c>
      <c r="AW47" s="1371">
        <f t="shared" si="12"/>
        <v>0</v>
      </c>
      <c r="AX47" s="1371">
        <f t="shared" si="13"/>
        <v>0</v>
      </c>
      <c r="AY47" s="3321">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8">
        <f t="shared" si="35"/>
        <v>0</v>
      </c>
    </row>
    <row r="48" spans="1:72">
      <c r="A48" s="3273"/>
      <c r="B48" s="3274"/>
      <c r="C48" s="3274"/>
      <c r="D48" s="3275"/>
      <c r="E48" s="3276">
        <f t="shared" si="7"/>
        <v>0</v>
      </c>
      <c r="F48" s="3277"/>
      <c r="G48" s="3278">
        <f t="shared" si="8"/>
        <v>0</v>
      </c>
      <c r="H48" s="3279">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6">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1371">
        <f t="shared" si="11"/>
        <v>0</v>
      </c>
      <c r="AW48" s="1371">
        <f t="shared" si="12"/>
        <v>0</v>
      </c>
      <c r="AX48" s="1371">
        <f t="shared" si="13"/>
        <v>0</v>
      </c>
      <c r="AY48" s="3321">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8">
        <f t="shared" si="35"/>
        <v>0</v>
      </c>
    </row>
    <row r="49" spans="1:72">
      <c r="A49" s="3273"/>
      <c r="B49" s="3274"/>
      <c r="C49" s="3274"/>
      <c r="D49" s="3275"/>
      <c r="E49" s="3276">
        <f t="shared" si="7"/>
        <v>0</v>
      </c>
      <c r="F49" s="3277"/>
      <c r="G49" s="3278">
        <f t="shared" si="8"/>
        <v>0</v>
      </c>
      <c r="H49" s="3279">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6">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1371">
        <f t="shared" si="11"/>
        <v>0</v>
      </c>
      <c r="AW49" s="1371">
        <f t="shared" si="12"/>
        <v>0</v>
      </c>
      <c r="AX49" s="1371">
        <f t="shared" si="13"/>
        <v>0</v>
      </c>
      <c r="AY49" s="3321">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8">
        <f t="shared" si="35"/>
        <v>0</v>
      </c>
    </row>
    <row r="50" spans="1:72">
      <c r="A50" s="3273"/>
      <c r="B50" s="3274"/>
      <c r="C50" s="3274"/>
      <c r="D50" s="3275"/>
      <c r="E50" s="3276">
        <f t="shared" si="7"/>
        <v>0</v>
      </c>
      <c r="F50" s="3277"/>
      <c r="G50" s="3278">
        <f t="shared" si="8"/>
        <v>0</v>
      </c>
      <c r="H50" s="3279">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6">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1371">
        <f t="shared" si="11"/>
        <v>0</v>
      </c>
      <c r="AW50" s="1371">
        <f t="shared" si="12"/>
        <v>0</v>
      </c>
      <c r="AX50" s="1371">
        <f t="shared" si="13"/>
        <v>0</v>
      </c>
      <c r="AY50" s="3321">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8">
        <f t="shared" si="35"/>
        <v>0</v>
      </c>
    </row>
    <row r="51" spans="1:72">
      <c r="A51" s="3273"/>
      <c r="B51" s="3274"/>
      <c r="C51" s="3274"/>
      <c r="D51" s="3275"/>
      <c r="E51" s="3276">
        <f t="shared" si="7"/>
        <v>0</v>
      </c>
      <c r="F51" s="3277"/>
      <c r="G51" s="3278">
        <f t="shared" si="8"/>
        <v>0</v>
      </c>
      <c r="H51" s="3279">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6">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1371">
        <f t="shared" si="11"/>
        <v>0</v>
      </c>
      <c r="AW51" s="1371">
        <f t="shared" si="12"/>
        <v>0</v>
      </c>
      <c r="AX51" s="1371">
        <f t="shared" si="13"/>
        <v>0</v>
      </c>
      <c r="AY51" s="3321">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8">
        <f t="shared" si="35"/>
        <v>0</v>
      </c>
    </row>
    <row r="52" spans="1:72">
      <c r="A52" s="3273"/>
      <c r="B52" s="3274"/>
      <c r="C52" s="3274"/>
      <c r="D52" s="3275"/>
      <c r="E52" s="3276">
        <f t="shared" si="7"/>
        <v>0</v>
      </c>
      <c r="F52" s="3277"/>
      <c r="G52" s="3278">
        <f t="shared" si="8"/>
        <v>0</v>
      </c>
      <c r="H52" s="3279">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6">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1371">
        <f t="shared" si="11"/>
        <v>0</v>
      </c>
      <c r="AW52" s="1371">
        <f t="shared" si="12"/>
        <v>0</v>
      </c>
      <c r="AX52" s="1371">
        <f t="shared" si="13"/>
        <v>0</v>
      </c>
      <c r="AY52" s="3321">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8">
        <f t="shared" si="35"/>
        <v>0</v>
      </c>
    </row>
    <row r="53" spans="1:72">
      <c r="A53" s="3273"/>
      <c r="B53" s="3274"/>
      <c r="C53" s="3274"/>
      <c r="D53" s="3275"/>
      <c r="E53" s="3276">
        <f t="shared" si="7"/>
        <v>0</v>
      </c>
      <c r="F53" s="3277"/>
      <c r="G53" s="3278">
        <f t="shared" si="8"/>
        <v>0</v>
      </c>
      <c r="H53" s="3279">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6">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1371">
        <f t="shared" si="11"/>
        <v>0</v>
      </c>
      <c r="AW53" s="1371">
        <f t="shared" si="12"/>
        <v>0</v>
      </c>
      <c r="AX53" s="1371">
        <f t="shared" si="13"/>
        <v>0</v>
      </c>
      <c r="AY53" s="3321">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8">
        <f t="shared" si="35"/>
        <v>0</v>
      </c>
    </row>
    <row r="54" spans="1:72">
      <c r="A54" s="3273"/>
      <c r="B54" s="3274"/>
      <c r="C54" s="3274"/>
      <c r="D54" s="3275"/>
      <c r="E54" s="3276">
        <f t="shared" si="7"/>
        <v>0</v>
      </c>
      <c r="F54" s="3277"/>
      <c r="G54" s="3278">
        <f t="shared" si="8"/>
        <v>0</v>
      </c>
      <c r="H54" s="3279">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6">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1371">
        <f t="shared" si="11"/>
        <v>0</v>
      </c>
      <c r="AW54" s="1371">
        <f t="shared" si="12"/>
        <v>0</v>
      </c>
      <c r="AX54" s="1371">
        <f t="shared" si="13"/>
        <v>0</v>
      </c>
      <c r="AY54" s="3321">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8">
        <f t="shared" si="35"/>
        <v>0</v>
      </c>
    </row>
    <row r="55" spans="1:72">
      <c r="A55" s="3273"/>
      <c r="B55" s="3274"/>
      <c r="C55" s="3274"/>
      <c r="D55" s="3275"/>
      <c r="E55" s="3276">
        <f t="shared" si="7"/>
        <v>0</v>
      </c>
      <c r="F55" s="3277"/>
      <c r="G55" s="3278">
        <f t="shared" si="8"/>
        <v>0</v>
      </c>
      <c r="H55" s="3279">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6">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1371">
        <f t="shared" si="11"/>
        <v>0</v>
      </c>
      <c r="AW55" s="1371">
        <f t="shared" si="12"/>
        <v>0</v>
      </c>
      <c r="AX55" s="1371">
        <f t="shared" si="13"/>
        <v>0</v>
      </c>
      <c r="AY55" s="3321">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8">
        <f t="shared" si="35"/>
        <v>0</v>
      </c>
    </row>
    <row r="56" spans="1:72">
      <c r="A56" s="3273"/>
      <c r="B56" s="3274"/>
      <c r="C56" s="3274"/>
      <c r="D56" s="3275"/>
      <c r="E56" s="3276">
        <f t="shared" si="7"/>
        <v>0</v>
      </c>
      <c r="F56" s="3277"/>
      <c r="G56" s="3278">
        <f t="shared" si="8"/>
        <v>0</v>
      </c>
      <c r="H56" s="3279">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6">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1371">
        <f t="shared" si="11"/>
        <v>0</v>
      </c>
      <c r="AW56" s="1371">
        <f t="shared" si="12"/>
        <v>0</v>
      </c>
      <c r="AX56" s="1371">
        <f t="shared" si="13"/>
        <v>0</v>
      </c>
      <c r="AY56" s="3321">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8">
        <f t="shared" si="35"/>
        <v>0</v>
      </c>
    </row>
    <row r="57" spans="1:72">
      <c r="A57" s="3273"/>
      <c r="B57" s="3274"/>
      <c r="C57" s="3274"/>
      <c r="D57" s="3275"/>
      <c r="E57" s="3276">
        <f t="shared" si="7"/>
        <v>0</v>
      </c>
      <c r="F57" s="3277"/>
      <c r="G57" s="3278">
        <f t="shared" si="8"/>
        <v>0</v>
      </c>
      <c r="H57" s="3279">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6">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1371">
        <f t="shared" si="11"/>
        <v>0</v>
      </c>
      <c r="AW57" s="1371">
        <f t="shared" si="12"/>
        <v>0</v>
      </c>
      <c r="AX57" s="1371">
        <f t="shared" si="13"/>
        <v>0</v>
      </c>
      <c r="AY57" s="3321">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8">
        <f t="shared" si="35"/>
        <v>0</v>
      </c>
    </row>
    <row r="58" spans="1:72">
      <c r="A58" s="3273"/>
      <c r="B58" s="3274"/>
      <c r="C58" s="3274"/>
      <c r="D58" s="3275"/>
      <c r="E58" s="3276">
        <f t="shared" si="7"/>
        <v>0</v>
      </c>
      <c r="F58" s="3277"/>
      <c r="G58" s="3278">
        <f t="shared" si="8"/>
        <v>0</v>
      </c>
      <c r="H58" s="3279">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6">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1371">
        <f t="shared" si="11"/>
        <v>0</v>
      </c>
      <c r="AW58" s="1371">
        <f t="shared" si="12"/>
        <v>0</v>
      </c>
      <c r="AX58" s="1371">
        <f t="shared" si="13"/>
        <v>0</v>
      </c>
      <c r="AY58" s="3321">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8">
        <f t="shared" si="35"/>
        <v>0</v>
      </c>
    </row>
    <row r="59" spans="1:72">
      <c r="A59" s="3273"/>
      <c r="B59" s="3274"/>
      <c r="C59" s="3274"/>
      <c r="D59" s="3275"/>
      <c r="E59" s="3276">
        <f t="shared" si="7"/>
        <v>0</v>
      </c>
      <c r="F59" s="3277"/>
      <c r="G59" s="3278">
        <f t="shared" si="8"/>
        <v>0</v>
      </c>
      <c r="H59" s="3279">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6">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1371">
        <f t="shared" si="11"/>
        <v>0</v>
      </c>
      <c r="AW59" s="1371">
        <f t="shared" si="12"/>
        <v>0</v>
      </c>
      <c r="AX59" s="1371">
        <f t="shared" si="13"/>
        <v>0</v>
      </c>
      <c r="AY59" s="3321">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8">
        <f t="shared" si="35"/>
        <v>0</v>
      </c>
    </row>
    <row r="60" spans="1:72">
      <c r="A60" s="3273"/>
      <c r="B60" s="3274"/>
      <c r="C60" s="3274"/>
      <c r="D60" s="3275"/>
      <c r="E60" s="3276">
        <f t="shared" si="7"/>
        <v>0</v>
      </c>
      <c r="F60" s="3277"/>
      <c r="G60" s="3278">
        <f t="shared" si="8"/>
        <v>0</v>
      </c>
      <c r="H60" s="3279">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6">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1371">
        <f t="shared" si="11"/>
        <v>0</v>
      </c>
      <c r="AW60" s="1371">
        <f t="shared" si="12"/>
        <v>0</v>
      </c>
      <c r="AX60" s="1371">
        <f t="shared" si="13"/>
        <v>0</v>
      </c>
      <c r="AY60" s="3321">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8">
        <f t="shared" si="35"/>
        <v>0</v>
      </c>
    </row>
    <row r="61" spans="1:72">
      <c r="A61" s="3273"/>
      <c r="B61" s="3274"/>
      <c r="C61" s="3274"/>
      <c r="D61" s="3275"/>
      <c r="E61" s="3276">
        <f t="shared" si="7"/>
        <v>0</v>
      </c>
      <c r="F61" s="3277"/>
      <c r="G61" s="3278">
        <f t="shared" si="8"/>
        <v>0</v>
      </c>
      <c r="H61" s="3279">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6">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1371">
        <f t="shared" si="11"/>
        <v>0</v>
      </c>
      <c r="AW61" s="1371">
        <f t="shared" si="12"/>
        <v>0</v>
      </c>
      <c r="AX61" s="1371">
        <f t="shared" si="13"/>
        <v>0</v>
      </c>
      <c r="AY61" s="3321">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8">
        <f t="shared" si="35"/>
        <v>0</v>
      </c>
    </row>
    <row r="62" spans="1:72">
      <c r="A62" s="3273"/>
      <c r="B62" s="3274"/>
      <c r="C62" s="3274"/>
      <c r="D62" s="3275"/>
      <c r="E62" s="3276">
        <f t="shared" si="7"/>
        <v>0</v>
      </c>
      <c r="F62" s="3277"/>
      <c r="G62" s="3278">
        <f t="shared" si="8"/>
        <v>0</v>
      </c>
      <c r="H62" s="3279">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6">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1371">
        <f t="shared" si="11"/>
        <v>0</v>
      </c>
      <c r="AW62" s="1371">
        <f t="shared" si="12"/>
        <v>0</v>
      </c>
      <c r="AX62" s="1371">
        <f t="shared" si="13"/>
        <v>0</v>
      </c>
      <c r="AY62" s="3321">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8">
        <f t="shared" si="35"/>
        <v>0</v>
      </c>
    </row>
    <row r="63" spans="1:72">
      <c r="A63" s="3273"/>
      <c r="B63" s="3274"/>
      <c r="C63" s="3274"/>
      <c r="D63" s="3275"/>
      <c r="E63" s="3276">
        <f t="shared" si="7"/>
        <v>0</v>
      </c>
      <c r="F63" s="3277"/>
      <c r="G63" s="3278">
        <f t="shared" si="8"/>
        <v>0</v>
      </c>
      <c r="H63" s="3279">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6">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1371">
        <f t="shared" si="11"/>
        <v>0</v>
      </c>
      <c r="AW63" s="1371">
        <f t="shared" si="12"/>
        <v>0</v>
      </c>
      <c r="AX63" s="1371">
        <f t="shared" si="13"/>
        <v>0</v>
      </c>
      <c r="AY63" s="3321">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8">
        <f t="shared" si="35"/>
        <v>0</v>
      </c>
    </row>
    <row r="64" spans="1:72">
      <c r="A64" s="3273"/>
      <c r="B64" s="3274"/>
      <c r="C64" s="3274"/>
      <c r="D64" s="3275"/>
      <c r="E64" s="3276">
        <f t="shared" si="7"/>
        <v>0</v>
      </c>
      <c r="F64" s="3277"/>
      <c r="G64" s="3278">
        <f t="shared" si="8"/>
        <v>0</v>
      </c>
      <c r="H64" s="3279">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6">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1371">
        <f t="shared" si="11"/>
        <v>0</v>
      </c>
      <c r="AW64" s="1371">
        <f t="shared" si="12"/>
        <v>0</v>
      </c>
      <c r="AX64" s="1371">
        <f t="shared" si="13"/>
        <v>0</v>
      </c>
      <c r="AY64" s="3321">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8">
        <f t="shared" si="35"/>
        <v>0</v>
      </c>
    </row>
    <row r="65" spans="1:72">
      <c r="A65" s="3273"/>
      <c r="B65" s="3274"/>
      <c r="C65" s="3274"/>
      <c r="D65" s="3275"/>
      <c r="E65" s="3276">
        <f t="shared" si="7"/>
        <v>0</v>
      </c>
      <c r="F65" s="3277"/>
      <c r="G65" s="3278">
        <f t="shared" si="8"/>
        <v>0</v>
      </c>
      <c r="H65" s="3279">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6">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1371">
        <f t="shared" si="11"/>
        <v>0</v>
      </c>
      <c r="AW65" s="1371">
        <f t="shared" si="12"/>
        <v>0</v>
      </c>
      <c r="AX65" s="1371">
        <f t="shared" si="13"/>
        <v>0</v>
      </c>
      <c r="AY65" s="3321">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8">
        <f t="shared" si="35"/>
        <v>0</v>
      </c>
    </row>
    <row r="66" spans="1:72">
      <c r="A66" s="3273"/>
      <c r="B66" s="3274"/>
      <c r="C66" s="3274"/>
      <c r="D66" s="3275"/>
      <c r="E66" s="3276">
        <f t="shared" si="7"/>
        <v>0</v>
      </c>
      <c r="F66" s="3277"/>
      <c r="G66" s="3278">
        <f t="shared" si="8"/>
        <v>0</v>
      </c>
      <c r="H66" s="3279">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6">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1371">
        <f t="shared" si="11"/>
        <v>0</v>
      </c>
      <c r="AW66" s="1371">
        <f t="shared" si="12"/>
        <v>0</v>
      </c>
      <c r="AX66" s="1371">
        <f t="shared" si="13"/>
        <v>0</v>
      </c>
      <c r="AY66" s="3321">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8">
        <f t="shared" si="35"/>
        <v>0</v>
      </c>
    </row>
    <row r="67" spans="1:72">
      <c r="A67" s="3273"/>
      <c r="B67" s="3274"/>
      <c r="C67" s="3274"/>
      <c r="D67" s="3275"/>
      <c r="E67" s="3276">
        <f t="shared" si="7"/>
        <v>0</v>
      </c>
      <c r="F67" s="3277"/>
      <c r="G67" s="3278">
        <f t="shared" si="8"/>
        <v>0</v>
      </c>
      <c r="H67" s="3279">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6">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1371">
        <f t="shared" si="11"/>
        <v>0</v>
      </c>
      <c r="AW67" s="1371">
        <f t="shared" si="12"/>
        <v>0</v>
      </c>
      <c r="AX67" s="1371">
        <f t="shared" si="13"/>
        <v>0</v>
      </c>
      <c r="AY67" s="3321">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8">
        <f t="shared" si="35"/>
        <v>0</v>
      </c>
    </row>
    <row r="68" spans="1:72">
      <c r="A68" s="3273"/>
      <c r="B68" s="3274"/>
      <c r="C68" s="3274"/>
      <c r="D68" s="3275"/>
      <c r="E68" s="3276">
        <f t="shared" si="7"/>
        <v>0</v>
      </c>
      <c r="F68" s="3277"/>
      <c r="G68" s="3278">
        <f t="shared" si="8"/>
        <v>0</v>
      </c>
      <c r="H68" s="3279">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6">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1371">
        <f t="shared" si="11"/>
        <v>0</v>
      </c>
      <c r="AW68" s="1371">
        <f t="shared" si="12"/>
        <v>0</v>
      </c>
      <c r="AX68" s="1371">
        <f t="shared" si="13"/>
        <v>0</v>
      </c>
      <c r="AY68" s="3321">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8">
        <f t="shared" si="35"/>
        <v>0</v>
      </c>
    </row>
    <row r="69" spans="1:72">
      <c r="A69" s="3273"/>
      <c r="B69" s="3274"/>
      <c r="C69" s="3274"/>
      <c r="D69" s="3275"/>
      <c r="E69" s="3276">
        <f t="shared" si="7"/>
        <v>0</v>
      </c>
      <c r="F69" s="3277"/>
      <c r="G69" s="3278">
        <f t="shared" si="8"/>
        <v>0</v>
      </c>
      <c r="H69" s="3279">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6">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1371">
        <f t="shared" si="11"/>
        <v>0</v>
      </c>
      <c r="AW69" s="1371">
        <f t="shared" si="12"/>
        <v>0</v>
      </c>
      <c r="AX69" s="1371">
        <f t="shared" si="13"/>
        <v>0</v>
      </c>
      <c r="AY69" s="3321">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8">
        <f t="shared" si="35"/>
        <v>0</v>
      </c>
    </row>
    <row r="70" spans="1:72">
      <c r="A70" s="3273"/>
      <c r="B70" s="3274"/>
      <c r="C70" s="3274"/>
      <c r="D70" s="3275"/>
      <c r="E70" s="3276">
        <f t="shared" si="7"/>
        <v>0</v>
      </c>
      <c r="F70" s="3277"/>
      <c r="G70" s="3278">
        <f t="shared" si="8"/>
        <v>0</v>
      </c>
      <c r="H70" s="3279">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6">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1371">
        <f t="shared" si="11"/>
        <v>0</v>
      </c>
      <c r="AW70" s="1371">
        <f t="shared" si="12"/>
        <v>0</v>
      </c>
      <c r="AX70" s="1371">
        <f t="shared" si="13"/>
        <v>0</v>
      </c>
      <c r="AY70" s="3321">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8">
        <f t="shared" si="35"/>
        <v>0</v>
      </c>
    </row>
    <row r="71" spans="1:72">
      <c r="A71" s="3273"/>
      <c r="B71" s="3274"/>
      <c r="C71" s="3274"/>
      <c r="D71" s="3275"/>
      <c r="E71" s="3276">
        <f t="shared" si="7"/>
        <v>0</v>
      </c>
      <c r="F71" s="3277"/>
      <c r="G71" s="3278">
        <f t="shared" si="8"/>
        <v>0</v>
      </c>
      <c r="H71" s="3279">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6">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1371">
        <f t="shared" si="11"/>
        <v>0</v>
      </c>
      <c r="AW71" s="1371">
        <f t="shared" si="12"/>
        <v>0</v>
      </c>
      <c r="AX71" s="1371">
        <f t="shared" si="13"/>
        <v>0</v>
      </c>
      <c r="AY71" s="3321">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8">
        <f t="shared" si="35"/>
        <v>0</v>
      </c>
    </row>
    <row r="72" spans="1:72">
      <c r="A72" s="3273"/>
      <c r="B72" s="3274"/>
      <c r="C72" s="3274"/>
      <c r="D72" s="3275"/>
      <c r="E72" s="3276">
        <f t="shared" si="7"/>
        <v>0</v>
      </c>
      <c r="F72" s="3277"/>
      <c r="G72" s="3278">
        <f t="shared" si="8"/>
        <v>0</v>
      </c>
      <c r="H72" s="3279">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6">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1371">
        <f t="shared" si="11"/>
        <v>0</v>
      </c>
      <c r="AW72" s="1371">
        <f t="shared" si="12"/>
        <v>0</v>
      </c>
      <c r="AX72" s="1371">
        <f t="shared" si="13"/>
        <v>0</v>
      </c>
      <c r="AY72" s="3321">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8">
        <f t="shared" si="35"/>
        <v>0</v>
      </c>
    </row>
    <row r="73" spans="1:72">
      <c r="A73" s="3273"/>
      <c r="B73" s="3274"/>
      <c r="C73" s="3274"/>
      <c r="D73" s="3275"/>
      <c r="E73" s="3276">
        <f t="shared" si="7"/>
        <v>0</v>
      </c>
      <c r="F73" s="3277"/>
      <c r="G73" s="3278">
        <f t="shared" si="8"/>
        <v>0</v>
      </c>
      <c r="H73" s="3279">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6">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1371">
        <f t="shared" si="11"/>
        <v>0</v>
      </c>
      <c r="AW73" s="1371">
        <f t="shared" si="12"/>
        <v>0</v>
      </c>
      <c r="AX73" s="1371">
        <f t="shared" si="13"/>
        <v>0</v>
      </c>
      <c r="AY73" s="3321">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8">
        <f t="shared" si="35"/>
        <v>0</v>
      </c>
    </row>
    <row r="74" spans="1:72">
      <c r="A74" s="3273"/>
      <c r="B74" s="3274"/>
      <c r="C74" s="3274"/>
      <c r="D74" s="3275"/>
      <c r="E74" s="3276">
        <f t="shared" si="7"/>
        <v>0</v>
      </c>
      <c r="F74" s="3277"/>
      <c r="G74" s="3278">
        <f t="shared" si="8"/>
        <v>0</v>
      </c>
      <c r="H74" s="3279">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6">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1371">
        <f t="shared" si="11"/>
        <v>0</v>
      </c>
      <c r="AW74" s="1371">
        <f t="shared" si="12"/>
        <v>0</v>
      </c>
      <c r="AX74" s="1371">
        <f t="shared" si="13"/>
        <v>0</v>
      </c>
      <c r="AY74" s="3321">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8">
        <f t="shared" si="35"/>
        <v>0</v>
      </c>
    </row>
    <row r="75" spans="1:72">
      <c r="A75" s="3273"/>
      <c r="B75" s="3274"/>
      <c r="C75" s="3274"/>
      <c r="D75" s="3275"/>
      <c r="E75" s="3276">
        <f t="shared" si="7"/>
        <v>0</v>
      </c>
      <c r="F75" s="3277"/>
      <c r="G75" s="3278">
        <f t="shared" si="8"/>
        <v>0</v>
      </c>
      <c r="H75" s="3279">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6">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1371">
        <f t="shared" si="11"/>
        <v>0</v>
      </c>
      <c r="AW75" s="1371">
        <f t="shared" si="12"/>
        <v>0</v>
      </c>
      <c r="AX75" s="1371">
        <f t="shared" si="13"/>
        <v>0</v>
      </c>
      <c r="AY75" s="3321">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8">
        <f t="shared" si="35"/>
        <v>0</v>
      </c>
    </row>
    <row r="76" spans="1:72">
      <c r="A76" s="3273"/>
      <c r="B76" s="3274"/>
      <c r="C76" s="3274"/>
      <c r="D76" s="3275"/>
      <c r="E76" s="3276">
        <f t="shared" si="7"/>
        <v>0</v>
      </c>
      <c r="F76" s="3277"/>
      <c r="G76" s="3278">
        <f t="shared" si="8"/>
        <v>0</v>
      </c>
      <c r="H76" s="3279">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6">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1371">
        <f t="shared" si="11"/>
        <v>0</v>
      </c>
      <c r="AW76" s="1371">
        <f t="shared" si="12"/>
        <v>0</v>
      </c>
      <c r="AX76" s="1371">
        <f t="shared" si="13"/>
        <v>0</v>
      </c>
      <c r="AY76" s="3321">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8">
        <f t="shared" si="35"/>
        <v>0</v>
      </c>
    </row>
    <row r="77" spans="1:72">
      <c r="A77" s="3273"/>
      <c r="B77" s="3274"/>
      <c r="C77" s="3274"/>
      <c r="D77" s="3275"/>
      <c r="E77" s="3276">
        <f t="shared" si="7"/>
        <v>0</v>
      </c>
      <c r="F77" s="3277"/>
      <c r="G77" s="3278">
        <f t="shared" si="8"/>
        <v>0</v>
      </c>
      <c r="H77" s="3279">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6">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1371">
        <f t="shared" si="11"/>
        <v>0</v>
      </c>
      <c r="AW77" s="1371">
        <f t="shared" si="12"/>
        <v>0</v>
      </c>
      <c r="AX77" s="1371">
        <f t="shared" si="13"/>
        <v>0</v>
      </c>
      <c r="AY77" s="3321">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8">
        <f t="shared" si="35"/>
        <v>0</v>
      </c>
    </row>
    <row r="78" spans="1:72">
      <c r="A78" s="3273"/>
      <c r="B78" s="3274"/>
      <c r="C78" s="3274"/>
      <c r="D78" s="3275"/>
      <c r="E78" s="3276">
        <f t="shared" si="7"/>
        <v>0</v>
      </c>
      <c r="F78" s="3277"/>
      <c r="G78" s="3278">
        <f t="shared" si="8"/>
        <v>0</v>
      </c>
      <c r="H78" s="3279">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6">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1371">
        <f t="shared" si="11"/>
        <v>0</v>
      </c>
      <c r="AW78" s="1371">
        <f t="shared" si="12"/>
        <v>0</v>
      </c>
      <c r="AX78" s="1371">
        <f t="shared" si="13"/>
        <v>0</v>
      </c>
      <c r="AY78" s="3321">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8">
        <f t="shared" si="35"/>
        <v>0</v>
      </c>
    </row>
    <row r="79" spans="1:72">
      <c r="A79" s="3273"/>
      <c r="B79" s="3274"/>
      <c r="C79" s="3274"/>
      <c r="D79" s="3275"/>
      <c r="E79" s="3276">
        <f t="shared" si="7"/>
        <v>0</v>
      </c>
      <c r="F79" s="3277"/>
      <c r="G79" s="3278">
        <f t="shared" si="8"/>
        <v>0</v>
      </c>
      <c r="H79" s="3279">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6">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1371">
        <f t="shared" si="11"/>
        <v>0</v>
      </c>
      <c r="AW79" s="1371">
        <f t="shared" si="12"/>
        <v>0</v>
      </c>
      <c r="AX79" s="1371">
        <f t="shared" si="13"/>
        <v>0</v>
      </c>
      <c r="AY79" s="3321">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8">
        <f t="shared" si="35"/>
        <v>0</v>
      </c>
    </row>
    <row r="80" spans="1:72">
      <c r="A80" s="3273"/>
      <c r="B80" s="3274"/>
      <c r="C80" s="3274"/>
      <c r="D80" s="3275"/>
      <c r="E80" s="3276">
        <f t="shared" si="7"/>
        <v>0</v>
      </c>
      <c r="F80" s="3277"/>
      <c r="G80" s="3278">
        <f t="shared" si="8"/>
        <v>0</v>
      </c>
      <c r="H80" s="3279">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6">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1371">
        <f t="shared" si="11"/>
        <v>0</v>
      </c>
      <c r="AW80" s="1371">
        <f t="shared" si="12"/>
        <v>0</v>
      </c>
      <c r="AX80" s="1371">
        <f t="shared" si="13"/>
        <v>0</v>
      </c>
      <c r="AY80" s="3321">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8">
        <f t="shared" si="35"/>
        <v>0</v>
      </c>
    </row>
    <row r="81" spans="1:72">
      <c r="A81" s="3273"/>
      <c r="B81" s="3274"/>
      <c r="C81" s="3274"/>
      <c r="D81" s="3275"/>
      <c r="E81" s="3276">
        <f t="shared" si="7"/>
        <v>0</v>
      </c>
      <c r="F81" s="3277"/>
      <c r="G81" s="3278">
        <f t="shared" si="8"/>
        <v>0</v>
      </c>
      <c r="H81" s="3279">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6">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1371">
        <f t="shared" si="11"/>
        <v>0</v>
      </c>
      <c r="AW81" s="1371">
        <f t="shared" si="12"/>
        <v>0</v>
      </c>
      <c r="AX81" s="1371">
        <f t="shared" si="13"/>
        <v>0</v>
      </c>
      <c r="AY81" s="3321">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8">
        <f t="shared" si="35"/>
        <v>0</v>
      </c>
    </row>
    <row r="82" spans="1:72">
      <c r="A82" s="3273"/>
      <c r="B82" s="3274"/>
      <c r="C82" s="3274"/>
      <c r="D82" s="3275"/>
      <c r="E82" s="3276">
        <f t="shared" si="7"/>
        <v>0</v>
      </c>
      <c r="F82" s="3277"/>
      <c r="G82" s="3278">
        <f t="shared" si="8"/>
        <v>0</v>
      </c>
      <c r="H82" s="3279">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6">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1371">
        <f t="shared" si="11"/>
        <v>0</v>
      </c>
      <c r="AW82" s="1371">
        <f t="shared" si="12"/>
        <v>0</v>
      </c>
      <c r="AX82" s="1371">
        <f t="shared" si="13"/>
        <v>0</v>
      </c>
      <c r="AY82" s="3321">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8">
        <f t="shared" si="35"/>
        <v>0</v>
      </c>
    </row>
    <row r="83" spans="1:72">
      <c r="A83" s="3273"/>
      <c r="B83" s="3274"/>
      <c r="C83" s="3274"/>
      <c r="D83" s="3275"/>
      <c r="E83" s="3276">
        <f t="shared" si="7"/>
        <v>0</v>
      </c>
      <c r="F83" s="3277"/>
      <c r="G83" s="3278">
        <f t="shared" si="8"/>
        <v>0</v>
      </c>
      <c r="H83" s="3279">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6">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1371">
        <f t="shared" si="11"/>
        <v>0</v>
      </c>
      <c r="AW83" s="1371">
        <f t="shared" si="12"/>
        <v>0</v>
      </c>
      <c r="AX83" s="1371">
        <f t="shared" si="13"/>
        <v>0</v>
      </c>
      <c r="AY83" s="3321">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8">
        <f t="shared" si="35"/>
        <v>0</v>
      </c>
    </row>
    <row r="84" spans="1:72">
      <c r="A84" s="3273"/>
      <c r="B84" s="3274"/>
      <c r="C84" s="3274"/>
      <c r="D84" s="3275"/>
      <c r="E84" s="3276">
        <f t="shared" si="7"/>
        <v>0</v>
      </c>
      <c r="F84" s="3277"/>
      <c r="G84" s="3278">
        <f t="shared" si="8"/>
        <v>0</v>
      </c>
      <c r="H84" s="3279">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6">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1371">
        <f t="shared" si="11"/>
        <v>0</v>
      </c>
      <c r="AW84" s="1371">
        <f t="shared" si="12"/>
        <v>0</v>
      </c>
      <c r="AX84" s="1371">
        <f t="shared" si="13"/>
        <v>0</v>
      </c>
      <c r="AY84" s="3321">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8">
        <f t="shared" si="35"/>
        <v>0</v>
      </c>
    </row>
    <row r="85" spans="1:72">
      <c r="A85" s="3273"/>
      <c r="B85" s="3274"/>
      <c r="C85" s="3274"/>
      <c r="D85" s="3275"/>
      <c r="E85" s="3276">
        <f t="shared" si="7"/>
        <v>0</v>
      </c>
      <c r="F85" s="3277"/>
      <c r="G85" s="3278">
        <f t="shared" si="8"/>
        <v>0</v>
      </c>
      <c r="H85" s="3279">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6">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1371">
        <f t="shared" si="11"/>
        <v>0</v>
      </c>
      <c r="AW85" s="1371">
        <f t="shared" si="12"/>
        <v>0</v>
      </c>
      <c r="AX85" s="1371">
        <f t="shared" si="13"/>
        <v>0</v>
      </c>
      <c r="AY85" s="3321">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8">
        <f t="shared" si="35"/>
        <v>0</v>
      </c>
    </row>
    <row r="86" spans="1:72">
      <c r="A86" s="3273"/>
      <c r="B86" s="3274"/>
      <c r="C86" s="3274"/>
      <c r="D86" s="3275"/>
      <c r="E86" s="3276">
        <f t="shared" si="7"/>
        <v>0</v>
      </c>
      <c r="F86" s="3277"/>
      <c r="G86" s="3278">
        <f t="shared" si="8"/>
        <v>0</v>
      </c>
      <c r="H86" s="3279">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6">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1371">
        <f t="shared" si="11"/>
        <v>0</v>
      </c>
      <c r="AW86" s="1371">
        <f t="shared" si="12"/>
        <v>0</v>
      </c>
      <c r="AX86" s="1371">
        <f t="shared" si="13"/>
        <v>0</v>
      </c>
      <c r="AY86" s="3321">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8">
        <f t="shared" si="35"/>
        <v>0</v>
      </c>
    </row>
    <row r="87" spans="1:72">
      <c r="A87" s="3273"/>
      <c r="B87" s="3274"/>
      <c r="C87" s="3274"/>
      <c r="D87" s="3275"/>
      <c r="E87" s="3276">
        <f t="shared" si="7"/>
        <v>0</v>
      </c>
      <c r="F87" s="3277"/>
      <c r="G87" s="3278">
        <f t="shared" si="8"/>
        <v>0</v>
      </c>
      <c r="H87" s="3279">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6">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1371">
        <f t="shared" si="11"/>
        <v>0</v>
      </c>
      <c r="AW87" s="1371">
        <f t="shared" si="12"/>
        <v>0</v>
      </c>
      <c r="AX87" s="1371">
        <f t="shared" si="13"/>
        <v>0</v>
      </c>
      <c r="AY87" s="3321">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8">
        <f t="shared" si="35"/>
        <v>0</v>
      </c>
    </row>
    <row r="88" spans="1:72">
      <c r="A88" s="3273"/>
      <c r="B88" s="3274"/>
      <c r="C88" s="3274"/>
      <c r="D88" s="3275"/>
      <c r="E88" s="3276">
        <f t="shared" si="7"/>
        <v>0</v>
      </c>
      <c r="F88" s="3277"/>
      <c r="G88" s="3278">
        <f t="shared" si="8"/>
        <v>0</v>
      </c>
      <c r="H88" s="3279">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6">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1371">
        <f t="shared" si="11"/>
        <v>0</v>
      </c>
      <c r="AW88" s="1371">
        <f t="shared" si="12"/>
        <v>0</v>
      </c>
      <c r="AX88" s="1371">
        <f t="shared" si="13"/>
        <v>0</v>
      </c>
      <c r="AY88" s="3321">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8">
        <f t="shared" si="35"/>
        <v>0</v>
      </c>
    </row>
    <row r="89" spans="1:72">
      <c r="A89" s="3273"/>
      <c r="B89" s="3274"/>
      <c r="C89" s="3274"/>
      <c r="D89" s="3275"/>
      <c r="E89" s="3276">
        <f t="shared" si="7"/>
        <v>0</v>
      </c>
      <c r="F89" s="3277"/>
      <c r="G89" s="3278">
        <f t="shared" si="8"/>
        <v>0</v>
      </c>
      <c r="H89" s="3279">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6">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1371">
        <f t="shared" si="11"/>
        <v>0</v>
      </c>
      <c r="AW89" s="1371">
        <f t="shared" si="12"/>
        <v>0</v>
      </c>
      <c r="AX89" s="1371">
        <f t="shared" si="13"/>
        <v>0</v>
      </c>
      <c r="AY89" s="3321">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8">
        <f t="shared" si="35"/>
        <v>0</v>
      </c>
    </row>
    <row r="90" spans="1:72">
      <c r="A90" s="3273"/>
      <c r="B90" s="3274"/>
      <c r="C90" s="3274"/>
      <c r="D90" s="3275"/>
      <c r="E90" s="3276">
        <f t="shared" si="7"/>
        <v>0</v>
      </c>
      <c r="F90" s="3277"/>
      <c r="G90" s="3278">
        <f t="shared" si="8"/>
        <v>0</v>
      </c>
      <c r="H90" s="3279">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6">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1371">
        <f t="shared" si="11"/>
        <v>0</v>
      </c>
      <c r="AW90" s="1371">
        <f t="shared" si="12"/>
        <v>0</v>
      </c>
      <c r="AX90" s="1371">
        <f t="shared" si="13"/>
        <v>0</v>
      </c>
      <c r="AY90" s="3321">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8">
        <f t="shared" si="35"/>
        <v>0</v>
      </c>
    </row>
    <row r="91" spans="1:72">
      <c r="A91" s="3273"/>
      <c r="B91" s="3274"/>
      <c r="C91" s="3274"/>
      <c r="D91" s="3275"/>
      <c r="E91" s="3276">
        <f t="shared" si="7"/>
        <v>0</v>
      </c>
      <c r="F91" s="3277"/>
      <c r="G91" s="3278">
        <f t="shared" si="8"/>
        <v>0</v>
      </c>
      <c r="H91" s="3279">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6">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1371">
        <f t="shared" si="11"/>
        <v>0</v>
      </c>
      <c r="AW91" s="1371">
        <f t="shared" si="12"/>
        <v>0</v>
      </c>
      <c r="AX91" s="1371">
        <f t="shared" si="13"/>
        <v>0</v>
      </c>
      <c r="AY91" s="3321">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8">
        <f t="shared" si="35"/>
        <v>0</v>
      </c>
    </row>
    <row r="92" spans="1:72">
      <c r="A92" s="3273"/>
      <c r="B92" s="3274"/>
      <c r="C92" s="3274"/>
      <c r="D92" s="3275"/>
      <c r="E92" s="3276">
        <f t="shared" si="7"/>
        <v>0</v>
      </c>
      <c r="F92" s="3277"/>
      <c r="G92" s="3278">
        <f t="shared" si="8"/>
        <v>0</v>
      </c>
      <c r="H92" s="3279">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6">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1371">
        <f t="shared" si="11"/>
        <v>0</v>
      </c>
      <c r="AW92" s="1371">
        <f t="shared" si="12"/>
        <v>0</v>
      </c>
      <c r="AX92" s="1371">
        <f t="shared" si="13"/>
        <v>0</v>
      </c>
      <c r="AY92" s="3321">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8">
        <f t="shared" si="35"/>
        <v>0</v>
      </c>
    </row>
    <row r="93" spans="1:72">
      <c r="A93" s="3273"/>
      <c r="B93" s="3274"/>
      <c r="C93" s="3274"/>
      <c r="D93" s="3275"/>
      <c r="E93" s="3276">
        <f t="shared" si="7"/>
        <v>0</v>
      </c>
      <c r="F93" s="3277"/>
      <c r="G93" s="3278">
        <f t="shared" si="8"/>
        <v>0</v>
      </c>
      <c r="H93" s="3279">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6">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1371">
        <f t="shared" si="11"/>
        <v>0</v>
      </c>
      <c r="AW93" s="1371">
        <f t="shared" si="12"/>
        <v>0</v>
      </c>
      <c r="AX93" s="1371">
        <f t="shared" si="13"/>
        <v>0</v>
      </c>
      <c r="AY93" s="3321">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8">
        <f t="shared" si="35"/>
        <v>0</v>
      </c>
    </row>
    <row r="94" spans="1:72">
      <c r="A94" s="3273"/>
      <c r="B94" s="3274"/>
      <c r="C94" s="3274"/>
      <c r="D94" s="3275"/>
      <c r="E94" s="3276">
        <f t="shared" si="7"/>
        <v>0</v>
      </c>
      <c r="F94" s="3277"/>
      <c r="G94" s="3278">
        <f t="shared" si="8"/>
        <v>0</v>
      </c>
      <c r="H94" s="3279">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6">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1371">
        <f t="shared" si="11"/>
        <v>0</v>
      </c>
      <c r="AW94" s="1371">
        <f t="shared" si="12"/>
        <v>0</v>
      </c>
      <c r="AX94" s="1371">
        <f t="shared" si="13"/>
        <v>0</v>
      </c>
      <c r="AY94" s="3321">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8">
        <f t="shared" si="35"/>
        <v>0</v>
      </c>
    </row>
    <row r="95" spans="1:72">
      <c r="A95" s="3273"/>
      <c r="B95" s="3274"/>
      <c r="C95" s="3274"/>
      <c r="D95" s="3275"/>
      <c r="E95" s="3276">
        <f t="shared" si="7"/>
        <v>0</v>
      </c>
      <c r="F95" s="3277"/>
      <c r="G95" s="3278">
        <f t="shared" si="8"/>
        <v>0</v>
      </c>
      <c r="H95" s="3279">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6">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1371">
        <f t="shared" si="11"/>
        <v>0</v>
      </c>
      <c r="AW95" s="1371">
        <f t="shared" si="12"/>
        <v>0</v>
      </c>
      <c r="AX95" s="1371">
        <f t="shared" si="13"/>
        <v>0</v>
      </c>
      <c r="AY95" s="3321">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8">
        <f t="shared" si="35"/>
        <v>0</v>
      </c>
    </row>
    <row r="96" spans="1:72">
      <c r="A96" s="3273"/>
      <c r="B96" s="3274"/>
      <c r="C96" s="3274"/>
      <c r="D96" s="3275"/>
      <c r="E96" s="3276">
        <f t="shared" si="7"/>
        <v>0</v>
      </c>
      <c r="F96" s="3277"/>
      <c r="G96" s="3278">
        <f t="shared" si="8"/>
        <v>0</v>
      </c>
      <c r="H96" s="3279">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6">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1371">
        <f t="shared" si="11"/>
        <v>0</v>
      </c>
      <c r="AW96" s="1371">
        <f t="shared" si="12"/>
        <v>0</v>
      </c>
      <c r="AX96" s="1371">
        <f t="shared" si="13"/>
        <v>0</v>
      </c>
      <c r="AY96" s="3321">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8">
        <f t="shared" si="35"/>
        <v>0</v>
      </c>
    </row>
    <row r="97" spans="1:72">
      <c r="A97" s="3273"/>
      <c r="B97" s="3274"/>
      <c r="C97" s="3274"/>
      <c r="D97" s="3275"/>
      <c r="E97" s="3276">
        <f t="shared" si="7"/>
        <v>0</v>
      </c>
      <c r="F97" s="3277"/>
      <c r="G97" s="3278">
        <f t="shared" si="8"/>
        <v>0</v>
      </c>
      <c r="H97" s="3279">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6">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1371">
        <f t="shared" si="11"/>
        <v>0</v>
      </c>
      <c r="AW97" s="1371">
        <f t="shared" si="12"/>
        <v>0</v>
      </c>
      <c r="AX97" s="1371">
        <f t="shared" si="13"/>
        <v>0</v>
      </c>
      <c r="AY97" s="3321">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8">
        <f t="shared" si="35"/>
        <v>0</v>
      </c>
    </row>
    <row r="98" spans="1:72">
      <c r="A98" s="3273"/>
      <c r="B98" s="3274"/>
      <c r="C98" s="3274"/>
      <c r="D98" s="3275"/>
      <c r="E98" s="3276">
        <f t="shared" si="7"/>
        <v>0</v>
      </c>
      <c r="F98" s="3277"/>
      <c r="G98" s="3278">
        <f t="shared" si="8"/>
        <v>0</v>
      </c>
      <c r="H98" s="3279">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6">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1371">
        <f t="shared" si="11"/>
        <v>0</v>
      </c>
      <c r="AW98" s="1371">
        <f t="shared" si="12"/>
        <v>0</v>
      </c>
      <c r="AX98" s="1371">
        <f t="shared" si="13"/>
        <v>0</v>
      </c>
      <c r="AY98" s="3321">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8">
        <f t="shared" si="35"/>
        <v>0</v>
      </c>
    </row>
    <row r="99" spans="1:72">
      <c r="A99" s="3273"/>
      <c r="B99" s="3274"/>
      <c r="C99" s="3274"/>
      <c r="D99" s="3275"/>
      <c r="E99" s="3276">
        <f t="shared" si="7"/>
        <v>0</v>
      </c>
      <c r="F99" s="3277"/>
      <c r="G99" s="3278">
        <f t="shared" si="8"/>
        <v>0</v>
      </c>
      <c r="H99" s="3279">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6">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1371">
        <f t="shared" si="11"/>
        <v>0</v>
      </c>
      <c r="AW99" s="1371">
        <f t="shared" si="12"/>
        <v>0</v>
      </c>
      <c r="AX99" s="1371">
        <f t="shared" si="13"/>
        <v>0</v>
      </c>
      <c r="AY99" s="3321">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8">
        <f t="shared" si="35"/>
        <v>0</v>
      </c>
    </row>
    <row r="100" spans="1:72">
      <c r="A100" s="3273"/>
      <c r="B100" s="3274"/>
      <c r="C100" s="3274"/>
      <c r="D100" s="3275"/>
      <c r="E100" s="3276">
        <f t="shared" si="7"/>
        <v>0</v>
      </c>
      <c r="F100" s="3277"/>
      <c r="G100" s="3278">
        <f t="shared" si="8"/>
        <v>0</v>
      </c>
      <c r="H100" s="3279">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6">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1371">
        <f t="shared" si="11"/>
        <v>0</v>
      </c>
      <c r="AW100" s="1371">
        <f t="shared" si="12"/>
        <v>0</v>
      </c>
      <c r="AX100" s="1371">
        <f t="shared" si="13"/>
        <v>0</v>
      </c>
      <c r="AY100" s="3321">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8">
        <f t="shared" si="35"/>
        <v>0</v>
      </c>
    </row>
    <row r="101" spans="1:72">
      <c r="A101" s="3273"/>
      <c r="B101" s="3274"/>
      <c r="C101" s="3274"/>
      <c r="D101" s="3275"/>
      <c r="E101" s="3276">
        <f t="shared" si="7"/>
        <v>0</v>
      </c>
      <c r="F101" s="3277"/>
      <c r="G101" s="3278">
        <f t="shared" si="8"/>
        <v>0</v>
      </c>
      <c r="H101" s="3279">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6">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1371">
        <f t="shared" si="11"/>
        <v>0</v>
      </c>
      <c r="AW101" s="1371">
        <f t="shared" si="12"/>
        <v>0</v>
      </c>
      <c r="AX101" s="1371">
        <f t="shared" si="13"/>
        <v>0</v>
      </c>
      <c r="AY101" s="3321">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8">
        <f t="shared" si="35"/>
        <v>0</v>
      </c>
    </row>
    <row r="102" spans="1:72">
      <c r="A102" s="3273"/>
      <c r="B102" s="3274"/>
      <c r="C102" s="3274"/>
      <c r="D102" s="3275"/>
      <c r="E102" s="3276">
        <f t="shared" si="7"/>
        <v>0</v>
      </c>
      <c r="F102" s="3277"/>
      <c r="G102" s="3278">
        <f t="shared" si="8"/>
        <v>0</v>
      </c>
      <c r="H102" s="3279">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6">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1371">
        <f t="shared" si="11"/>
        <v>0</v>
      </c>
      <c r="AW102" s="1371">
        <f t="shared" si="12"/>
        <v>0</v>
      </c>
      <c r="AX102" s="1371">
        <f t="shared" si="13"/>
        <v>0</v>
      </c>
      <c r="AY102" s="3321">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8">
        <f t="shared" si="35"/>
        <v>0</v>
      </c>
    </row>
    <row r="103" spans="1:72">
      <c r="A103" s="3273"/>
      <c r="B103" s="3274"/>
      <c r="C103" s="3274"/>
      <c r="D103" s="3275"/>
      <c r="E103" s="3276">
        <f t="shared" si="7"/>
        <v>0</v>
      </c>
      <c r="F103" s="3277"/>
      <c r="G103" s="3278">
        <f t="shared" si="8"/>
        <v>0</v>
      </c>
      <c r="H103" s="3279">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6">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1371">
        <f t="shared" si="11"/>
        <v>0</v>
      </c>
      <c r="AW103" s="1371">
        <f t="shared" si="12"/>
        <v>0</v>
      </c>
      <c r="AX103" s="1371">
        <f t="shared" si="13"/>
        <v>0</v>
      </c>
      <c r="AY103" s="3321">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8">
        <f t="shared" si="35"/>
        <v>0</v>
      </c>
    </row>
    <row r="104" spans="1:72">
      <c r="A104" s="3273"/>
      <c r="B104" s="3274"/>
      <c r="C104" s="3274"/>
      <c r="D104" s="3275"/>
      <c r="E104" s="3276">
        <f t="shared" si="7"/>
        <v>0</v>
      </c>
      <c r="F104" s="3277"/>
      <c r="G104" s="3278">
        <f t="shared" si="8"/>
        <v>0</v>
      </c>
      <c r="H104" s="3279">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6">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1371">
        <f t="shared" si="11"/>
        <v>0</v>
      </c>
      <c r="AW104" s="1371">
        <f t="shared" si="12"/>
        <v>0</v>
      </c>
      <c r="AX104" s="1371">
        <f t="shared" si="13"/>
        <v>0</v>
      </c>
      <c r="AY104" s="3321">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8">
        <f t="shared" si="35"/>
        <v>0</v>
      </c>
    </row>
    <row r="105" spans="1:72">
      <c r="A105" s="3273"/>
      <c r="B105" s="3274"/>
      <c r="C105" s="3274"/>
      <c r="D105" s="3275"/>
      <c r="E105" s="3276">
        <f t="shared" si="7"/>
        <v>0</v>
      </c>
      <c r="F105" s="3277"/>
      <c r="G105" s="3278">
        <f t="shared" si="8"/>
        <v>0</v>
      </c>
      <c r="H105" s="3279">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6">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1371">
        <f t="shared" si="11"/>
        <v>0</v>
      </c>
      <c r="AW105" s="1371">
        <f t="shared" si="12"/>
        <v>0</v>
      </c>
      <c r="AX105" s="1371">
        <f t="shared" si="13"/>
        <v>0</v>
      </c>
      <c r="AY105" s="3321">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8">
        <f t="shared" si="35"/>
        <v>0</v>
      </c>
    </row>
    <row r="106" spans="1:72">
      <c r="A106" s="3273"/>
      <c r="B106" s="3274"/>
      <c r="C106" s="3274"/>
      <c r="D106" s="3275"/>
      <c r="E106" s="3276">
        <f t="shared" si="7"/>
        <v>0</v>
      </c>
      <c r="F106" s="3277"/>
      <c r="G106" s="3278">
        <f t="shared" si="8"/>
        <v>0</v>
      </c>
      <c r="H106" s="3279">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6">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1371">
        <f t="shared" si="11"/>
        <v>0</v>
      </c>
      <c r="AW106" s="1371">
        <f t="shared" si="12"/>
        <v>0</v>
      </c>
      <c r="AX106" s="1371">
        <f t="shared" si="13"/>
        <v>0</v>
      </c>
      <c r="AY106" s="3321">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8">
        <f t="shared" si="35"/>
        <v>0</v>
      </c>
    </row>
    <row r="107" spans="1:72">
      <c r="A107" s="3273"/>
      <c r="B107" s="3274"/>
      <c r="C107" s="3274"/>
      <c r="D107" s="3275"/>
      <c r="E107" s="3276">
        <f t="shared" si="7"/>
        <v>0</v>
      </c>
      <c r="F107" s="3277"/>
      <c r="G107" s="3278">
        <f t="shared" si="8"/>
        <v>0</v>
      </c>
      <c r="H107" s="3279">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6">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1371">
        <f t="shared" si="11"/>
        <v>0</v>
      </c>
      <c r="AW107" s="1371">
        <f t="shared" si="12"/>
        <v>0</v>
      </c>
      <c r="AX107" s="1371">
        <f t="shared" si="13"/>
        <v>0</v>
      </c>
      <c r="AY107" s="3321">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8">
        <f t="shared" si="35"/>
        <v>0</v>
      </c>
    </row>
    <row r="108" spans="1:72">
      <c r="A108" s="3273"/>
      <c r="B108" s="3274"/>
      <c r="C108" s="3274"/>
      <c r="D108" s="3275"/>
      <c r="E108" s="3276">
        <f t="shared" si="7"/>
        <v>0</v>
      </c>
      <c r="F108" s="3277"/>
      <c r="G108" s="3278">
        <f t="shared" si="8"/>
        <v>0</v>
      </c>
      <c r="H108" s="3279">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6">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1371">
        <f t="shared" si="11"/>
        <v>0</v>
      </c>
      <c r="AW108" s="1371">
        <f t="shared" si="12"/>
        <v>0</v>
      </c>
      <c r="AX108" s="1371">
        <f t="shared" si="13"/>
        <v>0</v>
      </c>
      <c r="AY108" s="3321">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8">
        <f t="shared" si="35"/>
        <v>0</v>
      </c>
    </row>
    <row r="109" spans="1:72">
      <c r="A109" s="3273"/>
      <c r="B109" s="3274"/>
      <c r="C109" s="3274"/>
      <c r="D109" s="3275"/>
      <c r="E109" s="3276">
        <f t="shared" si="7"/>
        <v>0</v>
      </c>
      <c r="F109" s="3277"/>
      <c r="G109" s="3278">
        <f t="shared" si="8"/>
        <v>0</v>
      </c>
      <c r="H109" s="3279">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6">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1371">
        <f t="shared" si="11"/>
        <v>0</v>
      </c>
      <c r="AW109" s="1371">
        <f t="shared" si="12"/>
        <v>0</v>
      </c>
      <c r="AX109" s="1371">
        <f t="shared" si="13"/>
        <v>0</v>
      </c>
      <c r="AY109" s="3321">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8">
        <f t="shared" si="35"/>
        <v>0</v>
      </c>
    </row>
    <row r="110" spans="1:72">
      <c r="A110" s="3273"/>
      <c r="B110" s="3273"/>
      <c r="C110" s="3273"/>
      <c r="D110" s="3275"/>
      <c r="E110" s="3276">
        <f t="shared" si="7"/>
        <v>0</v>
      </c>
      <c r="F110" s="3329"/>
      <c r="G110" s="3278">
        <f t="shared" ref="G110:G141" si="36">H110+AC110+AT110</f>
        <v>0</v>
      </c>
      <c r="H110" s="3279">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6">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1371">
        <f t="shared" si="11"/>
        <v>0</v>
      </c>
      <c r="AW110" s="1371">
        <f t="shared" si="12"/>
        <v>0</v>
      </c>
      <c r="AX110" s="1371">
        <f t="shared" si="13"/>
        <v>0</v>
      </c>
      <c r="AY110" s="3321">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8">
        <f t="shared" ref="BT110:BT141" si="60">IF($D110="是",AR110-AS110,0)</f>
        <v>0</v>
      </c>
    </row>
    <row r="111" spans="1:72">
      <c r="A111" s="3273"/>
      <c r="B111" s="3273"/>
      <c r="C111" s="3273"/>
      <c r="D111" s="3275"/>
      <c r="E111" s="3276">
        <f t="shared" si="7"/>
        <v>0</v>
      </c>
      <c r="F111" s="3329"/>
      <c r="G111" s="3278">
        <f t="shared" si="36"/>
        <v>0</v>
      </c>
      <c r="H111" s="3279">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6">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1371">
        <f t="shared" si="11"/>
        <v>0</v>
      </c>
      <c r="AW111" s="1371">
        <f t="shared" si="12"/>
        <v>0</v>
      </c>
      <c r="AX111" s="1371">
        <f t="shared" si="13"/>
        <v>0</v>
      </c>
      <c r="AY111" s="3321">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8">
        <f t="shared" si="60"/>
        <v>0</v>
      </c>
    </row>
    <row r="112" spans="1:72">
      <c r="A112" s="3273"/>
      <c r="B112" s="3273"/>
      <c r="C112" s="3273"/>
      <c r="D112" s="3275"/>
      <c r="E112" s="3276">
        <f t="shared" si="7"/>
        <v>0</v>
      </c>
      <c r="F112" s="3329"/>
      <c r="G112" s="3278">
        <f t="shared" si="36"/>
        <v>0</v>
      </c>
      <c r="H112" s="3279">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6">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1371">
        <f t="shared" si="11"/>
        <v>0</v>
      </c>
      <c r="AW112" s="1371">
        <f t="shared" si="12"/>
        <v>0</v>
      </c>
      <c r="AX112" s="1371">
        <f t="shared" si="13"/>
        <v>0</v>
      </c>
      <c r="AY112" s="3321">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8">
        <f t="shared" si="60"/>
        <v>0</v>
      </c>
    </row>
    <row r="113" spans="1:72">
      <c r="A113" s="3273"/>
      <c r="B113" s="3274"/>
      <c r="C113" s="3274"/>
      <c r="D113" s="3275"/>
      <c r="E113" s="3276">
        <f t="shared" ref="E113:E144" si="61">IF($C$3="是",ROUND($A$3*G113/$B$3,2),ROUND($A$3*(G113-AT113)/$B$3,2))</f>
        <v>0</v>
      </c>
      <c r="F113" s="3277"/>
      <c r="G113" s="3278">
        <f t="shared" si="36"/>
        <v>0</v>
      </c>
      <c r="H113" s="3279">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6">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1371">
        <f t="shared" ref="AV113:AV144" si="62">A113</f>
        <v>0</v>
      </c>
      <c r="AW113" s="1371">
        <f t="shared" ref="AW113:AW144" si="63">B113</f>
        <v>0</v>
      </c>
      <c r="AX113" s="1371">
        <f t="shared" ref="AX113:AX144" si="64">C113</f>
        <v>0</v>
      </c>
      <c r="AY113" s="3321">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8">
        <f t="shared" si="60"/>
        <v>0</v>
      </c>
    </row>
    <row r="114" spans="1:72">
      <c r="A114" s="3273"/>
      <c r="B114" s="3274"/>
      <c r="C114" s="3274"/>
      <c r="D114" s="3275"/>
      <c r="E114" s="3276">
        <f t="shared" si="61"/>
        <v>0</v>
      </c>
      <c r="F114" s="3277"/>
      <c r="G114" s="3278">
        <f t="shared" si="36"/>
        <v>0</v>
      </c>
      <c r="H114" s="3279">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6">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1371">
        <f t="shared" si="62"/>
        <v>0</v>
      </c>
      <c r="AW114" s="1371">
        <f t="shared" si="63"/>
        <v>0</v>
      </c>
      <c r="AX114" s="1371">
        <f t="shared" si="64"/>
        <v>0</v>
      </c>
      <c r="AY114" s="3321">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8">
        <f t="shared" si="60"/>
        <v>0</v>
      </c>
    </row>
    <row r="115" spans="1:72">
      <c r="A115" s="3273"/>
      <c r="B115" s="3274"/>
      <c r="C115" s="3274"/>
      <c r="D115" s="3275"/>
      <c r="E115" s="3276">
        <f t="shared" si="61"/>
        <v>0</v>
      </c>
      <c r="F115" s="3277"/>
      <c r="G115" s="3278">
        <f t="shared" si="36"/>
        <v>0</v>
      </c>
      <c r="H115" s="3279">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6">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1371">
        <f t="shared" si="62"/>
        <v>0</v>
      </c>
      <c r="AW115" s="1371">
        <f t="shared" si="63"/>
        <v>0</v>
      </c>
      <c r="AX115" s="1371">
        <f t="shared" si="64"/>
        <v>0</v>
      </c>
      <c r="AY115" s="3321">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8">
        <f t="shared" si="60"/>
        <v>0</v>
      </c>
    </row>
    <row r="116" spans="1:72">
      <c r="A116" s="3273"/>
      <c r="B116" s="3274"/>
      <c r="C116" s="3274"/>
      <c r="D116" s="3275"/>
      <c r="E116" s="3276">
        <f t="shared" si="61"/>
        <v>0</v>
      </c>
      <c r="F116" s="3277"/>
      <c r="G116" s="3278">
        <f t="shared" si="36"/>
        <v>0</v>
      </c>
      <c r="H116" s="3279">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6">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1371">
        <f t="shared" si="62"/>
        <v>0</v>
      </c>
      <c r="AW116" s="1371">
        <f t="shared" si="63"/>
        <v>0</v>
      </c>
      <c r="AX116" s="1371">
        <f t="shared" si="64"/>
        <v>0</v>
      </c>
      <c r="AY116" s="3321">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8">
        <f t="shared" si="60"/>
        <v>0</v>
      </c>
    </row>
    <row r="117" spans="1:72">
      <c r="A117" s="3273"/>
      <c r="B117" s="3274"/>
      <c r="C117" s="3274"/>
      <c r="D117" s="3275"/>
      <c r="E117" s="3276">
        <f t="shared" si="61"/>
        <v>0</v>
      </c>
      <c r="F117" s="3277"/>
      <c r="G117" s="3278">
        <f t="shared" si="36"/>
        <v>0</v>
      </c>
      <c r="H117" s="3279">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6">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1371">
        <f t="shared" si="62"/>
        <v>0</v>
      </c>
      <c r="AW117" s="1371">
        <f t="shared" si="63"/>
        <v>0</v>
      </c>
      <c r="AX117" s="1371">
        <f t="shared" si="64"/>
        <v>0</v>
      </c>
      <c r="AY117" s="3321">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8">
        <f t="shared" si="60"/>
        <v>0</v>
      </c>
    </row>
    <row r="118" spans="1:72">
      <c r="A118" s="3273"/>
      <c r="B118" s="3274"/>
      <c r="C118" s="3274"/>
      <c r="D118" s="3275"/>
      <c r="E118" s="3276">
        <f t="shared" si="61"/>
        <v>0</v>
      </c>
      <c r="F118" s="3277"/>
      <c r="G118" s="3278">
        <f t="shared" si="36"/>
        <v>0</v>
      </c>
      <c r="H118" s="3279">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6">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1371">
        <f t="shared" si="62"/>
        <v>0</v>
      </c>
      <c r="AW118" s="1371">
        <f t="shared" si="63"/>
        <v>0</v>
      </c>
      <c r="AX118" s="1371">
        <f t="shared" si="64"/>
        <v>0</v>
      </c>
      <c r="AY118" s="3321">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8">
        <f t="shared" si="60"/>
        <v>0</v>
      </c>
    </row>
    <row r="119" spans="1:72">
      <c r="A119" s="3273"/>
      <c r="B119" s="3274"/>
      <c r="C119" s="3274"/>
      <c r="D119" s="3275"/>
      <c r="E119" s="3276">
        <f t="shared" si="61"/>
        <v>0</v>
      </c>
      <c r="F119" s="3277"/>
      <c r="G119" s="3278">
        <f t="shared" si="36"/>
        <v>0</v>
      </c>
      <c r="H119" s="3279">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6">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1371">
        <f t="shared" si="62"/>
        <v>0</v>
      </c>
      <c r="AW119" s="1371">
        <f t="shared" si="63"/>
        <v>0</v>
      </c>
      <c r="AX119" s="1371">
        <f t="shared" si="64"/>
        <v>0</v>
      </c>
      <c r="AY119" s="3321">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8">
        <f t="shared" si="60"/>
        <v>0</v>
      </c>
    </row>
    <row r="120" spans="1:72">
      <c r="A120" s="3273"/>
      <c r="B120" s="3274"/>
      <c r="C120" s="3274"/>
      <c r="D120" s="3275"/>
      <c r="E120" s="3276">
        <f t="shared" si="61"/>
        <v>0</v>
      </c>
      <c r="F120" s="3277"/>
      <c r="G120" s="3278">
        <f t="shared" si="36"/>
        <v>0</v>
      </c>
      <c r="H120" s="3279">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6">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1371">
        <f t="shared" si="62"/>
        <v>0</v>
      </c>
      <c r="AW120" s="1371">
        <f t="shared" si="63"/>
        <v>0</v>
      </c>
      <c r="AX120" s="1371">
        <f t="shared" si="64"/>
        <v>0</v>
      </c>
      <c r="AY120" s="3321">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8">
        <f t="shared" si="60"/>
        <v>0</v>
      </c>
    </row>
    <row r="121" spans="1:72">
      <c r="A121" s="3273"/>
      <c r="B121" s="3274"/>
      <c r="C121" s="3274"/>
      <c r="D121" s="3275"/>
      <c r="E121" s="3276">
        <f t="shared" si="61"/>
        <v>0</v>
      </c>
      <c r="F121" s="3277"/>
      <c r="G121" s="3278">
        <f t="shared" si="36"/>
        <v>0</v>
      </c>
      <c r="H121" s="3279">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6">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1371">
        <f t="shared" si="62"/>
        <v>0</v>
      </c>
      <c r="AW121" s="1371">
        <f t="shared" si="63"/>
        <v>0</v>
      </c>
      <c r="AX121" s="1371">
        <f t="shared" si="64"/>
        <v>0</v>
      </c>
      <c r="AY121" s="3321">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8">
        <f t="shared" si="60"/>
        <v>0</v>
      </c>
    </row>
    <row r="122" spans="1:72">
      <c r="A122" s="3273"/>
      <c r="B122" s="3274"/>
      <c r="C122" s="3274"/>
      <c r="D122" s="3275"/>
      <c r="E122" s="3276">
        <f t="shared" si="61"/>
        <v>0</v>
      </c>
      <c r="F122" s="3277"/>
      <c r="G122" s="3278">
        <f t="shared" si="36"/>
        <v>0</v>
      </c>
      <c r="H122" s="3279">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6">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1371">
        <f t="shared" si="62"/>
        <v>0</v>
      </c>
      <c r="AW122" s="1371">
        <f t="shared" si="63"/>
        <v>0</v>
      </c>
      <c r="AX122" s="1371">
        <f t="shared" si="64"/>
        <v>0</v>
      </c>
      <c r="AY122" s="3321">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8">
        <f t="shared" si="60"/>
        <v>0</v>
      </c>
    </row>
    <row r="123" spans="1:72">
      <c r="A123" s="3273"/>
      <c r="B123" s="3274"/>
      <c r="C123" s="3274"/>
      <c r="D123" s="3275"/>
      <c r="E123" s="3276">
        <f t="shared" si="61"/>
        <v>0</v>
      </c>
      <c r="F123" s="3277"/>
      <c r="G123" s="3278">
        <f t="shared" si="36"/>
        <v>0</v>
      </c>
      <c r="H123" s="3279">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6">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1371">
        <f t="shared" si="62"/>
        <v>0</v>
      </c>
      <c r="AW123" s="1371">
        <f t="shared" si="63"/>
        <v>0</v>
      </c>
      <c r="AX123" s="1371">
        <f t="shared" si="64"/>
        <v>0</v>
      </c>
      <c r="AY123" s="3321">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8">
        <f t="shared" si="60"/>
        <v>0</v>
      </c>
    </row>
    <row r="124" spans="1:72">
      <c r="A124" s="3273"/>
      <c r="B124" s="3274"/>
      <c r="C124" s="3274"/>
      <c r="D124" s="3275"/>
      <c r="E124" s="3276">
        <f t="shared" si="61"/>
        <v>0</v>
      </c>
      <c r="F124" s="3277"/>
      <c r="G124" s="3278">
        <f t="shared" si="36"/>
        <v>0</v>
      </c>
      <c r="H124" s="3279">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6">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1371">
        <f t="shared" si="62"/>
        <v>0</v>
      </c>
      <c r="AW124" s="1371">
        <f t="shared" si="63"/>
        <v>0</v>
      </c>
      <c r="AX124" s="1371">
        <f t="shared" si="64"/>
        <v>0</v>
      </c>
      <c r="AY124" s="3321">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8">
        <f t="shared" si="60"/>
        <v>0</v>
      </c>
    </row>
    <row r="125" spans="1:72">
      <c r="A125" s="3273"/>
      <c r="B125" s="3274"/>
      <c r="C125" s="3274"/>
      <c r="D125" s="3275"/>
      <c r="E125" s="3276">
        <f t="shared" si="61"/>
        <v>0</v>
      </c>
      <c r="F125" s="3277"/>
      <c r="G125" s="3278">
        <f t="shared" si="36"/>
        <v>0</v>
      </c>
      <c r="H125" s="3279">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6">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1371">
        <f t="shared" si="62"/>
        <v>0</v>
      </c>
      <c r="AW125" s="1371">
        <f t="shared" si="63"/>
        <v>0</v>
      </c>
      <c r="AX125" s="1371">
        <f t="shared" si="64"/>
        <v>0</v>
      </c>
      <c r="AY125" s="3321">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8">
        <f t="shared" si="60"/>
        <v>0</v>
      </c>
    </row>
    <row r="126" spans="1:72">
      <c r="A126" s="3273"/>
      <c r="B126" s="3274"/>
      <c r="C126" s="3274"/>
      <c r="D126" s="3275"/>
      <c r="E126" s="3276">
        <f t="shared" si="61"/>
        <v>0</v>
      </c>
      <c r="F126" s="3277"/>
      <c r="G126" s="3278">
        <f t="shared" si="36"/>
        <v>0</v>
      </c>
      <c r="H126" s="3279">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6">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1371">
        <f t="shared" si="62"/>
        <v>0</v>
      </c>
      <c r="AW126" s="1371">
        <f t="shared" si="63"/>
        <v>0</v>
      </c>
      <c r="AX126" s="1371">
        <f t="shared" si="64"/>
        <v>0</v>
      </c>
      <c r="AY126" s="3321">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8">
        <f t="shared" si="60"/>
        <v>0</v>
      </c>
    </row>
    <row r="127" spans="1:72">
      <c r="A127" s="3273"/>
      <c r="B127" s="3274"/>
      <c r="C127" s="3274"/>
      <c r="D127" s="3275"/>
      <c r="E127" s="3276">
        <f t="shared" si="61"/>
        <v>0</v>
      </c>
      <c r="F127" s="3277"/>
      <c r="G127" s="3278">
        <f t="shared" si="36"/>
        <v>0</v>
      </c>
      <c r="H127" s="3279">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6">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1371">
        <f t="shared" si="62"/>
        <v>0</v>
      </c>
      <c r="AW127" s="1371">
        <f t="shared" si="63"/>
        <v>0</v>
      </c>
      <c r="AX127" s="1371">
        <f t="shared" si="64"/>
        <v>0</v>
      </c>
      <c r="AY127" s="3321">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8">
        <f t="shared" si="60"/>
        <v>0</v>
      </c>
    </row>
    <row r="128" spans="1:72">
      <c r="A128" s="3273"/>
      <c r="B128" s="3274"/>
      <c r="C128" s="3274"/>
      <c r="D128" s="3275"/>
      <c r="E128" s="3276">
        <f t="shared" si="61"/>
        <v>0</v>
      </c>
      <c r="F128" s="3277"/>
      <c r="G128" s="3278">
        <f t="shared" si="36"/>
        <v>0</v>
      </c>
      <c r="H128" s="3279">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6">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1371">
        <f t="shared" si="62"/>
        <v>0</v>
      </c>
      <c r="AW128" s="1371">
        <f t="shared" si="63"/>
        <v>0</v>
      </c>
      <c r="AX128" s="1371">
        <f t="shared" si="64"/>
        <v>0</v>
      </c>
      <c r="AY128" s="3321">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8">
        <f t="shared" si="60"/>
        <v>0</v>
      </c>
    </row>
    <row r="129" spans="1:72">
      <c r="A129" s="3273"/>
      <c r="B129" s="3274"/>
      <c r="C129" s="3274"/>
      <c r="D129" s="3275"/>
      <c r="E129" s="3276">
        <f t="shared" si="61"/>
        <v>0</v>
      </c>
      <c r="F129" s="3277"/>
      <c r="G129" s="3278">
        <f t="shared" si="36"/>
        <v>0</v>
      </c>
      <c r="H129" s="3279">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6">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1371">
        <f t="shared" si="62"/>
        <v>0</v>
      </c>
      <c r="AW129" s="1371">
        <f t="shared" si="63"/>
        <v>0</v>
      </c>
      <c r="AX129" s="1371">
        <f t="shared" si="64"/>
        <v>0</v>
      </c>
      <c r="AY129" s="3321">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8">
        <f t="shared" si="60"/>
        <v>0</v>
      </c>
    </row>
    <row r="130" spans="1:72">
      <c r="A130" s="3273"/>
      <c r="B130" s="3274"/>
      <c r="C130" s="3274"/>
      <c r="D130" s="3275"/>
      <c r="E130" s="3276">
        <f t="shared" si="61"/>
        <v>0</v>
      </c>
      <c r="F130" s="3277"/>
      <c r="G130" s="3278">
        <f t="shared" si="36"/>
        <v>0</v>
      </c>
      <c r="H130" s="3279">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6">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1371">
        <f t="shared" si="62"/>
        <v>0</v>
      </c>
      <c r="AW130" s="1371">
        <f t="shared" si="63"/>
        <v>0</v>
      </c>
      <c r="AX130" s="1371">
        <f t="shared" si="64"/>
        <v>0</v>
      </c>
      <c r="AY130" s="3321">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8">
        <f t="shared" si="60"/>
        <v>0</v>
      </c>
    </row>
    <row r="131" spans="1:72">
      <c r="A131" s="3273"/>
      <c r="B131" s="3274"/>
      <c r="C131" s="3274"/>
      <c r="D131" s="3275"/>
      <c r="E131" s="3276">
        <f t="shared" si="61"/>
        <v>0</v>
      </c>
      <c r="F131" s="3277"/>
      <c r="G131" s="3278">
        <f t="shared" si="36"/>
        <v>0</v>
      </c>
      <c r="H131" s="3279">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6">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1371">
        <f t="shared" si="62"/>
        <v>0</v>
      </c>
      <c r="AW131" s="1371">
        <f t="shared" si="63"/>
        <v>0</v>
      </c>
      <c r="AX131" s="1371">
        <f t="shared" si="64"/>
        <v>0</v>
      </c>
      <c r="AY131" s="3321">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8">
        <f t="shared" si="60"/>
        <v>0</v>
      </c>
    </row>
    <row r="132" spans="1:72">
      <c r="A132" s="3273"/>
      <c r="B132" s="3274"/>
      <c r="C132" s="3274"/>
      <c r="D132" s="3275"/>
      <c r="E132" s="3276">
        <f t="shared" si="61"/>
        <v>0</v>
      </c>
      <c r="F132" s="3277"/>
      <c r="G132" s="3278">
        <f t="shared" si="36"/>
        <v>0</v>
      </c>
      <c r="H132" s="3279">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6">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1371">
        <f t="shared" si="62"/>
        <v>0</v>
      </c>
      <c r="AW132" s="1371">
        <f t="shared" si="63"/>
        <v>0</v>
      </c>
      <c r="AX132" s="1371">
        <f t="shared" si="64"/>
        <v>0</v>
      </c>
      <c r="AY132" s="3321">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8">
        <f t="shared" si="60"/>
        <v>0</v>
      </c>
    </row>
    <row r="133" spans="1:72">
      <c r="A133" s="3273"/>
      <c r="B133" s="3274"/>
      <c r="C133" s="3274"/>
      <c r="D133" s="3275"/>
      <c r="E133" s="3276">
        <f t="shared" si="61"/>
        <v>0</v>
      </c>
      <c r="F133" s="3277"/>
      <c r="G133" s="3278">
        <f t="shared" si="36"/>
        <v>0</v>
      </c>
      <c r="H133" s="3279">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6">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1371">
        <f t="shared" si="62"/>
        <v>0</v>
      </c>
      <c r="AW133" s="1371">
        <f t="shared" si="63"/>
        <v>0</v>
      </c>
      <c r="AX133" s="1371">
        <f t="shared" si="64"/>
        <v>0</v>
      </c>
      <c r="AY133" s="3321">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8">
        <f t="shared" si="60"/>
        <v>0</v>
      </c>
    </row>
    <row r="134" spans="1:72">
      <c r="A134" s="3273"/>
      <c r="B134" s="3274"/>
      <c r="C134" s="3274"/>
      <c r="D134" s="3275"/>
      <c r="E134" s="3276">
        <f t="shared" si="61"/>
        <v>0</v>
      </c>
      <c r="F134" s="3277"/>
      <c r="G134" s="3278">
        <f t="shared" si="36"/>
        <v>0</v>
      </c>
      <c r="H134" s="3279">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6">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1371">
        <f t="shared" si="62"/>
        <v>0</v>
      </c>
      <c r="AW134" s="1371">
        <f t="shared" si="63"/>
        <v>0</v>
      </c>
      <c r="AX134" s="1371">
        <f t="shared" si="64"/>
        <v>0</v>
      </c>
      <c r="AY134" s="3321">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8">
        <f t="shared" si="60"/>
        <v>0</v>
      </c>
    </row>
    <row r="135" spans="1:72">
      <c r="A135" s="3273"/>
      <c r="B135" s="3274"/>
      <c r="C135" s="3274"/>
      <c r="D135" s="3275"/>
      <c r="E135" s="3276">
        <f t="shared" si="61"/>
        <v>0</v>
      </c>
      <c r="F135" s="3277"/>
      <c r="G135" s="3278">
        <f t="shared" si="36"/>
        <v>0</v>
      </c>
      <c r="H135" s="3279">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6">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1371">
        <f t="shared" si="62"/>
        <v>0</v>
      </c>
      <c r="AW135" s="1371">
        <f t="shared" si="63"/>
        <v>0</v>
      </c>
      <c r="AX135" s="1371">
        <f t="shared" si="64"/>
        <v>0</v>
      </c>
      <c r="AY135" s="3321">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8">
        <f t="shared" si="60"/>
        <v>0</v>
      </c>
    </row>
    <row r="136" spans="1:72">
      <c r="A136" s="3273"/>
      <c r="B136" s="3274"/>
      <c r="C136" s="3274"/>
      <c r="D136" s="3275"/>
      <c r="E136" s="3276">
        <f t="shared" si="61"/>
        <v>0</v>
      </c>
      <c r="F136" s="3277"/>
      <c r="G136" s="3278">
        <f t="shared" si="36"/>
        <v>0</v>
      </c>
      <c r="H136" s="3279">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6">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1371">
        <f t="shared" si="62"/>
        <v>0</v>
      </c>
      <c r="AW136" s="1371">
        <f t="shared" si="63"/>
        <v>0</v>
      </c>
      <c r="AX136" s="1371">
        <f t="shared" si="64"/>
        <v>0</v>
      </c>
      <c r="AY136" s="3321">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8">
        <f t="shared" si="60"/>
        <v>0</v>
      </c>
    </row>
    <row r="137" spans="1:72">
      <c r="A137" s="3273"/>
      <c r="B137" s="3274"/>
      <c r="C137" s="3274"/>
      <c r="D137" s="3275"/>
      <c r="E137" s="3276">
        <f t="shared" si="61"/>
        <v>0</v>
      </c>
      <c r="F137" s="3277"/>
      <c r="G137" s="3278">
        <f t="shared" si="36"/>
        <v>0</v>
      </c>
      <c r="H137" s="3279">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6">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1371">
        <f t="shared" si="62"/>
        <v>0</v>
      </c>
      <c r="AW137" s="1371">
        <f t="shared" si="63"/>
        <v>0</v>
      </c>
      <c r="AX137" s="1371">
        <f t="shared" si="64"/>
        <v>0</v>
      </c>
      <c r="AY137" s="3321">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8">
        <f t="shared" si="60"/>
        <v>0</v>
      </c>
    </row>
    <row r="138" spans="1:72">
      <c r="A138" s="3273"/>
      <c r="B138" s="3274"/>
      <c r="C138" s="3274"/>
      <c r="D138" s="3275"/>
      <c r="E138" s="3276">
        <f t="shared" si="61"/>
        <v>0</v>
      </c>
      <c r="F138" s="3277"/>
      <c r="G138" s="3278">
        <f t="shared" si="36"/>
        <v>0</v>
      </c>
      <c r="H138" s="3279">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6">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1371">
        <f t="shared" si="62"/>
        <v>0</v>
      </c>
      <c r="AW138" s="1371">
        <f t="shared" si="63"/>
        <v>0</v>
      </c>
      <c r="AX138" s="1371">
        <f t="shared" si="64"/>
        <v>0</v>
      </c>
      <c r="AY138" s="3321">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8">
        <f t="shared" si="60"/>
        <v>0</v>
      </c>
    </row>
    <row r="139" spans="1:72">
      <c r="A139" s="3273"/>
      <c r="B139" s="3274"/>
      <c r="C139" s="3274"/>
      <c r="D139" s="3275"/>
      <c r="E139" s="3276">
        <f t="shared" si="61"/>
        <v>0</v>
      </c>
      <c r="F139" s="3277"/>
      <c r="G139" s="3278">
        <f t="shared" si="36"/>
        <v>0</v>
      </c>
      <c r="H139" s="3279">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6">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1371">
        <f t="shared" si="62"/>
        <v>0</v>
      </c>
      <c r="AW139" s="1371">
        <f t="shared" si="63"/>
        <v>0</v>
      </c>
      <c r="AX139" s="1371">
        <f t="shared" si="64"/>
        <v>0</v>
      </c>
      <c r="AY139" s="3321">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8">
        <f t="shared" si="60"/>
        <v>0</v>
      </c>
    </row>
    <row r="140" spans="1:72">
      <c r="A140" s="3273"/>
      <c r="B140" s="3274"/>
      <c r="C140" s="3274"/>
      <c r="D140" s="3275"/>
      <c r="E140" s="3276">
        <f t="shared" si="61"/>
        <v>0</v>
      </c>
      <c r="F140" s="3277"/>
      <c r="G140" s="3278">
        <f t="shared" si="36"/>
        <v>0</v>
      </c>
      <c r="H140" s="3279">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6">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1371">
        <f t="shared" si="62"/>
        <v>0</v>
      </c>
      <c r="AW140" s="1371">
        <f t="shared" si="63"/>
        <v>0</v>
      </c>
      <c r="AX140" s="1371">
        <f t="shared" si="64"/>
        <v>0</v>
      </c>
      <c r="AY140" s="3321">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8">
        <f t="shared" si="60"/>
        <v>0</v>
      </c>
    </row>
    <row r="141" spans="1:72">
      <c r="A141" s="3273"/>
      <c r="B141" s="3274"/>
      <c r="C141" s="3274"/>
      <c r="D141" s="3275"/>
      <c r="E141" s="3276">
        <f t="shared" si="61"/>
        <v>0</v>
      </c>
      <c r="F141" s="3277"/>
      <c r="G141" s="3278">
        <f t="shared" si="36"/>
        <v>0</v>
      </c>
      <c r="H141" s="3279">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6">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1371">
        <f t="shared" si="62"/>
        <v>0</v>
      </c>
      <c r="AW141" s="1371">
        <f t="shared" si="63"/>
        <v>0</v>
      </c>
      <c r="AX141" s="1371">
        <f t="shared" si="64"/>
        <v>0</v>
      </c>
      <c r="AY141" s="3321">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8">
        <f t="shared" si="60"/>
        <v>0</v>
      </c>
    </row>
    <row r="142" spans="1:72">
      <c r="A142" s="3273"/>
      <c r="B142" s="3274"/>
      <c r="C142" s="3274"/>
      <c r="D142" s="3275"/>
      <c r="E142" s="3276">
        <f t="shared" si="61"/>
        <v>0</v>
      </c>
      <c r="F142" s="3277"/>
      <c r="G142" s="3278">
        <f t="shared" ref="G142:G173" si="65">H142+AC142+AT142</f>
        <v>0</v>
      </c>
      <c r="H142" s="3279">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6">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1371">
        <f t="shared" si="62"/>
        <v>0</v>
      </c>
      <c r="AW142" s="1371">
        <f t="shared" si="63"/>
        <v>0</v>
      </c>
      <c r="AX142" s="1371">
        <f t="shared" si="64"/>
        <v>0</v>
      </c>
      <c r="AY142" s="3321">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8">
        <f t="shared" ref="BT142:BT173" si="89">IF($D142="是",AR142-AS142,0)</f>
        <v>0</v>
      </c>
    </row>
    <row r="143" spans="1:72">
      <c r="A143" s="3273"/>
      <c r="B143" s="3274"/>
      <c r="C143" s="3274"/>
      <c r="D143" s="3275"/>
      <c r="E143" s="3276">
        <f t="shared" si="61"/>
        <v>0</v>
      </c>
      <c r="F143" s="3277"/>
      <c r="G143" s="3278">
        <f t="shared" si="65"/>
        <v>0</v>
      </c>
      <c r="H143" s="3279">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6">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1371">
        <f t="shared" si="62"/>
        <v>0</v>
      </c>
      <c r="AW143" s="1371">
        <f t="shared" si="63"/>
        <v>0</v>
      </c>
      <c r="AX143" s="1371">
        <f t="shared" si="64"/>
        <v>0</v>
      </c>
      <c r="AY143" s="3321">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8">
        <f t="shared" si="89"/>
        <v>0</v>
      </c>
    </row>
    <row r="144" spans="1:72">
      <c r="A144" s="3273"/>
      <c r="B144" s="3274"/>
      <c r="C144" s="3274"/>
      <c r="D144" s="3275"/>
      <c r="E144" s="3276">
        <f t="shared" si="61"/>
        <v>0</v>
      </c>
      <c r="F144" s="3277"/>
      <c r="G144" s="3278">
        <f t="shared" si="65"/>
        <v>0</v>
      </c>
      <c r="H144" s="3279">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6">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1371">
        <f t="shared" si="62"/>
        <v>0</v>
      </c>
      <c r="AW144" s="1371">
        <f t="shared" si="63"/>
        <v>0</v>
      </c>
      <c r="AX144" s="1371">
        <f t="shared" si="64"/>
        <v>0</v>
      </c>
      <c r="AY144" s="3321">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8">
        <f t="shared" si="89"/>
        <v>0</v>
      </c>
    </row>
    <row r="145" spans="1:72">
      <c r="A145" s="3273"/>
      <c r="B145" s="3274"/>
      <c r="C145" s="3274"/>
      <c r="D145" s="3275"/>
      <c r="E145" s="3276">
        <f t="shared" ref="E145:E176" si="90">IF($C$3="是",ROUND($A$3*G145/$B$3,2),ROUND($A$3*(G145-AT145)/$B$3,2))</f>
        <v>0</v>
      </c>
      <c r="F145" s="3277"/>
      <c r="G145" s="3278">
        <f t="shared" si="65"/>
        <v>0</v>
      </c>
      <c r="H145" s="3279">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6">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1371">
        <f t="shared" ref="AV145:AV176" si="91">A145</f>
        <v>0</v>
      </c>
      <c r="AW145" s="1371">
        <f t="shared" ref="AW145:AW176" si="92">B145</f>
        <v>0</v>
      </c>
      <c r="AX145" s="1371">
        <f t="shared" ref="AX145:AX176" si="93">C145</f>
        <v>0</v>
      </c>
      <c r="AY145" s="3321">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8">
        <f t="shared" si="89"/>
        <v>0</v>
      </c>
    </row>
    <row r="146" spans="1:72">
      <c r="A146" s="3273"/>
      <c r="B146" s="3274"/>
      <c r="C146" s="3274"/>
      <c r="D146" s="3275"/>
      <c r="E146" s="3276">
        <f t="shared" si="90"/>
        <v>0</v>
      </c>
      <c r="F146" s="3277"/>
      <c r="G146" s="3278">
        <f t="shared" si="65"/>
        <v>0</v>
      </c>
      <c r="H146" s="3279">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6">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1371">
        <f t="shared" si="91"/>
        <v>0</v>
      </c>
      <c r="AW146" s="1371">
        <f t="shared" si="92"/>
        <v>0</v>
      </c>
      <c r="AX146" s="1371">
        <f t="shared" si="93"/>
        <v>0</v>
      </c>
      <c r="AY146" s="3321">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8">
        <f t="shared" si="89"/>
        <v>0</v>
      </c>
    </row>
    <row r="147" spans="1:72">
      <c r="A147" s="3273"/>
      <c r="B147" s="3274"/>
      <c r="C147" s="3274"/>
      <c r="D147" s="3275"/>
      <c r="E147" s="3276">
        <f t="shared" si="90"/>
        <v>0</v>
      </c>
      <c r="F147" s="3277"/>
      <c r="G147" s="3278">
        <f t="shared" si="65"/>
        <v>0</v>
      </c>
      <c r="H147" s="3279">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6">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1371">
        <f t="shared" si="91"/>
        <v>0</v>
      </c>
      <c r="AW147" s="1371">
        <f t="shared" si="92"/>
        <v>0</v>
      </c>
      <c r="AX147" s="1371">
        <f t="shared" si="93"/>
        <v>0</v>
      </c>
      <c r="AY147" s="3321">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8">
        <f t="shared" si="89"/>
        <v>0</v>
      </c>
    </row>
    <row r="148" spans="1:72">
      <c r="A148" s="3273"/>
      <c r="B148" s="3274"/>
      <c r="C148" s="3274"/>
      <c r="D148" s="3275"/>
      <c r="E148" s="3276">
        <f t="shared" si="90"/>
        <v>0</v>
      </c>
      <c r="F148" s="3277"/>
      <c r="G148" s="3278">
        <f t="shared" si="65"/>
        <v>0</v>
      </c>
      <c r="H148" s="3279">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6">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1371">
        <f t="shared" si="91"/>
        <v>0</v>
      </c>
      <c r="AW148" s="1371">
        <f t="shared" si="92"/>
        <v>0</v>
      </c>
      <c r="AX148" s="1371">
        <f t="shared" si="93"/>
        <v>0</v>
      </c>
      <c r="AY148" s="3321">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8">
        <f t="shared" si="89"/>
        <v>0</v>
      </c>
    </row>
    <row r="149" spans="1:72">
      <c r="A149" s="3273"/>
      <c r="B149" s="3274"/>
      <c r="C149" s="3274"/>
      <c r="D149" s="3275"/>
      <c r="E149" s="3276">
        <f t="shared" si="90"/>
        <v>0</v>
      </c>
      <c r="F149" s="3277"/>
      <c r="G149" s="3278">
        <f t="shared" si="65"/>
        <v>0</v>
      </c>
      <c r="H149" s="3279">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6">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1371">
        <f t="shared" si="91"/>
        <v>0</v>
      </c>
      <c r="AW149" s="1371">
        <f t="shared" si="92"/>
        <v>0</v>
      </c>
      <c r="AX149" s="1371">
        <f t="shared" si="93"/>
        <v>0</v>
      </c>
      <c r="AY149" s="3321">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8">
        <f t="shared" si="89"/>
        <v>0</v>
      </c>
    </row>
    <row r="150" spans="1:72">
      <c r="A150" s="3273"/>
      <c r="B150" s="3274"/>
      <c r="C150" s="3274"/>
      <c r="D150" s="3275"/>
      <c r="E150" s="3276">
        <f t="shared" si="90"/>
        <v>0</v>
      </c>
      <c r="F150" s="3277"/>
      <c r="G150" s="3278">
        <f t="shared" si="65"/>
        <v>0</v>
      </c>
      <c r="H150" s="3279">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6">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1371">
        <f t="shared" si="91"/>
        <v>0</v>
      </c>
      <c r="AW150" s="1371">
        <f t="shared" si="92"/>
        <v>0</v>
      </c>
      <c r="AX150" s="1371">
        <f t="shared" si="93"/>
        <v>0</v>
      </c>
      <c r="AY150" s="3321">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8">
        <f t="shared" si="89"/>
        <v>0</v>
      </c>
    </row>
    <row r="151" spans="1:72">
      <c r="A151" s="3273"/>
      <c r="B151" s="3274"/>
      <c r="C151" s="3274"/>
      <c r="D151" s="3275"/>
      <c r="E151" s="3276">
        <f t="shared" si="90"/>
        <v>0</v>
      </c>
      <c r="F151" s="3277"/>
      <c r="G151" s="3278">
        <f t="shared" si="65"/>
        <v>0</v>
      </c>
      <c r="H151" s="3279">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6">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1371">
        <f t="shared" si="91"/>
        <v>0</v>
      </c>
      <c r="AW151" s="1371">
        <f t="shared" si="92"/>
        <v>0</v>
      </c>
      <c r="AX151" s="1371">
        <f t="shared" si="93"/>
        <v>0</v>
      </c>
      <c r="AY151" s="3321">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8">
        <f t="shared" si="89"/>
        <v>0</v>
      </c>
    </row>
    <row r="152" spans="1:72">
      <c r="A152" s="3273"/>
      <c r="B152" s="3274"/>
      <c r="C152" s="3274"/>
      <c r="D152" s="3275"/>
      <c r="E152" s="3276">
        <f t="shared" si="90"/>
        <v>0</v>
      </c>
      <c r="F152" s="3277"/>
      <c r="G152" s="3278">
        <f t="shared" si="65"/>
        <v>0</v>
      </c>
      <c r="H152" s="3279">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6">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1371">
        <f t="shared" si="91"/>
        <v>0</v>
      </c>
      <c r="AW152" s="1371">
        <f t="shared" si="92"/>
        <v>0</v>
      </c>
      <c r="AX152" s="1371">
        <f t="shared" si="93"/>
        <v>0</v>
      </c>
      <c r="AY152" s="3321">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8">
        <f t="shared" si="89"/>
        <v>0</v>
      </c>
    </row>
    <row r="153" spans="1:72">
      <c r="A153" s="3273"/>
      <c r="B153" s="3274"/>
      <c r="C153" s="3274"/>
      <c r="D153" s="3275"/>
      <c r="E153" s="3276">
        <f t="shared" si="90"/>
        <v>0</v>
      </c>
      <c r="F153" s="3277"/>
      <c r="G153" s="3278">
        <f t="shared" si="65"/>
        <v>0</v>
      </c>
      <c r="H153" s="3279">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6">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1371">
        <f t="shared" si="91"/>
        <v>0</v>
      </c>
      <c r="AW153" s="1371">
        <f t="shared" si="92"/>
        <v>0</v>
      </c>
      <c r="AX153" s="1371">
        <f t="shared" si="93"/>
        <v>0</v>
      </c>
      <c r="AY153" s="3321">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8">
        <f t="shared" si="89"/>
        <v>0</v>
      </c>
    </row>
    <row r="154" spans="1:72">
      <c r="A154" s="3273"/>
      <c r="B154" s="3274"/>
      <c r="C154" s="3274"/>
      <c r="D154" s="3275"/>
      <c r="E154" s="3276">
        <f t="shared" si="90"/>
        <v>0</v>
      </c>
      <c r="F154" s="3277"/>
      <c r="G154" s="3278">
        <f t="shared" si="65"/>
        <v>0</v>
      </c>
      <c r="H154" s="3279">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6">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1371">
        <f t="shared" si="91"/>
        <v>0</v>
      </c>
      <c r="AW154" s="1371">
        <f t="shared" si="92"/>
        <v>0</v>
      </c>
      <c r="AX154" s="1371">
        <f t="shared" si="93"/>
        <v>0</v>
      </c>
      <c r="AY154" s="3321">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8">
        <f t="shared" si="89"/>
        <v>0</v>
      </c>
    </row>
    <row r="155" spans="1:72">
      <c r="A155" s="3273"/>
      <c r="B155" s="3274"/>
      <c r="C155" s="3274"/>
      <c r="D155" s="3275"/>
      <c r="E155" s="3276">
        <f t="shared" si="90"/>
        <v>0</v>
      </c>
      <c r="F155" s="3277"/>
      <c r="G155" s="3278">
        <f t="shared" si="65"/>
        <v>0</v>
      </c>
      <c r="H155" s="3279">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6">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1371">
        <f t="shared" si="91"/>
        <v>0</v>
      </c>
      <c r="AW155" s="1371">
        <f t="shared" si="92"/>
        <v>0</v>
      </c>
      <c r="AX155" s="1371">
        <f t="shared" si="93"/>
        <v>0</v>
      </c>
      <c r="AY155" s="3321">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8">
        <f t="shared" si="89"/>
        <v>0</v>
      </c>
    </row>
    <row r="156" spans="1:72">
      <c r="A156" s="3273"/>
      <c r="B156" s="3274"/>
      <c r="C156" s="3274"/>
      <c r="D156" s="3275"/>
      <c r="E156" s="3276">
        <f t="shared" si="90"/>
        <v>0</v>
      </c>
      <c r="F156" s="3277"/>
      <c r="G156" s="3278">
        <f t="shared" si="65"/>
        <v>0</v>
      </c>
      <c r="H156" s="3279">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6">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1371">
        <f t="shared" si="91"/>
        <v>0</v>
      </c>
      <c r="AW156" s="1371">
        <f t="shared" si="92"/>
        <v>0</v>
      </c>
      <c r="AX156" s="1371">
        <f t="shared" si="93"/>
        <v>0</v>
      </c>
      <c r="AY156" s="3321">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8">
        <f t="shared" si="89"/>
        <v>0</v>
      </c>
    </row>
    <row r="157" spans="1:72">
      <c r="A157" s="3273"/>
      <c r="B157" s="3274"/>
      <c r="C157" s="3274"/>
      <c r="D157" s="3275"/>
      <c r="E157" s="3276">
        <f t="shared" si="90"/>
        <v>0</v>
      </c>
      <c r="F157" s="3277"/>
      <c r="G157" s="3278">
        <f t="shared" si="65"/>
        <v>0</v>
      </c>
      <c r="H157" s="3279">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6">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1371">
        <f t="shared" si="91"/>
        <v>0</v>
      </c>
      <c r="AW157" s="1371">
        <f t="shared" si="92"/>
        <v>0</v>
      </c>
      <c r="AX157" s="1371">
        <f t="shared" si="93"/>
        <v>0</v>
      </c>
      <c r="AY157" s="3321">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8">
        <f t="shared" si="89"/>
        <v>0</v>
      </c>
    </row>
    <row r="158" spans="1:72">
      <c r="A158" s="3273"/>
      <c r="B158" s="3274"/>
      <c r="C158" s="3274"/>
      <c r="D158" s="3275"/>
      <c r="E158" s="3276">
        <f t="shared" si="90"/>
        <v>0</v>
      </c>
      <c r="F158" s="3277"/>
      <c r="G158" s="3278">
        <f t="shared" si="65"/>
        <v>0</v>
      </c>
      <c r="H158" s="3279">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6">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1371">
        <f t="shared" si="91"/>
        <v>0</v>
      </c>
      <c r="AW158" s="1371">
        <f t="shared" si="92"/>
        <v>0</v>
      </c>
      <c r="AX158" s="1371">
        <f t="shared" si="93"/>
        <v>0</v>
      </c>
      <c r="AY158" s="3321">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8">
        <f t="shared" si="89"/>
        <v>0</v>
      </c>
    </row>
    <row r="159" spans="1:72">
      <c r="A159" s="3273"/>
      <c r="B159" s="3274"/>
      <c r="C159" s="3274"/>
      <c r="D159" s="3275"/>
      <c r="E159" s="3276">
        <f t="shared" si="90"/>
        <v>0</v>
      </c>
      <c r="F159" s="3277"/>
      <c r="G159" s="3278">
        <f t="shared" si="65"/>
        <v>0</v>
      </c>
      <c r="H159" s="3279">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6">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1371">
        <f t="shared" si="91"/>
        <v>0</v>
      </c>
      <c r="AW159" s="1371">
        <f t="shared" si="92"/>
        <v>0</v>
      </c>
      <c r="AX159" s="1371">
        <f t="shared" si="93"/>
        <v>0</v>
      </c>
      <c r="AY159" s="3321">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8">
        <f t="shared" si="89"/>
        <v>0</v>
      </c>
    </row>
    <row r="160" spans="1:72">
      <c r="A160" s="3273"/>
      <c r="B160" s="3274"/>
      <c r="C160" s="3274"/>
      <c r="D160" s="3275"/>
      <c r="E160" s="3276">
        <f t="shared" si="90"/>
        <v>0</v>
      </c>
      <c r="F160" s="3277"/>
      <c r="G160" s="3278">
        <f t="shared" si="65"/>
        <v>0</v>
      </c>
      <c r="H160" s="3279">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6">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1371">
        <f t="shared" si="91"/>
        <v>0</v>
      </c>
      <c r="AW160" s="1371">
        <f t="shared" si="92"/>
        <v>0</v>
      </c>
      <c r="AX160" s="1371">
        <f t="shared" si="93"/>
        <v>0</v>
      </c>
      <c r="AY160" s="3321">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8">
        <f t="shared" si="89"/>
        <v>0</v>
      </c>
    </row>
    <row r="161" spans="1:72">
      <c r="A161" s="3273"/>
      <c r="B161" s="3274"/>
      <c r="C161" s="3274"/>
      <c r="D161" s="3275"/>
      <c r="E161" s="3276">
        <f t="shared" si="90"/>
        <v>0</v>
      </c>
      <c r="F161" s="3277"/>
      <c r="G161" s="3278">
        <f t="shared" si="65"/>
        <v>0</v>
      </c>
      <c r="H161" s="3279">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6">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1371">
        <f t="shared" si="91"/>
        <v>0</v>
      </c>
      <c r="AW161" s="1371">
        <f t="shared" si="92"/>
        <v>0</v>
      </c>
      <c r="AX161" s="1371">
        <f t="shared" si="93"/>
        <v>0</v>
      </c>
      <c r="AY161" s="3321">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8">
        <f t="shared" si="89"/>
        <v>0</v>
      </c>
    </row>
    <row r="162" spans="1:72">
      <c r="A162" s="3273"/>
      <c r="B162" s="3274"/>
      <c r="C162" s="3274"/>
      <c r="D162" s="3275"/>
      <c r="E162" s="3276">
        <f t="shared" si="90"/>
        <v>0</v>
      </c>
      <c r="F162" s="3277"/>
      <c r="G162" s="3278">
        <f t="shared" si="65"/>
        <v>0</v>
      </c>
      <c r="H162" s="3279">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6">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1371">
        <f t="shared" si="91"/>
        <v>0</v>
      </c>
      <c r="AW162" s="1371">
        <f t="shared" si="92"/>
        <v>0</v>
      </c>
      <c r="AX162" s="1371">
        <f t="shared" si="93"/>
        <v>0</v>
      </c>
      <c r="AY162" s="3321">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8">
        <f t="shared" si="89"/>
        <v>0</v>
      </c>
    </row>
    <row r="163" spans="1:72">
      <c r="A163" s="3273"/>
      <c r="B163" s="3274"/>
      <c r="C163" s="3274"/>
      <c r="D163" s="3275"/>
      <c r="E163" s="3276">
        <f t="shared" si="90"/>
        <v>0</v>
      </c>
      <c r="F163" s="3277"/>
      <c r="G163" s="3278">
        <f t="shared" si="65"/>
        <v>0</v>
      </c>
      <c r="H163" s="3279">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6">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1371">
        <f t="shared" si="91"/>
        <v>0</v>
      </c>
      <c r="AW163" s="1371">
        <f t="shared" si="92"/>
        <v>0</v>
      </c>
      <c r="AX163" s="1371">
        <f t="shared" si="93"/>
        <v>0</v>
      </c>
      <c r="AY163" s="3321">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8">
        <f t="shared" si="89"/>
        <v>0</v>
      </c>
    </row>
    <row r="164" spans="1:72">
      <c r="A164" s="3273"/>
      <c r="B164" s="3274"/>
      <c r="C164" s="3274"/>
      <c r="D164" s="3275"/>
      <c r="E164" s="3276">
        <f t="shared" si="90"/>
        <v>0</v>
      </c>
      <c r="F164" s="3277"/>
      <c r="G164" s="3278">
        <f t="shared" si="65"/>
        <v>0</v>
      </c>
      <c r="H164" s="3279">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6">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1371">
        <f t="shared" si="91"/>
        <v>0</v>
      </c>
      <c r="AW164" s="1371">
        <f t="shared" si="92"/>
        <v>0</v>
      </c>
      <c r="AX164" s="1371">
        <f t="shared" si="93"/>
        <v>0</v>
      </c>
      <c r="AY164" s="3321">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8">
        <f t="shared" si="89"/>
        <v>0</v>
      </c>
    </row>
    <row r="165" spans="1:72">
      <c r="A165" s="3273"/>
      <c r="B165" s="3274"/>
      <c r="C165" s="3274"/>
      <c r="D165" s="3275"/>
      <c r="E165" s="3276">
        <f t="shared" si="90"/>
        <v>0</v>
      </c>
      <c r="F165" s="3277"/>
      <c r="G165" s="3278">
        <f t="shared" si="65"/>
        <v>0</v>
      </c>
      <c r="H165" s="3279">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6">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1371">
        <f t="shared" si="91"/>
        <v>0</v>
      </c>
      <c r="AW165" s="1371">
        <f t="shared" si="92"/>
        <v>0</v>
      </c>
      <c r="AX165" s="1371">
        <f t="shared" si="93"/>
        <v>0</v>
      </c>
      <c r="AY165" s="3321">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8">
        <f t="shared" si="89"/>
        <v>0</v>
      </c>
    </row>
    <row r="166" spans="1:72">
      <c r="A166" s="3273"/>
      <c r="B166" s="3274"/>
      <c r="C166" s="3274"/>
      <c r="D166" s="3275"/>
      <c r="E166" s="3276">
        <f t="shared" si="90"/>
        <v>0</v>
      </c>
      <c r="F166" s="3277"/>
      <c r="G166" s="3278">
        <f t="shared" si="65"/>
        <v>0</v>
      </c>
      <c r="H166" s="3279">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6">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1371">
        <f t="shared" si="91"/>
        <v>0</v>
      </c>
      <c r="AW166" s="1371">
        <f t="shared" si="92"/>
        <v>0</v>
      </c>
      <c r="AX166" s="1371">
        <f t="shared" si="93"/>
        <v>0</v>
      </c>
      <c r="AY166" s="3321">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8">
        <f t="shared" si="89"/>
        <v>0</v>
      </c>
    </row>
    <row r="167" spans="1:72">
      <c r="A167" s="3273"/>
      <c r="B167" s="3274"/>
      <c r="C167" s="3274"/>
      <c r="D167" s="3275"/>
      <c r="E167" s="3276">
        <f t="shared" si="90"/>
        <v>0</v>
      </c>
      <c r="F167" s="3277"/>
      <c r="G167" s="3278">
        <f t="shared" si="65"/>
        <v>0</v>
      </c>
      <c r="H167" s="3279">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6">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1371">
        <f t="shared" si="91"/>
        <v>0</v>
      </c>
      <c r="AW167" s="1371">
        <f t="shared" si="92"/>
        <v>0</v>
      </c>
      <c r="AX167" s="1371">
        <f t="shared" si="93"/>
        <v>0</v>
      </c>
      <c r="AY167" s="3321">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8">
        <f t="shared" si="89"/>
        <v>0</v>
      </c>
    </row>
    <row r="168" spans="1:72">
      <c r="A168" s="3273"/>
      <c r="B168" s="3274"/>
      <c r="C168" s="3274"/>
      <c r="D168" s="3275"/>
      <c r="E168" s="3276">
        <f t="shared" si="90"/>
        <v>0</v>
      </c>
      <c r="F168" s="3277"/>
      <c r="G168" s="3278">
        <f t="shared" si="65"/>
        <v>0</v>
      </c>
      <c r="H168" s="3279">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6">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1371">
        <f t="shared" si="91"/>
        <v>0</v>
      </c>
      <c r="AW168" s="1371">
        <f t="shared" si="92"/>
        <v>0</v>
      </c>
      <c r="AX168" s="1371">
        <f t="shared" si="93"/>
        <v>0</v>
      </c>
      <c r="AY168" s="3321">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8">
        <f t="shared" si="89"/>
        <v>0</v>
      </c>
    </row>
    <row r="169" spans="1:72">
      <c r="A169" s="3273"/>
      <c r="B169" s="3274"/>
      <c r="C169" s="3274"/>
      <c r="D169" s="3275"/>
      <c r="E169" s="3276">
        <f t="shared" si="90"/>
        <v>0</v>
      </c>
      <c r="F169" s="3277"/>
      <c r="G169" s="3278">
        <f t="shared" si="65"/>
        <v>0</v>
      </c>
      <c r="H169" s="3279">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6">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1371">
        <f t="shared" si="91"/>
        <v>0</v>
      </c>
      <c r="AW169" s="1371">
        <f t="shared" si="92"/>
        <v>0</v>
      </c>
      <c r="AX169" s="1371">
        <f t="shared" si="93"/>
        <v>0</v>
      </c>
      <c r="AY169" s="3321">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8">
        <f t="shared" si="89"/>
        <v>0</v>
      </c>
    </row>
    <row r="170" spans="1:72">
      <c r="A170" s="3273"/>
      <c r="B170" s="3274"/>
      <c r="C170" s="3274"/>
      <c r="D170" s="3275"/>
      <c r="E170" s="3276">
        <f t="shared" si="90"/>
        <v>0</v>
      </c>
      <c r="F170" s="3277"/>
      <c r="G170" s="3278">
        <f t="shared" si="65"/>
        <v>0</v>
      </c>
      <c r="H170" s="3279">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6">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1371">
        <f t="shared" si="91"/>
        <v>0</v>
      </c>
      <c r="AW170" s="1371">
        <f t="shared" si="92"/>
        <v>0</v>
      </c>
      <c r="AX170" s="1371">
        <f t="shared" si="93"/>
        <v>0</v>
      </c>
      <c r="AY170" s="3321">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8">
        <f t="shared" si="89"/>
        <v>0</v>
      </c>
    </row>
    <row r="171" spans="1:72">
      <c r="A171" s="3273"/>
      <c r="B171" s="3274"/>
      <c r="C171" s="3274"/>
      <c r="D171" s="3275"/>
      <c r="E171" s="3276">
        <f t="shared" si="90"/>
        <v>0</v>
      </c>
      <c r="F171" s="3277"/>
      <c r="G171" s="3278">
        <f t="shared" si="65"/>
        <v>0</v>
      </c>
      <c r="H171" s="3279">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6">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1371">
        <f t="shared" si="91"/>
        <v>0</v>
      </c>
      <c r="AW171" s="1371">
        <f t="shared" si="92"/>
        <v>0</v>
      </c>
      <c r="AX171" s="1371">
        <f t="shared" si="93"/>
        <v>0</v>
      </c>
      <c r="AY171" s="3321">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8">
        <f t="shared" si="89"/>
        <v>0</v>
      </c>
    </row>
    <row r="172" spans="1:72">
      <c r="A172" s="3273"/>
      <c r="B172" s="3274"/>
      <c r="C172" s="3274"/>
      <c r="D172" s="3275"/>
      <c r="E172" s="3276">
        <f t="shared" si="90"/>
        <v>0</v>
      </c>
      <c r="F172" s="3277"/>
      <c r="G172" s="3278">
        <f t="shared" si="65"/>
        <v>0</v>
      </c>
      <c r="H172" s="3279">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6">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1371">
        <f t="shared" si="91"/>
        <v>0</v>
      </c>
      <c r="AW172" s="1371">
        <f t="shared" si="92"/>
        <v>0</v>
      </c>
      <c r="AX172" s="1371">
        <f t="shared" si="93"/>
        <v>0</v>
      </c>
      <c r="AY172" s="3321">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8">
        <f t="shared" si="89"/>
        <v>0</v>
      </c>
    </row>
    <row r="173" spans="1:72">
      <c r="A173" s="3273"/>
      <c r="B173" s="3274"/>
      <c r="C173" s="3274"/>
      <c r="D173" s="3275"/>
      <c r="E173" s="3276">
        <f t="shared" si="90"/>
        <v>0</v>
      </c>
      <c r="F173" s="3277"/>
      <c r="G173" s="3278">
        <f t="shared" si="65"/>
        <v>0</v>
      </c>
      <c r="H173" s="3279">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6">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1371">
        <f t="shared" si="91"/>
        <v>0</v>
      </c>
      <c r="AW173" s="1371">
        <f t="shared" si="92"/>
        <v>0</v>
      </c>
      <c r="AX173" s="1371">
        <f t="shared" si="93"/>
        <v>0</v>
      </c>
      <c r="AY173" s="3321">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8">
        <f t="shared" si="89"/>
        <v>0</v>
      </c>
    </row>
    <row r="174" spans="1:72">
      <c r="A174" s="3273"/>
      <c r="B174" s="3274"/>
      <c r="C174" s="3274"/>
      <c r="D174" s="3275"/>
      <c r="E174" s="3276">
        <f t="shared" si="90"/>
        <v>0</v>
      </c>
      <c r="F174" s="3277"/>
      <c r="G174" s="3278">
        <f t="shared" ref="G174:G207" si="94">H174+AC174+AT174</f>
        <v>0</v>
      </c>
      <c r="H174" s="3279">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6">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1371">
        <f t="shared" si="91"/>
        <v>0</v>
      </c>
      <c r="AW174" s="1371">
        <f t="shared" si="92"/>
        <v>0</v>
      </c>
      <c r="AX174" s="1371">
        <f t="shared" si="93"/>
        <v>0</v>
      </c>
      <c r="AY174" s="3321">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8">
        <f t="shared" ref="BT174:BT207" si="118">IF($D174="是",AR174-AS174,0)</f>
        <v>0</v>
      </c>
    </row>
    <row r="175" spans="1:72">
      <c r="A175" s="3273"/>
      <c r="B175" s="3274"/>
      <c r="C175" s="3274"/>
      <c r="D175" s="3275"/>
      <c r="E175" s="3276">
        <f t="shared" si="90"/>
        <v>0</v>
      </c>
      <c r="F175" s="3277"/>
      <c r="G175" s="3278">
        <f t="shared" si="94"/>
        <v>0</v>
      </c>
      <c r="H175" s="3279">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6">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1371">
        <f t="shared" si="91"/>
        <v>0</v>
      </c>
      <c r="AW175" s="1371">
        <f t="shared" si="92"/>
        <v>0</v>
      </c>
      <c r="AX175" s="1371">
        <f t="shared" si="93"/>
        <v>0</v>
      </c>
      <c r="AY175" s="3321">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8">
        <f t="shared" si="118"/>
        <v>0</v>
      </c>
    </row>
    <row r="176" spans="1:72">
      <c r="A176" s="3273"/>
      <c r="B176" s="3274"/>
      <c r="C176" s="3274"/>
      <c r="D176" s="3275"/>
      <c r="E176" s="3276">
        <f t="shared" si="90"/>
        <v>0</v>
      </c>
      <c r="F176" s="3277"/>
      <c r="G176" s="3278">
        <f t="shared" si="94"/>
        <v>0</v>
      </c>
      <c r="H176" s="3279">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6">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1371">
        <f t="shared" si="91"/>
        <v>0</v>
      </c>
      <c r="AW176" s="1371">
        <f t="shared" si="92"/>
        <v>0</v>
      </c>
      <c r="AX176" s="1371">
        <f t="shared" si="93"/>
        <v>0</v>
      </c>
      <c r="AY176" s="3321">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8">
        <f t="shared" si="118"/>
        <v>0</v>
      </c>
    </row>
    <row r="177" spans="1:72">
      <c r="A177" s="3273"/>
      <c r="B177" s="3274"/>
      <c r="C177" s="3274"/>
      <c r="D177" s="3275"/>
      <c r="E177" s="3276">
        <f t="shared" ref="E177:E207" si="119">IF($C$3="是",ROUND($A$3*G177/$B$3,2),ROUND($A$3*(G177-AT177)/$B$3,2))</f>
        <v>0</v>
      </c>
      <c r="F177" s="3277"/>
      <c r="G177" s="3278">
        <f t="shared" si="94"/>
        <v>0</v>
      </c>
      <c r="H177" s="3279">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6">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1371">
        <f t="shared" ref="AV177:AV207" si="120">A177</f>
        <v>0</v>
      </c>
      <c r="AW177" s="1371">
        <f t="shared" ref="AW177:AW207" si="121">B177</f>
        <v>0</v>
      </c>
      <c r="AX177" s="1371">
        <f t="shared" ref="AX177:AX207" si="122">C177</f>
        <v>0</v>
      </c>
      <c r="AY177" s="3321">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8">
        <f t="shared" si="118"/>
        <v>0</v>
      </c>
    </row>
    <row r="178" spans="1:72">
      <c r="A178" s="3273"/>
      <c r="B178" s="3274"/>
      <c r="C178" s="3274"/>
      <c r="D178" s="3275"/>
      <c r="E178" s="3276">
        <f t="shared" si="119"/>
        <v>0</v>
      </c>
      <c r="F178" s="3277"/>
      <c r="G178" s="3278">
        <f t="shared" si="94"/>
        <v>0</v>
      </c>
      <c r="H178" s="3279">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6">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1371">
        <f t="shared" si="120"/>
        <v>0</v>
      </c>
      <c r="AW178" s="1371">
        <f t="shared" si="121"/>
        <v>0</v>
      </c>
      <c r="AX178" s="1371">
        <f t="shared" si="122"/>
        <v>0</v>
      </c>
      <c r="AY178" s="3321">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8">
        <f t="shared" si="118"/>
        <v>0</v>
      </c>
    </row>
    <row r="179" spans="1:72">
      <c r="A179" s="3273"/>
      <c r="B179" s="3274"/>
      <c r="C179" s="3274"/>
      <c r="D179" s="3275"/>
      <c r="E179" s="3276">
        <f t="shared" si="119"/>
        <v>0</v>
      </c>
      <c r="F179" s="3277"/>
      <c r="G179" s="3278">
        <f t="shared" si="94"/>
        <v>0</v>
      </c>
      <c r="H179" s="3279">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6">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1371">
        <f t="shared" si="120"/>
        <v>0</v>
      </c>
      <c r="AW179" s="1371">
        <f t="shared" si="121"/>
        <v>0</v>
      </c>
      <c r="AX179" s="1371">
        <f t="shared" si="122"/>
        <v>0</v>
      </c>
      <c r="AY179" s="3321">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8">
        <f t="shared" si="118"/>
        <v>0</v>
      </c>
    </row>
    <row r="180" spans="1:72">
      <c r="A180" s="3273"/>
      <c r="B180" s="3274"/>
      <c r="C180" s="3274"/>
      <c r="D180" s="3275"/>
      <c r="E180" s="3276">
        <f t="shared" si="119"/>
        <v>0</v>
      </c>
      <c r="F180" s="3277"/>
      <c r="G180" s="3278">
        <f t="shared" si="94"/>
        <v>0</v>
      </c>
      <c r="H180" s="3279">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6">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1371">
        <f t="shared" si="120"/>
        <v>0</v>
      </c>
      <c r="AW180" s="1371">
        <f t="shared" si="121"/>
        <v>0</v>
      </c>
      <c r="AX180" s="1371">
        <f t="shared" si="122"/>
        <v>0</v>
      </c>
      <c r="AY180" s="3321">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8">
        <f t="shared" si="118"/>
        <v>0</v>
      </c>
    </row>
    <row r="181" spans="1:72">
      <c r="A181" s="3273"/>
      <c r="B181" s="3274"/>
      <c r="C181" s="3274"/>
      <c r="D181" s="3275"/>
      <c r="E181" s="3276">
        <f t="shared" si="119"/>
        <v>0</v>
      </c>
      <c r="F181" s="3277"/>
      <c r="G181" s="3278">
        <f t="shared" si="94"/>
        <v>0</v>
      </c>
      <c r="H181" s="3279">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6">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1371">
        <f t="shared" si="120"/>
        <v>0</v>
      </c>
      <c r="AW181" s="1371">
        <f t="shared" si="121"/>
        <v>0</v>
      </c>
      <c r="AX181" s="1371">
        <f t="shared" si="122"/>
        <v>0</v>
      </c>
      <c r="AY181" s="3321">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8">
        <f t="shared" si="118"/>
        <v>0</v>
      </c>
    </row>
    <row r="182" spans="1:72">
      <c r="A182" s="3273"/>
      <c r="B182" s="3274"/>
      <c r="C182" s="3274"/>
      <c r="D182" s="3275"/>
      <c r="E182" s="3276">
        <f t="shared" si="119"/>
        <v>0</v>
      </c>
      <c r="F182" s="3277"/>
      <c r="G182" s="3278">
        <f t="shared" si="94"/>
        <v>0</v>
      </c>
      <c r="H182" s="3279">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6">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1371">
        <f t="shared" si="120"/>
        <v>0</v>
      </c>
      <c r="AW182" s="1371">
        <f t="shared" si="121"/>
        <v>0</v>
      </c>
      <c r="AX182" s="1371">
        <f t="shared" si="122"/>
        <v>0</v>
      </c>
      <c r="AY182" s="3321">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8">
        <f t="shared" si="118"/>
        <v>0</v>
      </c>
    </row>
    <row r="183" spans="1:72">
      <c r="A183" s="3273"/>
      <c r="B183" s="3274"/>
      <c r="C183" s="3274"/>
      <c r="D183" s="3275"/>
      <c r="E183" s="3276">
        <f t="shared" si="119"/>
        <v>0</v>
      </c>
      <c r="F183" s="3277"/>
      <c r="G183" s="3278">
        <f t="shared" si="94"/>
        <v>0</v>
      </c>
      <c r="H183" s="3279">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6">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1371">
        <f t="shared" si="120"/>
        <v>0</v>
      </c>
      <c r="AW183" s="1371">
        <f t="shared" si="121"/>
        <v>0</v>
      </c>
      <c r="AX183" s="1371">
        <f t="shared" si="122"/>
        <v>0</v>
      </c>
      <c r="AY183" s="3321">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8">
        <f t="shared" si="118"/>
        <v>0</v>
      </c>
    </row>
    <row r="184" spans="1:72">
      <c r="A184" s="3273"/>
      <c r="B184" s="3274"/>
      <c r="C184" s="3274"/>
      <c r="D184" s="3275"/>
      <c r="E184" s="3276">
        <f t="shared" si="119"/>
        <v>0</v>
      </c>
      <c r="F184" s="3277"/>
      <c r="G184" s="3278">
        <f t="shared" si="94"/>
        <v>0</v>
      </c>
      <c r="H184" s="3279">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6">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1371">
        <f t="shared" si="120"/>
        <v>0</v>
      </c>
      <c r="AW184" s="1371">
        <f t="shared" si="121"/>
        <v>0</v>
      </c>
      <c r="AX184" s="1371">
        <f t="shared" si="122"/>
        <v>0</v>
      </c>
      <c r="AY184" s="3321">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8">
        <f t="shared" si="118"/>
        <v>0</v>
      </c>
    </row>
    <row r="185" spans="1:72">
      <c r="A185" s="3273"/>
      <c r="B185" s="3274"/>
      <c r="C185" s="3274"/>
      <c r="D185" s="3275"/>
      <c r="E185" s="3276">
        <f t="shared" si="119"/>
        <v>0</v>
      </c>
      <c r="F185" s="3277"/>
      <c r="G185" s="3278">
        <f t="shared" si="94"/>
        <v>0</v>
      </c>
      <c r="H185" s="3279">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6">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1371">
        <f t="shared" si="120"/>
        <v>0</v>
      </c>
      <c r="AW185" s="1371">
        <f t="shared" si="121"/>
        <v>0</v>
      </c>
      <c r="AX185" s="1371">
        <f t="shared" si="122"/>
        <v>0</v>
      </c>
      <c r="AY185" s="3321">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8">
        <f t="shared" si="118"/>
        <v>0</v>
      </c>
    </row>
    <row r="186" spans="1:72">
      <c r="A186" s="3273"/>
      <c r="B186" s="3274"/>
      <c r="C186" s="3274"/>
      <c r="D186" s="3275"/>
      <c r="E186" s="3276">
        <f t="shared" si="119"/>
        <v>0</v>
      </c>
      <c r="F186" s="3277"/>
      <c r="G186" s="3278">
        <f t="shared" si="94"/>
        <v>0</v>
      </c>
      <c r="H186" s="3279">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6">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1371">
        <f t="shared" si="120"/>
        <v>0</v>
      </c>
      <c r="AW186" s="1371">
        <f t="shared" si="121"/>
        <v>0</v>
      </c>
      <c r="AX186" s="1371">
        <f t="shared" si="122"/>
        <v>0</v>
      </c>
      <c r="AY186" s="3321">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8">
        <f t="shared" si="118"/>
        <v>0</v>
      </c>
    </row>
    <row r="187" spans="1:72">
      <c r="A187" s="3273"/>
      <c r="B187" s="3274"/>
      <c r="C187" s="3274"/>
      <c r="D187" s="3275"/>
      <c r="E187" s="3276">
        <f t="shared" si="119"/>
        <v>0</v>
      </c>
      <c r="F187" s="3277"/>
      <c r="G187" s="3278">
        <f t="shared" si="94"/>
        <v>0</v>
      </c>
      <c r="H187" s="3279">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6">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1371">
        <f t="shared" si="120"/>
        <v>0</v>
      </c>
      <c r="AW187" s="1371">
        <f t="shared" si="121"/>
        <v>0</v>
      </c>
      <c r="AX187" s="1371">
        <f t="shared" si="122"/>
        <v>0</v>
      </c>
      <c r="AY187" s="3321">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8">
        <f t="shared" si="118"/>
        <v>0</v>
      </c>
    </row>
    <row r="188" spans="1:72">
      <c r="A188" s="3273"/>
      <c r="B188" s="3274"/>
      <c r="C188" s="3274"/>
      <c r="D188" s="3275"/>
      <c r="E188" s="3276">
        <f t="shared" si="119"/>
        <v>0</v>
      </c>
      <c r="F188" s="3277"/>
      <c r="G188" s="3278">
        <f t="shared" si="94"/>
        <v>0</v>
      </c>
      <c r="H188" s="3279">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6">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1371">
        <f t="shared" si="120"/>
        <v>0</v>
      </c>
      <c r="AW188" s="1371">
        <f t="shared" si="121"/>
        <v>0</v>
      </c>
      <c r="AX188" s="1371">
        <f t="shared" si="122"/>
        <v>0</v>
      </c>
      <c r="AY188" s="3321">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8">
        <f t="shared" si="118"/>
        <v>0</v>
      </c>
    </row>
    <row r="189" spans="1:72">
      <c r="A189" s="3273"/>
      <c r="B189" s="3274"/>
      <c r="C189" s="3274"/>
      <c r="D189" s="3275"/>
      <c r="E189" s="3276">
        <f t="shared" si="119"/>
        <v>0</v>
      </c>
      <c r="F189" s="3277"/>
      <c r="G189" s="3278">
        <f t="shared" si="94"/>
        <v>0</v>
      </c>
      <c r="H189" s="3279">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6">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1371">
        <f t="shared" si="120"/>
        <v>0</v>
      </c>
      <c r="AW189" s="1371">
        <f t="shared" si="121"/>
        <v>0</v>
      </c>
      <c r="AX189" s="1371">
        <f t="shared" si="122"/>
        <v>0</v>
      </c>
      <c r="AY189" s="3321">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8">
        <f t="shared" si="118"/>
        <v>0</v>
      </c>
    </row>
    <row r="190" spans="1:72">
      <c r="A190" s="3273"/>
      <c r="B190" s="3274"/>
      <c r="C190" s="3274"/>
      <c r="D190" s="3275"/>
      <c r="E190" s="3276">
        <f t="shared" si="119"/>
        <v>0</v>
      </c>
      <c r="F190" s="3277"/>
      <c r="G190" s="3278">
        <f t="shared" si="94"/>
        <v>0</v>
      </c>
      <c r="H190" s="3279">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6">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1371">
        <f t="shared" si="120"/>
        <v>0</v>
      </c>
      <c r="AW190" s="1371">
        <f t="shared" si="121"/>
        <v>0</v>
      </c>
      <c r="AX190" s="1371">
        <f t="shared" si="122"/>
        <v>0</v>
      </c>
      <c r="AY190" s="3321">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8">
        <f t="shared" si="118"/>
        <v>0</v>
      </c>
    </row>
    <row r="191" spans="1:72">
      <c r="A191" s="3273"/>
      <c r="B191" s="3274"/>
      <c r="C191" s="3274"/>
      <c r="D191" s="3275"/>
      <c r="E191" s="3276">
        <f t="shared" si="119"/>
        <v>0</v>
      </c>
      <c r="F191" s="3277"/>
      <c r="G191" s="3278">
        <f t="shared" si="94"/>
        <v>0</v>
      </c>
      <c r="H191" s="3279">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6">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1371">
        <f t="shared" si="120"/>
        <v>0</v>
      </c>
      <c r="AW191" s="1371">
        <f t="shared" si="121"/>
        <v>0</v>
      </c>
      <c r="AX191" s="1371">
        <f t="shared" si="122"/>
        <v>0</v>
      </c>
      <c r="AY191" s="3321">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8">
        <f t="shared" si="118"/>
        <v>0</v>
      </c>
    </row>
    <row r="192" spans="1:72">
      <c r="A192" s="3273"/>
      <c r="B192" s="3274"/>
      <c r="C192" s="3274"/>
      <c r="D192" s="3275"/>
      <c r="E192" s="3276">
        <f t="shared" si="119"/>
        <v>0</v>
      </c>
      <c r="F192" s="3277"/>
      <c r="G192" s="3278">
        <f t="shared" si="94"/>
        <v>0</v>
      </c>
      <c r="H192" s="3279">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6">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1371">
        <f t="shared" si="120"/>
        <v>0</v>
      </c>
      <c r="AW192" s="1371">
        <f t="shared" si="121"/>
        <v>0</v>
      </c>
      <c r="AX192" s="1371">
        <f t="shared" si="122"/>
        <v>0</v>
      </c>
      <c r="AY192" s="3321">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8">
        <f t="shared" si="118"/>
        <v>0</v>
      </c>
    </row>
    <row r="193" spans="1:72">
      <c r="A193" s="3273"/>
      <c r="B193" s="3274"/>
      <c r="C193" s="3274"/>
      <c r="D193" s="3275"/>
      <c r="E193" s="3276">
        <f t="shared" si="119"/>
        <v>0</v>
      </c>
      <c r="F193" s="3277"/>
      <c r="G193" s="3278">
        <f t="shared" si="94"/>
        <v>0</v>
      </c>
      <c r="H193" s="3279">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6">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1371">
        <f t="shared" si="120"/>
        <v>0</v>
      </c>
      <c r="AW193" s="1371">
        <f t="shared" si="121"/>
        <v>0</v>
      </c>
      <c r="AX193" s="1371">
        <f t="shared" si="122"/>
        <v>0</v>
      </c>
      <c r="AY193" s="3321">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8">
        <f t="shared" si="118"/>
        <v>0</v>
      </c>
    </row>
    <row r="194" spans="1:72">
      <c r="A194" s="3273"/>
      <c r="B194" s="3274"/>
      <c r="C194" s="3274"/>
      <c r="D194" s="3275"/>
      <c r="E194" s="3276">
        <f t="shared" si="119"/>
        <v>0</v>
      </c>
      <c r="F194" s="3277"/>
      <c r="G194" s="3278">
        <f t="shared" si="94"/>
        <v>0</v>
      </c>
      <c r="H194" s="3279">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6">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1371">
        <f t="shared" si="120"/>
        <v>0</v>
      </c>
      <c r="AW194" s="1371">
        <f t="shared" si="121"/>
        <v>0</v>
      </c>
      <c r="AX194" s="1371">
        <f t="shared" si="122"/>
        <v>0</v>
      </c>
      <c r="AY194" s="3321">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8">
        <f t="shared" si="118"/>
        <v>0</v>
      </c>
    </row>
    <row r="195" spans="1:72">
      <c r="A195" s="3273"/>
      <c r="B195" s="3274"/>
      <c r="C195" s="3274"/>
      <c r="D195" s="3275"/>
      <c r="E195" s="3276">
        <f t="shared" si="119"/>
        <v>0</v>
      </c>
      <c r="F195" s="3277"/>
      <c r="G195" s="3278">
        <f t="shared" si="94"/>
        <v>0</v>
      </c>
      <c r="H195" s="3279">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6">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1371">
        <f t="shared" si="120"/>
        <v>0</v>
      </c>
      <c r="AW195" s="1371">
        <f t="shared" si="121"/>
        <v>0</v>
      </c>
      <c r="AX195" s="1371">
        <f t="shared" si="122"/>
        <v>0</v>
      </c>
      <c r="AY195" s="3321">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8">
        <f t="shared" si="118"/>
        <v>0</v>
      </c>
    </row>
    <row r="196" spans="1:72">
      <c r="A196" s="3273"/>
      <c r="B196" s="3274"/>
      <c r="C196" s="3274"/>
      <c r="D196" s="3275"/>
      <c r="E196" s="3276">
        <f t="shared" si="119"/>
        <v>0</v>
      </c>
      <c r="F196" s="3277"/>
      <c r="G196" s="3278">
        <f t="shared" si="94"/>
        <v>0</v>
      </c>
      <c r="H196" s="3279">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6">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1371">
        <f t="shared" si="120"/>
        <v>0</v>
      </c>
      <c r="AW196" s="1371">
        <f t="shared" si="121"/>
        <v>0</v>
      </c>
      <c r="AX196" s="1371">
        <f t="shared" si="122"/>
        <v>0</v>
      </c>
      <c r="AY196" s="3321">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8">
        <f t="shared" si="118"/>
        <v>0</v>
      </c>
    </row>
    <row r="197" spans="1:72">
      <c r="A197" s="3273"/>
      <c r="B197" s="3274"/>
      <c r="C197" s="3274"/>
      <c r="D197" s="3275"/>
      <c r="E197" s="3276">
        <f t="shared" si="119"/>
        <v>0</v>
      </c>
      <c r="F197" s="3277"/>
      <c r="G197" s="3278">
        <f t="shared" si="94"/>
        <v>0</v>
      </c>
      <c r="H197" s="3279">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6">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1371">
        <f t="shared" si="120"/>
        <v>0</v>
      </c>
      <c r="AW197" s="1371">
        <f t="shared" si="121"/>
        <v>0</v>
      </c>
      <c r="AX197" s="1371">
        <f t="shared" si="122"/>
        <v>0</v>
      </c>
      <c r="AY197" s="3321">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8">
        <f t="shared" si="118"/>
        <v>0</v>
      </c>
    </row>
    <row r="198" spans="1:72">
      <c r="A198" s="3273"/>
      <c r="B198" s="3274"/>
      <c r="C198" s="3274"/>
      <c r="D198" s="3275"/>
      <c r="E198" s="3276">
        <f t="shared" si="119"/>
        <v>0</v>
      </c>
      <c r="F198" s="3277"/>
      <c r="G198" s="3278">
        <f t="shared" si="94"/>
        <v>0</v>
      </c>
      <c r="H198" s="3279">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6">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1371">
        <f t="shared" si="120"/>
        <v>0</v>
      </c>
      <c r="AW198" s="1371">
        <f t="shared" si="121"/>
        <v>0</v>
      </c>
      <c r="AX198" s="1371">
        <f t="shared" si="122"/>
        <v>0</v>
      </c>
      <c r="AY198" s="3321">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8">
        <f t="shared" si="118"/>
        <v>0</v>
      </c>
    </row>
    <row r="199" spans="1:72">
      <c r="A199" s="3273"/>
      <c r="B199" s="3274"/>
      <c r="C199" s="3274"/>
      <c r="D199" s="3275"/>
      <c r="E199" s="3276">
        <f t="shared" si="119"/>
        <v>0</v>
      </c>
      <c r="F199" s="3277"/>
      <c r="G199" s="3278">
        <f t="shared" si="94"/>
        <v>0</v>
      </c>
      <c r="H199" s="3279">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6">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1371">
        <f t="shared" si="120"/>
        <v>0</v>
      </c>
      <c r="AW199" s="1371">
        <f t="shared" si="121"/>
        <v>0</v>
      </c>
      <c r="AX199" s="1371">
        <f t="shared" si="122"/>
        <v>0</v>
      </c>
      <c r="AY199" s="3321">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8">
        <f t="shared" si="118"/>
        <v>0</v>
      </c>
    </row>
    <row r="200" spans="1:72">
      <c r="A200" s="3273"/>
      <c r="B200" s="3274"/>
      <c r="C200" s="3274"/>
      <c r="D200" s="3275"/>
      <c r="E200" s="3276">
        <f t="shared" si="119"/>
        <v>0</v>
      </c>
      <c r="F200" s="3277"/>
      <c r="G200" s="3278">
        <f t="shared" si="94"/>
        <v>0</v>
      </c>
      <c r="H200" s="3279">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6">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1371">
        <f t="shared" si="120"/>
        <v>0</v>
      </c>
      <c r="AW200" s="1371">
        <f t="shared" si="121"/>
        <v>0</v>
      </c>
      <c r="AX200" s="1371">
        <f t="shared" si="122"/>
        <v>0</v>
      </c>
      <c r="AY200" s="3321">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8">
        <f t="shared" si="118"/>
        <v>0</v>
      </c>
    </row>
    <row r="201" spans="1:72">
      <c r="A201" s="3273"/>
      <c r="B201" s="3274"/>
      <c r="C201" s="3274"/>
      <c r="D201" s="3275"/>
      <c r="E201" s="3276">
        <f t="shared" si="119"/>
        <v>0</v>
      </c>
      <c r="F201" s="3277"/>
      <c r="G201" s="3278">
        <f t="shared" si="94"/>
        <v>0</v>
      </c>
      <c r="H201" s="3279">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6">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1371">
        <f t="shared" si="120"/>
        <v>0</v>
      </c>
      <c r="AW201" s="1371">
        <f t="shared" si="121"/>
        <v>0</v>
      </c>
      <c r="AX201" s="1371">
        <f t="shared" si="122"/>
        <v>0</v>
      </c>
      <c r="AY201" s="3321">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8">
        <f t="shared" si="118"/>
        <v>0</v>
      </c>
    </row>
    <row r="202" spans="1:72">
      <c r="A202" s="3273"/>
      <c r="B202" s="3274"/>
      <c r="C202" s="3274"/>
      <c r="D202" s="3275"/>
      <c r="E202" s="3276">
        <f t="shared" si="119"/>
        <v>0</v>
      </c>
      <c r="F202" s="3277"/>
      <c r="G202" s="3278">
        <f t="shared" si="94"/>
        <v>0</v>
      </c>
      <c r="H202" s="3279">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6">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1371">
        <f t="shared" si="120"/>
        <v>0</v>
      </c>
      <c r="AW202" s="1371">
        <f t="shared" si="121"/>
        <v>0</v>
      </c>
      <c r="AX202" s="1371">
        <f t="shared" si="122"/>
        <v>0</v>
      </c>
      <c r="AY202" s="3321">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8">
        <f t="shared" si="118"/>
        <v>0</v>
      </c>
    </row>
    <row r="203" spans="1:72">
      <c r="A203" s="3273"/>
      <c r="B203" s="3274"/>
      <c r="C203" s="3274"/>
      <c r="D203" s="3275"/>
      <c r="E203" s="3276">
        <f t="shared" si="119"/>
        <v>0</v>
      </c>
      <c r="F203" s="3277"/>
      <c r="G203" s="3278">
        <f t="shared" si="94"/>
        <v>0</v>
      </c>
      <c r="H203" s="3279">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6">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1371">
        <f t="shared" si="120"/>
        <v>0</v>
      </c>
      <c r="AW203" s="1371">
        <f t="shared" si="121"/>
        <v>0</v>
      </c>
      <c r="AX203" s="1371">
        <f t="shared" si="122"/>
        <v>0</v>
      </c>
      <c r="AY203" s="3321">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8">
        <f t="shared" si="118"/>
        <v>0</v>
      </c>
    </row>
    <row r="204" spans="1:72">
      <c r="A204" s="3273"/>
      <c r="B204" s="3274"/>
      <c r="C204" s="3274"/>
      <c r="D204" s="3275"/>
      <c r="E204" s="3276">
        <f t="shared" si="119"/>
        <v>0</v>
      </c>
      <c r="F204" s="3277"/>
      <c r="G204" s="3278">
        <f t="shared" si="94"/>
        <v>0</v>
      </c>
      <c r="H204" s="3279">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6">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1371">
        <f t="shared" si="120"/>
        <v>0</v>
      </c>
      <c r="AW204" s="1371">
        <f t="shared" si="121"/>
        <v>0</v>
      </c>
      <c r="AX204" s="1371">
        <f t="shared" si="122"/>
        <v>0</v>
      </c>
      <c r="AY204" s="3321">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8">
        <f t="shared" si="118"/>
        <v>0</v>
      </c>
    </row>
    <row r="205" spans="1:72">
      <c r="A205" s="3273"/>
      <c r="B205" s="3273"/>
      <c r="C205" s="3273"/>
      <c r="D205" s="3275"/>
      <c r="E205" s="3276">
        <f t="shared" si="119"/>
        <v>0</v>
      </c>
      <c r="F205" s="3329"/>
      <c r="G205" s="3278">
        <f t="shared" si="94"/>
        <v>0</v>
      </c>
      <c r="H205" s="3279">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6">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1371">
        <f t="shared" si="120"/>
        <v>0</v>
      </c>
      <c r="AW205" s="1371">
        <f t="shared" si="121"/>
        <v>0</v>
      </c>
      <c r="AX205" s="1371">
        <f t="shared" si="122"/>
        <v>0</v>
      </c>
      <c r="AY205" s="3321">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8">
        <f t="shared" si="118"/>
        <v>0</v>
      </c>
    </row>
    <row r="206" spans="1:72">
      <c r="A206" s="3273"/>
      <c r="B206" s="3273"/>
      <c r="C206" s="3273"/>
      <c r="D206" s="3275"/>
      <c r="E206" s="3276">
        <f t="shared" si="119"/>
        <v>0</v>
      </c>
      <c r="F206" s="3329"/>
      <c r="G206" s="3278">
        <f t="shared" si="94"/>
        <v>0</v>
      </c>
      <c r="H206" s="3279">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6">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1371">
        <f t="shared" si="120"/>
        <v>0</v>
      </c>
      <c r="AW206" s="1371">
        <f t="shared" si="121"/>
        <v>0</v>
      </c>
      <c r="AX206" s="1371">
        <f t="shared" si="122"/>
        <v>0</v>
      </c>
      <c r="AY206" s="3321">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8">
        <f t="shared" si="118"/>
        <v>0</v>
      </c>
    </row>
    <row r="207" spans="1:72">
      <c r="A207" s="3273"/>
      <c r="B207" s="3273"/>
      <c r="C207" s="3273"/>
      <c r="D207" s="3275"/>
      <c r="E207" s="3276">
        <f t="shared" si="119"/>
        <v>0</v>
      </c>
      <c r="F207" s="3329"/>
      <c r="G207" s="3278">
        <f t="shared" si="94"/>
        <v>0</v>
      </c>
      <c r="H207" s="3279">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6">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1371">
        <f t="shared" si="120"/>
        <v>0</v>
      </c>
      <c r="AW207" s="1371">
        <f t="shared" si="121"/>
        <v>0</v>
      </c>
      <c r="AX207" s="1371">
        <f t="shared" si="122"/>
        <v>0</v>
      </c>
      <c r="AY207" s="3321">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8">
        <f t="shared" si="118"/>
        <v>0</v>
      </c>
    </row>
    <row r="208" spans="1:72">
      <c r="A208" s="3273"/>
      <c r="B208" s="3274"/>
      <c r="C208" s="3274"/>
      <c r="D208" s="3275"/>
      <c r="E208" s="3276">
        <f t="shared" ref="E208:E302" si="123">IF($C$3="是",ROUND($A$3*G208/$B$3,2),ROUND($A$3*(G208-AT208)/$B$3,2))</f>
        <v>0</v>
      </c>
      <c r="F208" s="3277"/>
      <c r="G208" s="3278">
        <f t="shared" ref="G208:G299" si="124">H208+AC208+AT208</f>
        <v>0</v>
      </c>
      <c r="H208" s="3279">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6">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1371">
        <f t="shared" ref="AV208:AV302" si="127">A208</f>
        <v>0</v>
      </c>
      <c r="AW208" s="1371">
        <f t="shared" ref="AW208:AW302" si="128">B208</f>
        <v>0</v>
      </c>
      <c r="AX208" s="1371">
        <f t="shared" ref="AX208:AX302" si="129">C208</f>
        <v>0</v>
      </c>
      <c r="AY208" s="3321">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8">
        <f t="shared" ref="BT208:BT299" si="151">IF($D208="是",AR208-AS208,0)</f>
        <v>0</v>
      </c>
    </row>
    <row r="209" spans="1:72">
      <c r="A209" s="3273"/>
      <c r="B209" s="3274"/>
      <c r="C209" s="3274"/>
      <c r="D209" s="3275"/>
      <c r="E209" s="3276">
        <f t="shared" si="123"/>
        <v>0</v>
      </c>
      <c r="F209" s="3277"/>
      <c r="G209" s="3278">
        <f t="shared" si="124"/>
        <v>0</v>
      </c>
      <c r="H209" s="3279">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6">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1371">
        <f t="shared" si="127"/>
        <v>0</v>
      </c>
      <c r="AW209" s="1371">
        <f t="shared" si="128"/>
        <v>0</v>
      </c>
      <c r="AX209" s="1371">
        <f t="shared" si="129"/>
        <v>0</v>
      </c>
      <c r="AY209" s="3321">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8">
        <f t="shared" si="151"/>
        <v>0</v>
      </c>
    </row>
    <row r="210" spans="1:72">
      <c r="A210" s="3273"/>
      <c r="B210" s="3274"/>
      <c r="C210" s="3274"/>
      <c r="D210" s="3275"/>
      <c r="E210" s="3276">
        <f t="shared" si="123"/>
        <v>0</v>
      </c>
      <c r="F210" s="3277"/>
      <c r="G210" s="3278">
        <f t="shared" si="124"/>
        <v>0</v>
      </c>
      <c r="H210" s="3279">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6">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1371">
        <f t="shared" si="127"/>
        <v>0</v>
      </c>
      <c r="AW210" s="1371">
        <f t="shared" si="128"/>
        <v>0</v>
      </c>
      <c r="AX210" s="1371">
        <f t="shared" si="129"/>
        <v>0</v>
      </c>
      <c r="AY210" s="3321">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8">
        <f t="shared" si="151"/>
        <v>0</v>
      </c>
    </row>
    <row r="211" spans="1:72">
      <c r="A211" s="3273"/>
      <c r="B211" s="3274"/>
      <c r="C211" s="3274"/>
      <c r="D211" s="3275"/>
      <c r="E211" s="3276">
        <f t="shared" si="123"/>
        <v>0</v>
      </c>
      <c r="F211" s="3277"/>
      <c r="G211" s="3278">
        <f t="shared" si="124"/>
        <v>0</v>
      </c>
      <c r="H211" s="3279">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6">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1371">
        <f t="shared" si="127"/>
        <v>0</v>
      </c>
      <c r="AW211" s="1371">
        <f t="shared" si="128"/>
        <v>0</v>
      </c>
      <c r="AX211" s="1371">
        <f t="shared" si="129"/>
        <v>0</v>
      </c>
      <c r="AY211" s="3321">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8">
        <f t="shared" si="151"/>
        <v>0</v>
      </c>
    </row>
    <row r="212" spans="1:72">
      <c r="A212" s="3273"/>
      <c r="B212" s="3274"/>
      <c r="C212" s="3274"/>
      <c r="D212" s="3275"/>
      <c r="E212" s="3276">
        <f t="shared" si="123"/>
        <v>0</v>
      </c>
      <c r="F212" s="3277"/>
      <c r="G212" s="3278">
        <f t="shared" si="124"/>
        <v>0</v>
      </c>
      <c r="H212" s="3279">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6">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1371">
        <f t="shared" si="127"/>
        <v>0</v>
      </c>
      <c r="AW212" s="1371">
        <f t="shared" si="128"/>
        <v>0</v>
      </c>
      <c r="AX212" s="1371">
        <f t="shared" si="129"/>
        <v>0</v>
      </c>
      <c r="AY212" s="3321">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8">
        <f t="shared" si="151"/>
        <v>0</v>
      </c>
    </row>
    <row r="213" spans="1:72">
      <c r="A213" s="3273"/>
      <c r="B213" s="3274"/>
      <c r="C213" s="3274"/>
      <c r="D213" s="3275"/>
      <c r="E213" s="3276">
        <f t="shared" si="123"/>
        <v>0</v>
      </c>
      <c r="F213" s="3277"/>
      <c r="G213" s="3278">
        <f t="shared" si="124"/>
        <v>0</v>
      </c>
      <c r="H213" s="3279">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6">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1371">
        <f t="shared" si="127"/>
        <v>0</v>
      </c>
      <c r="AW213" s="1371">
        <f t="shared" si="128"/>
        <v>0</v>
      </c>
      <c r="AX213" s="1371">
        <f t="shared" si="129"/>
        <v>0</v>
      </c>
      <c r="AY213" s="3321">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8">
        <f t="shared" si="151"/>
        <v>0</v>
      </c>
    </row>
    <row r="214" spans="1:72">
      <c r="A214" s="3273"/>
      <c r="B214" s="3274"/>
      <c r="C214" s="3274"/>
      <c r="D214" s="3275"/>
      <c r="E214" s="3276">
        <f t="shared" si="123"/>
        <v>0</v>
      </c>
      <c r="F214" s="3277"/>
      <c r="G214" s="3278">
        <f t="shared" si="124"/>
        <v>0</v>
      </c>
      <c r="H214" s="3279">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6">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1371">
        <f t="shared" si="127"/>
        <v>0</v>
      </c>
      <c r="AW214" s="1371">
        <f t="shared" si="128"/>
        <v>0</v>
      </c>
      <c r="AX214" s="1371">
        <f t="shared" si="129"/>
        <v>0</v>
      </c>
      <c r="AY214" s="3321">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8">
        <f t="shared" si="151"/>
        <v>0</v>
      </c>
    </row>
    <row r="215" spans="1:72">
      <c r="A215" s="3273"/>
      <c r="B215" s="3274"/>
      <c r="C215" s="3274"/>
      <c r="D215" s="3275"/>
      <c r="E215" s="3276">
        <f t="shared" si="123"/>
        <v>0</v>
      </c>
      <c r="F215" s="3277"/>
      <c r="G215" s="3278">
        <f t="shared" si="124"/>
        <v>0</v>
      </c>
      <c r="H215" s="3279">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6">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1371">
        <f t="shared" si="127"/>
        <v>0</v>
      </c>
      <c r="AW215" s="1371">
        <f t="shared" si="128"/>
        <v>0</v>
      </c>
      <c r="AX215" s="1371">
        <f t="shared" si="129"/>
        <v>0</v>
      </c>
      <c r="AY215" s="3321">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8">
        <f t="shared" si="151"/>
        <v>0</v>
      </c>
    </row>
    <row r="216" spans="1:72">
      <c r="A216" s="3273"/>
      <c r="B216" s="3274"/>
      <c r="C216" s="3274"/>
      <c r="D216" s="3275"/>
      <c r="E216" s="3276">
        <f t="shared" si="123"/>
        <v>0</v>
      </c>
      <c r="F216" s="3277"/>
      <c r="G216" s="3278">
        <f t="shared" si="124"/>
        <v>0</v>
      </c>
      <c r="H216" s="3279">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6">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1371">
        <f t="shared" si="127"/>
        <v>0</v>
      </c>
      <c r="AW216" s="1371">
        <f t="shared" si="128"/>
        <v>0</v>
      </c>
      <c r="AX216" s="1371">
        <f t="shared" si="129"/>
        <v>0</v>
      </c>
      <c r="AY216" s="3321">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8">
        <f t="shared" si="151"/>
        <v>0</v>
      </c>
    </row>
    <row r="217" spans="1:72">
      <c r="A217" s="3273"/>
      <c r="B217" s="3274"/>
      <c r="C217" s="3274"/>
      <c r="D217" s="3275"/>
      <c r="E217" s="3276">
        <f t="shared" si="123"/>
        <v>0</v>
      </c>
      <c r="F217" s="3277"/>
      <c r="G217" s="3278">
        <f t="shared" si="124"/>
        <v>0</v>
      </c>
      <c r="H217" s="3279">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6">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1371">
        <f t="shared" si="127"/>
        <v>0</v>
      </c>
      <c r="AW217" s="1371">
        <f t="shared" si="128"/>
        <v>0</v>
      </c>
      <c r="AX217" s="1371">
        <f t="shared" si="129"/>
        <v>0</v>
      </c>
      <c r="AY217" s="3321">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8">
        <f t="shared" si="151"/>
        <v>0</v>
      </c>
    </row>
    <row r="218" spans="1:72">
      <c r="A218" s="3273"/>
      <c r="B218" s="3274"/>
      <c r="C218" s="3274"/>
      <c r="D218" s="3275"/>
      <c r="E218" s="3276">
        <f t="shared" si="123"/>
        <v>0</v>
      </c>
      <c r="F218" s="3277"/>
      <c r="G218" s="3278">
        <f t="shared" si="124"/>
        <v>0</v>
      </c>
      <c r="H218" s="3279">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6">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1371">
        <f t="shared" si="127"/>
        <v>0</v>
      </c>
      <c r="AW218" s="1371">
        <f t="shared" si="128"/>
        <v>0</v>
      </c>
      <c r="AX218" s="1371">
        <f t="shared" si="129"/>
        <v>0</v>
      </c>
      <c r="AY218" s="3321">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8">
        <f t="shared" si="151"/>
        <v>0</v>
      </c>
    </row>
    <row r="219" spans="1:72">
      <c r="A219" s="3273"/>
      <c r="B219" s="3274"/>
      <c r="C219" s="3274"/>
      <c r="D219" s="3275"/>
      <c r="E219" s="3276">
        <f t="shared" si="123"/>
        <v>0</v>
      </c>
      <c r="F219" s="3277"/>
      <c r="G219" s="3278">
        <f t="shared" si="124"/>
        <v>0</v>
      </c>
      <c r="H219" s="3279">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6">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1371">
        <f t="shared" si="127"/>
        <v>0</v>
      </c>
      <c r="AW219" s="1371">
        <f t="shared" si="128"/>
        <v>0</v>
      </c>
      <c r="AX219" s="1371">
        <f t="shared" si="129"/>
        <v>0</v>
      </c>
      <c r="AY219" s="3321">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8">
        <f t="shared" si="151"/>
        <v>0</v>
      </c>
    </row>
    <row r="220" spans="1:72">
      <c r="A220" s="3273"/>
      <c r="B220" s="3274"/>
      <c r="C220" s="3274"/>
      <c r="D220" s="3275"/>
      <c r="E220" s="3276">
        <f t="shared" si="123"/>
        <v>0</v>
      </c>
      <c r="F220" s="3277"/>
      <c r="G220" s="3278">
        <f t="shared" si="124"/>
        <v>0</v>
      </c>
      <c r="H220" s="3279">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6">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1371">
        <f t="shared" si="127"/>
        <v>0</v>
      </c>
      <c r="AW220" s="1371">
        <f t="shared" si="128"/>
        <v>0</v>
      </c>
      <c r="AX220" s="1371">
        <f t="shared" si="129"/>
        <v>0</v>
      </c>
      <c r="AY220" s="3321">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8">
        <f t="shared" si="151"/>
        <v>0</v>
      </c>
    </row>
    <row r="221" spans="1:72">
      <c r="A221" s="3273"/>
      <c r="B221" s="3274"/>
      <c r="C221" s="3274"/>
      <c r="D221" s="3275"/>
      <c r="E221" s="3276">
        <f t="shared" si="123"/>
        <v>0</v>
      </c>
      <c r="F221" s="3277"/>
      <c r="G221" s="3278">
        <f t="shared" si="124"/>
        <v>0</v>
      </c>
      <c r="H221" s="3279">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6">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1371">
        <f t="shared" si="127"/>
        <v>0</v>
      </c>
      <c r="AW221" s="1371">
        <f t="shared" si="128"/>
        <v>0</v>
      </c>
      <c r="AX221" s="1371">
        <f t="shared" si="129"/>
        <v>0</v>
      </c>
      <c r="AY221" s="3321">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8">
        <f t="shared" si="151"/>
        <v>0</v>
      </c>
    </row>
    <row r="222" spans="1:72">
      <c r="A222" s="3273"/>
      <c r="B222" s="3274"/>
      <c r="C222" s="3274"/>
      <c r="D222" s="3275"/>
      <c r="E222" s="3276">
        <f t="shared" si="123"/>
        <v>0</v>
      </c>
      <c r="F222" s="3277"/>
      <c r="G222" s="3278">
        <f t="shared" si="124"/>
        <v>0</v>
      </c>
      <c r="H222" s="3279">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6">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1371">
        <f t="shared" si="127"/>
        <v>0</v>
      </c>
      <c r="AW222" s="1371">
        <f t="shared" si="128"/>
        <v>0</v>
      </c>
      <c r="AX222" s="1371">
        <f t="shared" si="129"/>
        <v>0</v>
      </c>
      <c r="AY222" s="3321">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8">
        <f t="shared" si="151"/>
        <v>0</v>
      </c>
    </row>
    <row r="223" spans="1:72">
      <c r="A223" s="3273"/>
      <c r="B223" s="3274"/>
      <c r="C223" s="3274"/>
      <c r="D223" s="3275"/>
      <c r="E223" s="3276">
        <f t="shared" si="123"/>
        <v>0</v>
      </c>
      <c r="F223" s="3277"/>
      <c r="G223" s="3278">
        <f t="shared" si="124"/>
        <v>0</v>
      </c>
      <c r="H223" s="3279">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6">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1371">
        <f t="shared" si="127"/>
        <v>0</v>
      </c>
      <c r="AW223" s="1371">
        <f t="shared" si="128"/>
        <v>0</v>
      </c>
      <c r="AX223" s="1371">
        <f t="shared" si="129"/>
        <v>0</v>
      </c>
      <c r="AY223" s="3321">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8">
        <f t="shared" si="151"/>
        <v>0</v>
      </c>
    </row>
    <row r="224" spans="1:72">
      <c r="A224" s="3273"/>
      <c r="B224" s="3274"/>
      <c r="C224" s="3274"/>
      <c r="D224" s="3275"/>
      <c r="E224" s="3276">
        <f t="shared" si="123"/>
        <v>0</v>
      </c>
      <c r="F224" s="3277"/>
      <c r="G224" s="3278">
        <f t="shared" si="124"/>
        <v>0</v>
      </c>
      <c r="H224" s="3279">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6">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1371">
        <f t="shared" si="127"/>
        <v>0</v>
      </c>
      <c r="AW224" s="1371">
        <f t="shared" si="128"/>
        <v>0</v>
      </c>
      <c r="AX224" s="1371">
        <f t="shared" si="129"/>
        <v>0</v>
      </c>
      <c r="AY224" s="3321">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8">
        <f t="shared" si="151"/>
        <v>0</v>
      </c>
    </row>
    <row r="225" spans="1:72">
      <c r="A225" s="3273"/>
      <c r="B225" s="3274"/>
      <c r="C225" s="3274"/>
      <c r="D225" s="3275"/>
      <c r="E225" s="3276">
        <f t="shared" si="123"/>
        <v>0</v>
      </c>
      <c r="F225" s="3277"/>
      <c r="G225" s="3278">
        <f t="shared" si="124"/>
        <v>0</v>
      </c>
      <c r="H225" s="3279">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6">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1371">
        <f t="shared" si="127"/>
        <v>0</v>
      </c>
      <c r="AW225" s="1371">
        <f t="shared" si="128"/>
        <v>0</v>
      </c>
      <c r="AX225" s="1371">
        <f t="shared" si="129"/>
        <v>0</v>
      </c>
      <c r="AY225" s="3321">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8">
        <f t="shared" si="151"/>
        <v>0</v>
      </c>
    </row>
    <row r="226" spans="1:72">
      <c r="A226" s="3273"/>
      <c r="B226" s="3274"/>
      <c r="C226" s="3274"/>
      <c r="D226" s="3275"/>
      <c r="E226" s="3276">
        <f t="shared" si="123"/>
        <v>0</v>
      </c>
      <c r="F226" s="3277"/>
      <c r="G226" s="3278">
        <f t="shared" si="124"/>
        <v>0</v>
      </c>
      <c r="H226" s="3279">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6">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1371">
        <f t="shared" si="127"/>
        <v>0</v>
      </c>
      <c r="AW226" s="1371">
        <f t="shared" si="128"/>
        <v>0</v>
      </c>
      <c r="AX226" s="1371">
        <f t="shared" si="129"/>
        <v>0</v>
      </c>
      <c r="AY226" s="3321">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8">
        <f t="shared" si="151"/>
        <v>0</v>
      </c>
    </row>
    <row r="227" spans="1:72">
      <c r="A227" s="3273"/>
      <c r="B227" s="3274"/>
      <c r="C227" s="3274"/>
      <c r="D227" s="3275"/>
      <c r="E227" s="3276">
        <f t="shared" si="123"/>
        <v>0</v>
      </c>
      <c r="F227" s="3277"/>
      <c r="G227" s="3278">
        <f t="shared" si="124"/>
        <v>0</v>
      </c>
      <c r="H227" s="3279">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6">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1371">
        <f t="shared" si="127"/>
        <v>0</v>
      </c>
      <c r="AW227" s="1371">
        <f t="shared" si="128"/>
        <v>0</v>
      </c>
      <c r="AX227" s="1371">
        <f t="shared" si="129"/>
        <v>0</v>
      </c>
      <c r="AY227" s="3321">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8">
        <f t="shared" si="151"/>
        <v>0</v>
      </c>
    </row>
    <row r="228" spans="1:72">
      <c r="A228" s="3273"/>
      <c r="B228" s="3274"/>
      <c r="C228" s="3274"/>
      <c r="D228" s="3275"/>
      <c r="E228" s="3276">
        <f t="shared" si="123"/>
        <v>0</v>
      </c>
      <c r="F228" s="3277"/>
      <c r="G228" s="3278">
        <f t="shared" si="124"/>
        <v>0</v>
      </c>
      <c r="H228" s="3279">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6">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1371">
        <f t="shared" si="127"/>
        <v>0</v>
      </c>
      <c r="AW228" s="1371">
        <f t="shared" si="128"/>
        <v>0</v>
      </c>
      <c r="AX228" s="1371">
        <f t="shared" si="129"/>
        <v>0</v>
      </c>
      <c r="AY228" s="3321">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8">
        <f t="shared" si="151"/>
        <v>0</v>
      </c>
    </row>
    <row r="229" spans="1:72">
      <c r="A229" s="3273"/>
      <c r="B229" s="3274"/>
      <c r="C229" s="3274"/>
      <c r="D229" s="3275"/>
      <c r="E229" s="3276">
        <f t="shared" si="123"/>
        <v>0</v>
      </c>
      <c r="F229" s="3277"/>
      <c r="G229" s="3278">
        <f t="shared" si="124"/>
        <v>0</v>
      </c>
      <c r="H229" s="3279">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6">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1371">
        <f t="shared" si="127"/>
        <v>0</v>
      </c>
      <c r="AW229" s="1371">
        <f t="shared" si="128"/>
        <v>0</v>
      </c>
      <c r="AX229" s="1371">
        <f t="shared" si="129"/>
        <v>0</v>
      </c>
      <c r="AY229" s="3321">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8">
        <f t="shared" si="151"/>
        <v>0</v>
      </c>
    </row>
    <row r="230" spans="1:72">
      <c r="A230" s="3273"/>
      <c r="B230" s="3274"/>
      <c r="C230" s="3274"/>
      <c r="D230" s="3275"/>
      <c r="E230" s="3276">
        <f t="shared" si="123"/>
        <v>0</v>
      </c>
      <c r="F230" s="3277"/>
      <c r="G230" s="3278">
        <f t="shared" si="124"/>
        <v>0</v>
      </c>
      <c r="H230" s="3279">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6">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1371">
        <f t="shared" si="127"/>
        <v>0</v>
      </c>
      <c r="AW230" s="1371">
        <f t="shared" si="128"/>
        <v>0</v>
      </c>
      <c r="AX230" s="1371">
        <f t="shared" si="129"/>
        <v>0</v>
      </c>
      <c r="AY230" s="3321">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8">
        <f t="shared" si="151"/>
        <v>0</v>
      </c>
    </row>
    <row r="231" spans="1:72">
      <c r="A231" s="3273"/>
      <c r="B231" s="3274"/>
      <c r="C231" s="3274"/>
      <c r="D231" s="3275"/>
      <c r="E231" s="3276">
        <f t="shared" si="123"/>
        <v>0</v>
      </c>
      <c r="F231" s="3277"/>
      <c r="G231" s="3278">
        <f t="shared" si="124"/>
        <v>0</v>
      </c>
      <c r="H231" s="3279">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6">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1371">
        <f t="shared" si="127"/>
        <v>0</v>
      </c>
      <c r="AW231" s="1371">
        <f t="shared" si="128"/>
        <v>0</v>
      </c>
      <c r="AX231" s="1371">
        <f t="shared" si="129"/>
        <v>0</v>
      </c>
      <c r="AY231" s="3321">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8">
        <f t="shared" si="151"/>
        <v>0</v>
      </c>
    </row>
    <row r="232" spans="1:72">
      <c r="A232" s="3273"/>
      <c r="B232" s="3274"/>
      <c r="C232" s="3274"/>
      <c r="D232" s="3275"/>
      <c r="E232" s="3276">
        <f t="shared" si="123"/>
        <v>0</v>
      </c>
      <c r="F232" s="3277"/>
      <c r="G232" s="3278">
        <f t="shared" si="124"/>
        <v>0</v>
      </c>
      <c r="H232" s="3279">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6">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1371">
        <f t="shared" si="127"/>
        <v>0</v>
      </c>
      <c r="AW232" s="1371">
        <f t="shared" si="128"/>
        <v>0</v>
      </c>
      <c r="AX232" s="1371">
        <f t="shared" si="129"/>
        <v>0</v>
      </c>
      <c r="AY232" s="3321">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8">
        <f t="shared" si="151"/>
        <v>0</v>
      </c>
    </row>
    <row r="233" spans="1:72">
      <c r="A233" s="3273"/>
      <c r="B233" s="3274"/>
      <c r="C233" s="3274"/>
      <c r="D233" s="3275"/>
      <c r="E233" s="3276">
        <f t="shared" si="123"/>
        <v>0</v>
      </c>
      <c r="F233" s="3277"/>
      <c r="G233" s="3278">
        <f t="shared" si="124"/>
        <v>0</v>
      </c>
      <c r="H233" s="3279">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6">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1371">
        <f t="shared" si="127"/>
        <v>0</v>
      </c>
      <c r="AW233" s="1371">
        <f t="shared" si="128"/>
        <v>0</v>
      </c>
      <c r="AX233" s="1371">
        <f t="shared" si="129"/>
        <v>0</v>
      </c>
      <c r="AY233" s="3321">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8">
        <f t="shared" si="151"/>
        <v>0</v>
      </c>
    </row>
    <row r="234" spans="1:72">
      <c r="A234" s="3273"/>
      <c r="B234" s="3274"/>
      <c r="C234" s="3274"/>
      <c r="D234" s="3275"/>
      <c r="E234" s="3276">
        <f t="shared" si="123"/>
        <v>0</v>
      </c>
      <c r="F234" s="3277"/>
      <c r="G234" s="3278">
        <f t="shared" si="124"/>
        <v>0</v>
      </c>
      <c r="H234" s="3279">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6">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1371">
        <f t="shared" si="127"/>
        <v>0</v>
      </c>
      <c r="AW234" s="1371">
        <f t="shared" si="128"/>
        <v>0</v>
      </c>
      <c r="AX234" s="1371">
        <f t="shared" si="129"/>
        <v>0</v>
      </c>
      <c r="AY234" s="3321">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8">
        <f t="shared" si="151"/>
        <v>0</v>
      </c>
    </row>
    <row r="235" spans="1:72">
      <c r="A235" s="3273"/>
      <c r="B235" s="3274"/>
      <c r="C235" s="3274"/>
      <c r="D235" s="3275"/>
      <c r="E235" s="3276">
        <f t="shared" si="123"/>
        <v>0</v>
      </c>
      <c r="F235" s="3277"/>
      <c r="G235" s="3278">
        <f t="shared" si="124"/>
        <v>0</v>
      </c>
      <c r="H235" s="3279">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6">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1371">
        <f t="shared" si="127"/>
        <v>0</v>
      </c>
      <c r="AW235" s="1371">
        <f t="shared" si="128"/>
        <v>0</v>
      </c>
      <c r="AX235" s="1371">
        <f t="shared" si="129"/>
        <v>0</v>
      </c>
      <c r="AY235" s="3321">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8">
        <f t="shared" si="151"/>
        <v>0</v>
      </c>
    </row>
    <row r="236" spans="1:72">
      <c r="A236" s="3273"/>
      <c r="B236" s="3274"/>
      <c r="C236" s="3274"/>
      <c r="D236" s="3275"/>
      <c r="E236" s="3276">
        <f t="shared" si="123"/>
        <v>0</v>
      </c>
      <c r="F236" s="3277"/>
      <c r="G236" s="3278">
        <f t="shared" si="124"/>
        <v>0</v>
      </c>
      <c r="H236" s="3279">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6">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1371">
        <f t="shared" si="127"/>
        <v>0</v>
      </c>
      <c r="AW236" s="1371">
        <f t="shared" si="128"/>
        <v>0</v>
      </c>
      <c r="AX236" s="1371">
        <f t="shared" si="129"/>
        <v>0</v>
      </c>
      <c r="AY236" s="3321">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8">
        <f t="shared" si="151"/>
        <v>0</v>
      </c>
    </row>
    <row r="237" spans="1:72">
      <c r="A237" s="3273"/>
      <c r="B237" s="3274"/>
      <c r="C237" s="3274"/>
      <c r="D237" s="3275"/>
      <c r="E237" s="3276">
        <f t="shared" si="123"/>
        <v>0</v>
      </c>
      <c r="F237" s="3277"/>
      <c r="G237" s="3278">
        <f t="shared" si="124"/>
        <v>0</v>
      </c>
      <c r="H237" s="3279">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6">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1371">
        <f t="shared" si="127"/>
        <v>0</v>
      </c>
      <c r="AW237" s="1371">
        <f t="shared" si="128"/>
        <v>0</v>
      </c>
      <c r="AX237" s="1371">
        <f t="shared" si="129"/>
        <v>0</v>
      </c>
      <c r="AY237" s="3321">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8">
        <f t="shared" si="151"/>
        <v>0</v>
      </c>
    </row>
    <row r="238" spans="1:72">
      <c r="A238" s="3273"/>
      <c r="B238" s="3274"/>
      <c r="C238" s="3274"/>
      <c r="D238" s="3275"/>
      <c r="E238" s="3276">
        <f t="shared" si="123"/>
        <v>0</v>
      </c>
      <c r="F238" s="3277"/>
      <c r="G238" s="3278">
        <f t="shared" si="124"/>
        <v>0</v>
      </c>
      <c r="H238" s="3279">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6">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1371">
        <f t="shared" si="127"/>
        <v>0</v>
      </c>
      <c r="AW238" s="1371">
        <f t="shared" si="128"/>
        <v>0</v>
      </c>
      <c r="AX238" s="1371">
        <f t="shared" si="129"/>
        <v>0</v>
      </c>
      <c r="AY238" s="3321">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8">
        <f t="shared" si="151"/>
        <v>0</v>
      </c>
    </row>
    <row r="239" spans="1:72">
      <c r="A239" s="3273"/>
      <c r="B239" s="3274"/>
      <c r="C239" s="3274"/>
      <c r="D239" s="3275"/>
      <c r="E239" s="3276">
        <f t="shared" si="123"/>
        <v>0</v>
      </c>
      <c r="F239" s="3277"/>
      <c r="G239" s="3278">
        <f t="shared" si="124"/>
        <v>0</v>
      </c>
      <c r="H239" s="3279">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6">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1371">
        <f t="shared" si="127"/>
        <v>0</v>
      </c>
      <c r="AW239" s="1371">
        <f t="shared" si="128"/>
        <v>0</v>
      </c>
      <c r="AX239" s="1371">
        <f t="shared" si="129"/>
        <v>0</v>
      </c>
      <c r="AY239" s="3321">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8">
        <f t="shared" si="151"/>
        <v>0</v>
      </c>
    </row>
    <row r="240" spans="1:72">
      <c r="A240" s="3273"/>
      <c r="B240" s="3274"/>
      <c r="C240" s="3274"/>
      <c r="D240" s="3275"/>
      <c r="E240" s="3276">
        <f t="shared" si="123"/>
        <v>0</v>
      </c>
      <c r="F240" s="3277"/>
      <c r="G240" s="3278">
        <f t="shared" si="124"/>
        <v>0</v>
      </c>
      <c r="H240" s="3279">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6">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1371">
        <f t="shared" si="127"/>
        <v>0</v>
      </c>
      <c r="AW240" s="1371">
        <f t="shared" si="128"/>
        <v>0</v>
      </c>
      <c r="AX240" s="1371">
        <f t="shared" si="129"/>
        <v>0</v>
      </c>
      <c r="AY240" s="3321">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8">
        <f t="shared" si="151"/>
        <v>0</v>
      </c>
    </row>
    <row r="241" spans="1:72">
      <c r="A241" s="3273"/>
      <c r="B241" s="3274"/>
      <c r="C241" s="3274"/>
      <c r="D241" s="3275"/>
      <c r="E241" s="3276">
        <f t="shared" si="123"/>
        <v>0</v>
      </c>
      <c r="F241" s="3277"/>
      <c r="G241" s="3278">
        <f t="shared" si="124"/>
        <v>0</v>
      </c>
      <c r="H241" s="3279">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6">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1371">
        <f t="shared" si="127"/>
        <v>0</v>
      </c>
      <c r="AW241" s="1371">
        <f t="shared" si="128"/>
        <v>0</v>
      </c>
      <c r="AX241" s="1371">
        <f t="shared" si="129"/>
        <v>0</v>
      </c>
      <c r="AY241" s="3321">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8">
        <f t="shared" si="151"/>
        <v>0</v>
      </c>
    </row>
    <row r="242" spans="1:72">
      <c r="A242" s="3273"/>
      <c r="B242" s="3274"/>
      <c r="C242" s="3274"/>
      <c r="D242" s="3275"/>
      <c r="E242" s="3276">
        <f t="shared" si="123"/>
        <v>0</v>
      </c>
      <c r="F242" s="3277"/>
      <c r="G242" s="3278">
        <f t="shared" si="124"/>
        <v>0</v>
      </c>
      <c r="H242" s="3279">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6">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1371">
        <f t="shared" si="127"/>
        <v>0</v>
      </c>
      <c r="AW242" s="1371">
        <f t="shared" si="128"/>
        <v>0</v>
      </c>
      <c r="AX242" s="1371">
        <f t="shared" si="129"/>
        <v>0</v>
      </c>
      <c r="AY242" s="3321">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8">
        <f t="shared" si="151"/>
        <v>0</v>
      </c>
    </row>
    <row r="243" spans="1:72">
      <c r="A243" s="3273"/>
      <c r="B243" s="3274"/>
      <c r="C243" s="3274"/>
      <c r="D243" s="3275"/>
      <c r="E243" s="3276">
        <f t="shared" si="123"/>
        <v>0</v>
      </c>
      <c r="F243" s="3277"/>
      <c r="G243" s="3278">
        <f t="shared" si="124"/>
        <v>0</v>
      </c>
      <c r="H243" s="3279">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6">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1371">
        <f t="shared" si="127"/>
        <v>0</v>
      </c>
      <c r="AW243" s="1371">
        <f t="shared" si="128"/>
        <v>0</v>
      </c>
      <c r="AX243" s="1371">
        <f t="shared" si="129"/>
        <v>0</v>
      </c>
      <c r="AY243" s="3321">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8">
        <f t="shared" si="151"/>
        <v>0</v>
      </c>
    </row>
    <row r="244" spans="1:72">
      <c r="A244" s="3273"/>
      <c r="B244" s="3274"/>
      <c r="C244" s="3274"/>
      <c r="D244" s="3275"/>
      <c r="E244" s="3276">
        <f t="shared" si="123"/>
        <v>0</v>
      </c>
      <c r="F244" s="3277"/>
      <c r="G244" s="3278">
        <f t="shared" si="124"/>
        <v>0</v>
      </c>
      <c r="H244" s="3279">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6">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1371">
        <f t="shared" si="127"/>
        <v>0</v>
      </c>
      <c r="AW244" s="1371">
        <f t="shared" si="128"/>
        <v>0</v>
      </c>
      <c r="AX244" s="1371">
        <f t="shared" si="129"/>
        <v>0</v>
      </c>
      <c r="AY244" s="3321">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8">
        <f t="shared" si="151"/>
        <v>0</v>
      </c>
    </row>
    <row r="245" spans="1:72">
      <c r="A245" s="3273"/>
      <c r="B245" s="3274"/>
      <c r="C245" s="3274"/>
      <c r="D245" s="3275"/>
      <c r="E245" s="3276">
        <f t="shared" si="123"/>
        <v>0</v>
      </c>
      <c r="F245" s="3277"/>
      <c r="G245" s="3278">
        <f t="shared" si="124"/>
        <v>0</v>
      </c>
      <c r="H245" s="3279">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6">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1371">
        <f t="shared" si="127"/>
        <v>0</v>
      </c>
      <c r="AW245" s="1371">
        <f t="shared" si="128"/>
        <v>0</v>
      </c>
      <c r="AX245" s="1371">
        <f t="shared" si="129"/>
        <v>0</v>
      </c>
      <c r="AY245" s="3321">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8">
        <f t="shared" si="151"/>
        <v>0</v>
      </c>
    </row>
    <row r="246" spans="1:72">
      <c r="A246" s="3273"/>
      <c r="B246" s="3274"/>
      <c r="C246" s="3274"/>
      <c r="D246" s="3275"/>
      <c r="E246" s="3276">
        <f t="shared" si="123"/>
        <v>0</v>
      </c>
      <c r="F246" s="3277"/>
      <c r="G246" s="3278">
        <f t="shared" si="124"/>
        <v>0</v>
      </c>
      <c r="H246" s="3279">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6">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1371">
        <f t="shared" si="127"/>
        <v>0</v>
      </c>
      <c r="AW246" s="1371">
        <f t="shared" si="128"/>
        <v>0</v>
      </c>
      <c r="AX246" s="1371">
        <f t="shared" si="129"/>
        <v>0</v>
      </c>
      <c r="AY246" s="3321">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8">
        <f t="shared" si="151"/>
        <v>0</v>
      </c>
    </row>
    <row r="247" spans="1:72">
      <c r="A247" s="3273"/>
      <c r="B247" s="3274"/>
      <c r="C247" s="3274"/>
      <c r="D247" s="3275"/>
      <c r="E247" s="3276">
        <f t="shared" si="123"/>
        <v>0</v>
      </c>
      <c r="F247" s="3277"/>
      <c r="G247" s="3278">
        <f t="shared" si="124"/>
        <v>0</v>
      </c>
      <c r="H247" s="3279">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6">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1371">
        <f t="shared" si="127"/>
        <v>0</v>
      </c>
      <c r="AW247" s="1371">
        <f t="shared" si="128"/>
        <v>0</v>
      </c>
      <c r="AX247" s="1371">
        <f t="shared" si="129"/>
        <v>0</v>
      </c>
      <c r="AY247" s="3321">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8">
        <f t="shared" si="151"/>
        <v>0</v>
      </c>
    </row>
    <row r="248" spans="1:72">
      <c r="A248" s="3273"/>
      <c r="B248" s="3274"/>
      <c r="C248" s="3274"/>
      <c r="D248" s="3275"/>
      <c r="E248" s="3276">
        <f t="shared" si="123"/>
        <v>0</v>
      </c>
      <c r="F248" s="3277"/>
      <c r="G248" s="3278">
        <f t="shared" si="124"/>
        <v>0</v>
      </c>
      <c r="H248" s="3279">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6">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1371">
        <f t="shared" si="127"/>
        <v>0</v>
      </c>
      <c r="AW248" s="1371">
        <f t="shared" si="128"/>
        <v>0</v>
      </c>
      <c r="AX248" s="1371">
        <f t="shared" si="129"/>
        <v>0</v>
      </c>
      <c r="AY248" s="3321">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8">
        <f t="shared" si="151"/>
        <v>0</v>
      </c>
    </row>
    <row r="249" spans="1:72">
      <c r="A249" s="3273"/>
      <c r="B249" s="3274"/>
      <c r="C249" s="3274"/>
      <c r="D249" s="3275"/>
      <c r="E249" s="3276">
        <f t="shared" si="123"/>
        <v>0</v>
      </c>
      <c r="F249" s="3277"/>
      <c r="G249" s="3278">
        <f t="shared" si="124"/>
        <v>0</v>
      </c>
      <c r="H249" s="3279">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6">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1371">
        <f t="shared" si="127"/>
        <v>0</v>
      </c>
      <c r="AW249" s="1371">
        <f t="shared" si="128"/>
        <v>0</v>
      </c>
      <c r="AX249" s="1371">
        <f t="shared" si="129"/>
        <v>0</v>
      </c>
      <c r="AY249" s="3321">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8">
        <f t="shared" si="151"/>
        <v>0</v>
      </c>
    </row>
    <row r="250" spans="1:72">
      <c r="A250" s="3273"/>
      <c r="B250" s="3274"/>
      <c r="C250" s="3274"/>
      <c r="D250" s="3275"/>
      <c r="E250" s="3276">
        <f t="shared" si="123"/>
        <v>0</v>
      </c>
      <c r="F250" s="3277"/>
      <c r="G250" s="3278">
        <f t="shared" si="124"/>
        <v>0</v>
      </c>
      <c r="H250" s="3279">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6">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1371">
        <f t="shared" si="127"/>
        <v>0</v>
      </c>
      <c r="AW250" s="1371">
        <f t="shared" si="128"/>
        <v>0</v>
      </c>
      <c r="AX250" s="1371">
        <f t="shared" si="129"/>
        <v>0</v>
      </c>
      <c r="AY250" s="3321">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8">
        <f t="shared" si="151"/>
        <v>0</v>
      </c>
    </row>
    <row r="251" spans="1:72">
      <c r="A251" s="3273"/>
      <c r="B251" s="3274"/>
      <c r="C251" s="3274"/>
      <c r="D251" s="3275"/>
      <c r="E251" s="3276">
        <f t="shared" si="123"/>
        <v>0</v>
      </c>
      <c r="F251" s="3277"/>
      <c r="G251" s="3278">
        <f t="shared" si="124"/>
        <v>0</v>
      </c>
      <c r="H251" s="3279">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6">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1371">
        <f t="shared" si="127"/>
        <v>0</v>
      </c>
      <c r="AW251" s="1371">
        <f t="shared" si="128"/>
        <v>0</v>
      </c>
      <c r="AX251" s="1371">
        <f t="shared" si="129"/>
        <v>0</v>
      </c>
      <c r="AY251" s="3321">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8">
        <f t="shared" si="151"/>
        <v>0</v>
      </c>
    </row>
    <row r="252" spans="1:72">
      <c r="A252" s="3273"/>
      <c r="B252" s="3274"/>
      <c r="C252" s="3274"/>
      <c r="D252" s="3275"/>
      <c r="E252" s="3276">
        <f t="shared" si="123"/>
        <v>0</v>
      </c>
      <c r="F252" s="3277"/>
      <c r="G252" s="3278">
        <f t="shared" si="124"/>
        <v>0</v>
      </c>
      <c r="H252" s="3279">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6">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1371">
        <f t="shared" si="127"/>
        <v>0</v>
      </c>
      <c r="AW252" s="1371">
        <f t="shared" si="128"/>
        <v>0</v>
      </c>
      <c r="AX252" s="1371">
        <f t="shared" si="129"/>
        <v>0</v>
      </c>
      <c r="AY252" s="3321">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8">
        <f t="shared" si="151"/>
        <v>0</v>
      </c>
    </row>
    <row r="253" spans="1:72">
      <c r="A253" s="3273"/>
      <c r="B253" s="3274"/>
      <c r="C253" s="3274"/>
      <c r="D253" s="3275"/>
      <c r="E253" s="3276">
        <f t="shared" si="123"/>
        <v>0</v>
      </c>
      <c r="F253" s="3277"/>
      <c r="G253" s="3278">
        <f t="shared" si="124"/>
        <v>0</v>
      </c>
      <c r="H253" s="3279">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6">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1371">
        <f t="shared" si="127"/>
        <v>0</v>
      </c>
      <c r="AW253" s="1371">
        <f t="shared" si="128"/>
        <v>0</v>
      </c>
      <c r="AX253" s="1371">
        <f t="shared" si="129"/>
        <v>0</v>
      </c>
      <c r="AY253" s="3321">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8">
        <f t="shared" si="151"/>
        <v>0</v>
      </c>
    </row>
    <row r="254" spans="1:72">
      <c r="A254" s="3273"/>
      <c r="B254" s="3274"/>
      <c r="C254" s="3274"/>
      <c r="D254" s="3275"/>
      <c r="E254" s="3276">
        <f t="shared" si="123"/>
        <v>0</v>
      </c>
      <c r="F254" s="3277"/>
      <c r="G254" s="3278">
        <f t="shared" si="124"/>
        <v>0</v>
      </c>
      <c r="H254" s="3279">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6">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1371">
        <f t="shared" si="127"/>
        <v>0</v>
      </c>
      <c r="AW254" s="1371">
        <f t="shared" si="128"/>
        <v>0</v>
      </c>
      <c r="AX254" s="1371">
        <f t="shared" si="129"/>
        <v>0</v>
      </c>
      <c r="AY254" s="3321">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8">
        <f t="shared" si="151"/>
        <v>0</v>
      </c>
    </row>
    <row r="255" spans="1:72">
      <c r="A255" s="3273"/>
      <c r="B255" s="3274"/>
      <c r="C255" s="3274"/>
      <c r="D255" s="3275"/>
      <c r="E255" s="3276">
        <f t="shared" si="123"/>
        <v>0</v>
      </c>
      <c r="F255" s="3277"/>
      <c r="G255" s="3278">
        <f t="shared" si="124"/>
        <v>0</v>
      </c>
      <c r="H255" s="3279">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6">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1371">
        <f t="shared" si="127"/>
        <v>0</v>
      </c>
      <c r="AW255" s="1371">
        <f t="shared" si="128"/>
        <v>0</v>
      </c>
      <c r="AX255" s="1371">
        <f t="shared" si="129"/>
        <v>0</v>
      </c>
      <c r="AY255" s="3321">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8">
        <f t="shared" si="151"/>
        <v>0</v>
      </c>
    </row>
    <row r="256" spans="1:72">
      <c r="A256" s="3273"/>
      <c r="B256" s="3274"/>
      <c r="C256" s="3274"/>
      <c r="D256" s="3275"/>
      <c r="E256" s="3276">
        <f t="shared" si="123"/>
        <v>0</v>
      </c>
      <c r="F256" s="3277"/>
      <c r="G256" s="3278">
        <f t="shared" si="124"/>
        <v>0</v>
      </c>
      <c r="H256" s="3279">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6">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1371">
        <f t="shared" si="127"/>
        <v>0</v>
      </c>
      <c r="AW256" s="1371">
        <f t="shared" si="128"/>
        <v>0</v>
      </c>
      <c r="AX256" s="1371">
        <f t="shared" si="129"/>
        <v>0</v>
      </c>
      <c r="AY256" s="3321">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8">
        <f t="shared" si="151"/>
        <v>0</v>
      </c>
    </row>
    <row r="257" spans="1:72">
      <c r="A257" s="3273"/>
      <c r="B257" s="3274"/>
      <c r="C257" s="3274"/>
      <c r="D257" s="3275"/>
      <c r="E257" s="3276">
        <f t="shared" si="123"/>
        <v>0</v>
      </c>
      <c r="F257" s="3277"/>
      <c r="G257" s="3278">
        <f t="shared" si="124"/>
        <v>0</v>
      </c>
      <c r="H257" s="3279">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6">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1371">
        <f t="shared" si="127"/>
        <v>0</v>
      </c>
      <c r="AW257" s="1371">
        <f t="shared" si="128"/>
        <v>0</v>
      </c>
      <c r="AX257" s="1371">
        <f t="shared" si="129"/>
        <v>0</v>
      </c>
      <c r="AY257" s="3321">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8">
        <f t="shared" si="151"/>
        <v>0</v>
      </c>
    </row>
    <row r="258" spans="1:72">
      <c r="A258" s="3273"/>
      <c r="B258" s="3274"/>
      <c r="C258" s="3274"/>
      <c r="D258" s="3275"/>
      <c r="E258" s="3276">
        <f t="shared" si="123"/>
        <v>0</v>
      </c>
      <c r="F258" s="3277"/>
      <c r="G258" s="3278">
        <f t="shared" si="124"/>
        <v>0</v>
      </c>
      <c r="H258" s="3279">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6">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1371">
        <f t="shared" si="127"/>
        <v>0</v>
      </c>
      <c r="AW258" s="1371">
        <f t="shared" si="128"/>
        <v>0</v>
      </c>
      <c r="AX258" s="1371">
        <f t="shared" si="129"/>
        <v>0</v>
      </c>
      <c r="AY258" s="3321">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8">
        <f t="shared" si="151"/>
        <v>0</v>
      </c>
    </row>
    <row r="259" spans="1:72">
      <c r="A259" s="3273"/>
      <c r="B259" s="3274"/>
      <c r="C259" s="3274"/>
      <c r="D259" s="3275"/>
      <c r="E259" s="3276">
        <f t="shared" si="123"/>
        <v>0</v>
      </c>
      <c r="F259" s="3277"/>
      <c r="G259" s="3278">
        <f t="shared" si="124"/>
        <v>0</v>
      </c>
      <c r="H259" s="3279">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6">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1371">
        <f t="shared" si="127"/>
        <v>0</v>
      </c>
      <c r="AW259" s="1371">
        <f t="shared" si="128"/>
        <v>0</v>
      </c>
      <c r="AX259" s="1371">
        <f t="shared" si="129"/>
        <v>0</v>
      </c>
      <c r="AY259" s="3321">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8">
        <f t="shared" si="151"/>
        <v>0</v>
      </c>
    </row>
    <row r="260" spans="1:72">
      <c r="A260" s="3273"/>
      <c r="B260" s="3274"/>
      <c r="C260" s="3274"/>
      <c r="D260" s="3275"/>
      <c r="E260" s="3276">
        <f t="shared" si="123"/>
        <v>0</v>
      </c>
      <c r="F260" s="3277"/>
      <c r="G260" s="3278">
        <f t="shared" si="124"/>
        <v>0</v>
      </c>
      <c r="H260" s="3279">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6">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1371">
        <f t="shared" si="127"/>
        <v>0</v>
      </c>
      <c r="AW260" s="1371">
        <f t="shared" si="128"/>
        <v>0</v>
      </c>
      <c r="AX260" s="1371">
        <f t="shared" si="129"/>
        <v>0</v>
      </c>
      <c r="AY260" s="3321">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8">
        <f t="shared" si="151"/>
        <v>0</v>
      </c>
    </row>
    <row r="261" spans="1:72">
      <c r="A261" s="3273"/>
      <c r="B261" s="3274"/>
      <c r="C261" s="3274"/>
      <c r="D261" s="3275"/>
      <c r="E261" s="3276">
        <f t="shared" si="123"/>
        <v>0</v>
      </c>
      <c r="F261" s="3277"/>
      <c r="G261" s="3278">
        <f t="shared" si="124"/>
        <v>0</v>
      </c>
      <c r="H261" s="3279">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6">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1371">
        <f t="shared" si="127"/>
        <v>0</v>
      </c>
      <c r="AW261" s="1371">
        <f t="shared" si="128"/>
        <v>0</v>
      </c>
      <c r="AX261" s="1371">
        <f t="shared" si="129"/>
        <v>0</v>
      </c>
      <c r="AY261" s="3321">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8">
        <f t="shared" si="151"/>
        <v>0</v>
      </c>
    </row>
    <row r="262" spans="1:72">
      <c r="A262" s="3273"/>
      <c r="B262" s="3274"/>
      <c r="C262" s="3274"/>
      <c r="D262" s="3275"/>
      <c r="E262" s="3276">
        <f t="shared" si="123"/>
        <v>0</v>
      </c>
      <c r="F262" s="3277"/>
      <c r="G262" s="3278">
        <f t="shared" si="124"/>
        <v>0</v>
      </c>
      <c r="H262" s="3279">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6">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1371">
        <f t="shared" si="127"/>
        <v>0</v>
      </c>
      <c r="AW262" s="1371">
        <f t="shared" si="128"/>
        <v>0</v>
      </c>
      <c r="AX262" s="1371">
        <f t="shared" si="129"/>
        <v>0</v>
      </c>
      <c r="AY262" s="3321">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8">
        <f t="shared" si="151"/>
        <v>0</v>
      </c>
    </row>
    <row r="263" spans="1:72">
      <c r="A263" s="3273"/>
      <c r="B263" s="3274"/>
      <c r="C263" s="3274"/>
      <c r="D263" s="3275"/>
      <c r="E263" s="3276">
        <f t="shared" si="123"/>
        <v>0</v>
      </c>
      <c r="F263" s="3277"/>
      <c r="G263" s="3278">
        <f t="shared" si="124"/>
        <v>0</v>
      </c>
      <c r="H263" s="3279">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6">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1371">
        <f t="shared" si="127"/>
        <v>0</v>
      </c>
      <c r="AW263" s="1371">
        <f t="shared" si="128"/>
        <v>0</v>
      </c>
      <c r="AX263" s="1371">
        <f t="shared" si="129"/>
        <v>0</v>
      </c>
      <c r="AY263" s="3321">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8">
        <f t="shared" si="151"/>
        <v>0</v>
      </c>
    </row>
    <row r="264" spans="1:72">
      <c r="A264" s="3273"/>
      <c r="B264" s="3274"/>
      <c r="C264" s="3274"/>
      <c r="D264" s="3275"/>
      <c r="E264" s="3276">
        <f t="shared" si="123"/>
        <v>0</v>
      </c>
      <c r="F264" s="3277"/>
      <c r="G264" s="3278">
        <f t="shared" si="124"/>
        <v>0</v>
      </c>
      <c r="H264" s="3279">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6">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1371">
        <f t="shared" si="127"/>
        <v>0</v>
      </c>
      <c r="AW264" s="1371">
        <f t="shared" si="128"/>
        <v>0</v>
      </c>
      <c r="AX264" s="1371">
        <f t="shared" si="129"/>
        <v>0</v>
      </c>
      <c r="AY264" s="3321">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8">
        <f t="shared" si="151"/>
        <v>0</v>
      </c>
    </row>
    <row r="265" spans="1:72">
      <c r="A265" s="3273"/>
      <c r="B265" s="3274"/>
      <c r="C265" s="3274"/>
      <c r="D265" s="3275"/>
      <c r="E265" s="3276">
        <f t="shared" si="123"/>
        <v>0</v>
      </c>
      <c r="F265" s="3277"/>
      <c r="G265" s="3278">
        <f t="shared" si="124"/>
        <v>0</v>
      </c>
      <c r="H265" s="3279">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6">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1371">
        <f t="shared" si="127"/>
        <v>0</v>
      </c>
      <c r="AW265" s="1371">
        <f t="shared" si="128"/>
        <v>0</v>
      </c>
      <c r="AX265" s="1371">
        <f t="shared" si="129"/>
        <v>0</v>
      </c>
      <c r="AY265" s="3321">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8">
        <f t="shared" si="151"/>
        <v>0</v>
      </c>
    </row>
    <row r="266" spans="1:72">
      <c r="A266" s="3273"/>
      <c r="B266" s="3274"/>
      <c r="C266" s="3274"/>
      <c r="D266" s="3275"/>
      <c r="E266" s="3276">
        <f t="shared" si="123"/>
        <v>0</v>
      </c>
      <c r="F266" s="3277"/>
      <c r="G266" s="3278">
        <f t="shared" si="124"/>
        <v>0</v>
      </c>
      <c r="H266" s="3279">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6">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1371">
        <f t="shared" si="127"/>
        <v>0</v>
      </c>
      <c r="AW266" s="1371">
        <f t="shared" si="128"/>
        <v>0</v>
      </c>
      <c r="AX266" s="1371">
        <f t="shared" si="129"/>
        <v>0</v>
      </c>
      <c r="AY266" s="3321">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8">
        <f t="shared" si="151"/>
        <v>0</v>
      </c>
    </row>
    <row r="267" spans="1:72">
      <c r="A267" s="3273"/>
      <c r="B267" s="3274"/>
      <c r="C267" s="3274"/>
      <c r="D267" s="3275"/>
      <c r="E267" s="3276">
        <f t="shared" si="123"/>
        <v>0</v>
      </c>
      <c r="F267" s="3277"/>
      <c r="G267" s="3278">
        <f t="shared" si="124"/>
        <v>0</v>
      </c>
      <c r="H267" s="3279">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6">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1371">
        <f t="shared" si="127"/>
        <v>0</v>
      </c>
      <c r="AW267" s="1371">
        <f t="shared" si="128"/>
        <v>0</v>
      </c>
      <c r="AX267" s="1371">
        <f t="shared" si="129"/>
        <v>0</v>
      </c>
      <c r="AY267" s="3321">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8">
        <f t="shared" si="151"/>
        <v>0</v>
      </c>
    </row>
    <row r="268" spans="1:72">
      <c r="A268" s="3273"/>
      <c r="B268" s="3274"/>
      <c r="C268" s="3274"/>
      <c r="D268" s="3275"/>
      <c r="E268" s="3276">
        <f t="shared" si="123"/>
        <v>0</v>
      </c>
      <c r="F268" s="3277"/>
      <c r="G268" s="3278">
        <f t="shared" si="124"/>
        <v>0</v>
      </c>
      <c r="H268" s="3279">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6">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1371">
        <f t="shared" si="127"/>
        <v>0</v>
      </c>
      <c r="AW268" s="1371">
        <f t="shared" si="128"/>
        <v>0</v>
      </c>
      <c r="AX268" s="1371">
        <f t="shared" si="129"/>
        <v>0</v>
      </c>
      <c r="AY268" s="3321">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8">
        <f t="shared" si="151"/>
        <v>0</v>
      </c>
    </row>
    <row r="269" spans="1:72">
      <c r="A269" s="3273"/>
      <c r="B269" s="3274"/>
      <c r="C269" s="3274"/>
      <c r="D269" s="3275"/>
      <c r="E269" s="3276">
        <f t="shared" si="123"/>
        <v>0</v>
      </c>
      <c r="F269" s="3277"/>
      <c r="G269" s="3278">
        <f t="shared" si="124"/>
        <v>0</v>
      </c>
      <c r="H269" s="3279">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6">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1371">
        <f t="shared" si="127"/>
        <v>0</v>
      </c>
      <c r="AW269" s="1371">
        <f t="shared" si="128"/>
        <v>0</v>
      </c>
      <c r="AX269" s="1371">
        <f t="shared" si="129"/>
        <v>0</v>
      </c>
      <c r="AY269" s="3321">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8">
        <f t="shared" si="151"/>
        <v>0</v>
      </c>
    </row>
    <row r="270" spans="1:72">
      <c r="A270" s="3273"/>
      <c r="B270" s="3274"/>
      <c r="C270" s="3274"/>
      <c r="D270" s="3275"/>
      <c r="E270" s="3276">
        <f t="shared" si="123"/>
        <v>0</v>
      </c>
      <c r="F270" s="3277"/>
      <c r="G270" s="3278">
        <f t="shared" si="124"/>
        <v>0</v>
      </c>
      <c r="H270" s="3279">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6">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1371">
        <f t="shared" si="127"/>
        <v>0</v>
      </c>
      <c r="AW270" s="1371">
        <f t="shared" si="128"/>
        <v>0</v>
      </c>
      <c r="AX270" s="1371">
        <f t="shared" si="129"/>
        <v>0</v>
      </c>
      <c r="AY270" s="3321">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8">
        <f t="shared" si="151"/>
        <v>0</v>
      </c>
    </row>
    <row r="271" spans="1:72">
      <c r="A271" s="3273"/>
      <c r="B271" s="3274"/>
      <c r="C271" s="3274"/>
      <c r="D271" s="3275"/>
      <c r="E271" s="3276">
        <f t="shared" si="123"/>
        <v>0</v>
      </c>
      <c r="F271" s="3277"/>
      <c r="G271" s="3278">
        <f t="shared" si="124"/>
        <v>0</v>
      </c>
      <c r="H271" s="3279">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6">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1371">
        <f t="shared" si="127"/>
        <v>0</v>
      </c>
      <c r="AW271" s="1371">
        <f t="shared" si="128"/>
        <v>0</v>
      </c>
      <c r="AX271" s="1371">
        <f t="shared" si="129"/>
        <v>0</v>
      </c>
      <c r="AY271" s="3321">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8">
        <f t="shared" si="151"/>
        <v>0</v>
      </c>
    </row>
    <row r="272" spans="1:72">
      <c r="A272" s="3273"/>
      <c r="B272" s="3274"/>
      <c r="C272" s="3274"/>
      <c r="D272" s="3275"/>
      <c r="E272" s="3276">
        <f t="shared" si="123"/>
        <v>0</v>
      </c>
      <c r="F272" s="3277"/>
      <c r="G272" s="3278">
        <f t="shared" si="124"/>
        <v>0</v>
      </c>
      <c r="H272" s="3279">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6">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1371">
        <f t="shared" si="127"/>
        <v>0</v>
      </c>
      <c r="AW272" s="1371">
        <f t="shared" si="128"/>
        <v>0</v>
      </c>
      <c r="AX272" s="1371">
        <f t="shared" si="129"/>
        <v>0</v>
      </c>
      <c r="AY272" s="3321">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8">
        <f t="shared" si="151"/>
        <v>0</v>
      </c>
    </row>
    <row r="273" spans="1:72">
      <c r="A273" s="3273"/>
      <c r="B273" s="3274"/>
      <c r="C273" s="3274"/>
      <c r="D273" s="3275"/>
      <c r="E273" s="3276">
        <f t="shared" si="123"/>
        <v>0</v>
      </c>
      <c r="F273" s="3277"/>
      <c r="G273" s="3278">
        <f t="shared" si="124"/>
        <v>0</v>
      </c>
      <c r="H273" s="3279">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6">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1371">
        <f t="shared" si="127"/>
        <v>0</v>
      </c>
      <c r="AW273" s="1371">
        <f t="shared" si="128"/>
        <v>0</v>
      </c>
      <c r="AX273" s="1371">
        <f t="shared" si="129"/>
        <v>0</v>
      </c>
      <c r="AY273" s="3321">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8">
        <f t="shared" si="151"/>
        <v>0</v>
      </c>
    </row>
    <row r="274" spans="1:72">
      <c r="A274" s="3273"/>
      <c r="B274" s="3274"/>
      <c r="C274" s="3274"/>
      <c r="D274" s="3275"/>
      <c r="E274" s="3276">
        <f t="shared" si="123"/>
        <v>0</v>
      </c>
      <c r="F274" s="3277"/>
      <c r="G274" s="3278">
        <f t="shared" si="124"/>
        <v>0</v>
      </c>
      <c r="H274" s="3279">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6">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1371">
        <f t="shared" si="127"/>
        <v>0</v>
      </c>
      <c r="AW274" s="1371">
        <f t="shared" si="128"/>
        <v>0</v>
      </c>
      <c r="AX274" s="1371">
        <f t="shared" si="129"/>
        <v>0</v>
      </c>
      <c r="AY274" s="3321">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8">
        <f t="shared" si="151"/>
        <v>0</v>
      </c>
    </row>
    <row r="275" spans="1:72">
      <c r="A275" s="3273"/>
      <c r="B275" s="3274"/>
      <c r="C275" s="3274"/>
      <c r="D275" s="3275"/>
      <c r="E275" s="3276">
        <f t="shared" si="123"/>
        <v>0</v>
      </c>
      <c r="F275" s="3277"/>
      <c r="G275" s="3278">
        <f t="shared" si="124"/>
        <v>0</v>
      </c>
      <c r="H275" s="3279">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6">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1371">
        <f t="shared" si="127"/>
        <v>0</v>
      </c>
      <c r="AW275" s="1371">
        <f t="shared" si="128"/>
        <v>0</v>
      </c>
      <c r="AX275" s="1371">
        <f t="shared" si="129"/>
        <v>0</v>
      </c>
      <c r="AY275" s="3321">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8">
        <f t="shared" si="151"/>
        <v>0</v>
      </c>
    </row>
    <row r="276" spans="1:72">
      <c r="A276" s="3273"/>
      <c r="B276" s="3274"/>
      <c r="C276" s="3274"/>
      <c r="D276" s="3275"/>
      <c r="E276" s="3276">
        <f t="shared" si="123"/>
        <v>0</v>
      </c>
      <c r="F276" s="3277"/>
      <c r="G276" s="3278">
        <f t="shared" si="124"/>
        <v>0</v>
      </c>
      <c r="H276" s="3279">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6">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1371">
        <f t="shared" si="127"/>
        <v>0</v>
      </c>
      <c r="AW276" s="1371">
        <f t="shared" si="128"/>
        <v>0</v>
      </c>
      <c r="AX276" s="1371">
        <f t="shared" si="129"/>
        <v>0</v>
      </c>
      <c r="AY276" s="3321">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8">
        <f t="shared" si="151"/>
        <v>0</v>
      </c>
    </row>
    <row r="277" spans="1:72">
      <c r="A277" s="3273"/>
      <c r="B277" s="3274"/>
      <c r="C277" s="3274"/>
      <c r="D277" s="3275"/>
      <c r="E277" s="3276">
        <f t="shared" si="123"/>
        <v>0</v>
      </c>
      <c r="F277" s="3277"/>
      <c r="G277" s="3278">
        <f t="shared" si="124"/>
        <v>0</v>
      </c>
      <c r="H277" s="3279">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6">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1371">
        <f t="shared" si="127"/>
        <v>0</v>
      </c>
      <c r="AW277" s="1371">
        <f t="shared" si="128"/>
        <v>0</v>
      </c>
      <c r="AX277" s="1371">
        <f t="shared" si="129"/>
        <v>0</v>
      </c>
      <c r="AY277" s="3321">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8">
        <f t="shared" si="151"/>
        <v>0</v>
      </c>
    </row>
    <row r="278" spans="1:72">
      <c r="A278" s="3273"/>
      <c r="B278" s="3274"/>
      <c r="C278" s="3274"/>
      <c r="D278" s="3275"/>
      <c r="E278" s="3276">
        <f t="shared" si="123"/>
        <v>0</v>
      </c>
      <c r="F278" s="3277"/>
      <c r="G278" s="3278">
        <f t="shared" si="124"/>
        <v>0</v>
      </c>
      <c r="H278" s="3279">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6">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1371">
        <f t="shared" si="127"/>
        <v>0</v>
      </c>
      <c r="AW278" s="1371">
        <f t="shared" si="128"/>
        <v>0</v>
      </c>
      <c r="AX278" s="1371">
        <f t="shared" si="129"/>
        <v>0</v>
      </c>
      <c r="AY278" s="3321">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8">
        <f t="shared" si="151"/>
        <v>0</v>
      </c>
    </row>
    <row r="279" spans="1:72">
      <c r="A279" s="3273"/>
      <c r="B279" s="3274"/>
      <c r="C279" s="3274"/>
      <c r="D279" s="3275"/>
      <c r="E279" s="3276">
        <f t="shared" si="123"/>
        <v>0</v>
      </c>
      <c r="F279" s="3277"/>
      <c r="G279" s="3278">
        <f t="shared" si="124"/>
        <v>0</v>
      </c>
      <c r="H279" s="3279">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6">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1371">
        <f t="shared" si="127"/>
        <v>0</v>
      </c>
      <c r="AW279" s="1371">
        <f t="shared" si="128"/>
        <v>0</v>
      </c>
      <c r="AX279" s="1371">
        <f t="shared" si="129"/>
        <v>0</v>
      </c>
      <c r="AY279" s="3321">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8">
        <f t="shared" si="151"/>
        <v>0</v>
      </c>
    </row>
    <row r="280" spans="1:72">
      <c r="A280" s="3273"/>
      <c r="B280" s="3274"/>
      <c r="C280" s="3274"/>
      <c r="D280" s="3275"/>
      <c r="E280" s="3276">
        <f t="shared" si="123"/>
        <v>0</v>
      </c>
      <c r="F280" s="3277"/>
      <c r="G280" s="3278">
        <f t="shared" si="124"/>
        <v>0</v>
      </c>
      <c r="H280" s="3279">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6">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1371">
        <f t="shared" si="127"/>
        <v>0</v>
      </c>
      <c r="AW280" s="1371">
        <f t="shared" si="128"/>
        <v>0</v>
      </c>
      <c r="AX280" s="1371">
        <f t="shared" si="129"/>
        <v>0</v>
      </c>
      <c r="AY280" s="3321">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8">
        <f t="shared" si="151"/>
        <v>0</v>
      </c>
    </row>
    <row r="281" spans="1:72">
      <c r="A281" s="3273"/>
      <c r="B281" s="3274"/>
      <c r="C281" s="3274"/>
      <c r="D281" s="3275"/>
      <c r="E281" s="3276">
        <f t="shared" si="123"/>
        <v>0</v>
      </c>
      <c r="F281" s="3277"/>
      <c r="G281" s="3278">
        <f t="shared" si="124"/>
        <v>0</v>
      </c>
      <c r="H281" s="3279">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6">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1371">
        <f t="shared" si="127"/>
        <v>0</v>
      </c>
      <c r="AW281" s="1371">
        <f t="shared" si="128"/>
        <v>0</v>
      </c>
      <c r="AX281" s="1371">
        <f t="shared" si="129"/>
        <v>0</v>
      </c>
      <c r="AY281" s="3321">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8">
        <f t="shared" si="151"/>
        <v>0</v>
      </c>
    </row>
    <row r="282" spans="1:72">
      <c r="A282" s="3273"/>
      <c r="B282" s="3274"/>
      <c r="C282" s="3274"/>
      <c r="D282" s="3275"/>
      <c r="E282" s="3276">
        <f t="shared" si="123"/>
        <v>0</v>
      </c>
      <c r="F282" s="3277"/>
      <c r="G282" s="3278">
        <f t="shared" si="124"/>
        <v>0</v>
      </c>
      <c r="H282" s="3279">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6">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1371">
        <f t="shared" si="127"/>
        <v>0</v>
      </c>
      <c r="AW282" s="1371">
        <f t="shared" si="128"/>
        <v>0</v>
      </c>
      <c r="AX282" s="1371">
        <f t="shared" si="129"/>
        <v>0</v>
      </c>
      <c r="AY282" s="3321">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8">
        <f t="shared" si="151"/>
        <v>0</v>
      </c>
    </row>
    <row r="283" spans="1:72">
      <c r="A283" s="3273"/>
      <c r="B283" s="3274"/>
      <c r="C283" s="3274"/>
      <c r="D283" s="3275"/>
      <c r="E283" s="3276">
        <f t="shared" si="123"/>
        <v>0</v>
      </c>
      <c r="F283" s="3277"/>
      <c r="G283" s="3278">
        <f t="shared" si="124"/>
        <v>0</v>
      </c>
      <c r="H283" s="3279">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6">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1371">
        <f t="shared" si="127"/>
        <v>0</v>
      </c>
      <c r="AW283" s="1371">
        <f t="shared" si="128"/>
        <v>0</v>
      </c>
      <c r="AX283" s="1371">
        <f t="shared" si="129"/>
        <v>0</v>
      </c>
      <c r="AY283" s="3321">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8">
        <f t="shared" si="151"/>
        <v>0</v>
      </c>
    </row>
    <row r="284" spans="1:72">
      <c r="A284" s="3273"/>
      <c r="B284" s="3274"/>
      <c r="C284" s="3274"/>
      <c r="D284" s="3275"/>
      <c r="E284" s="3276">
        <f t="shared" si="123"/>
        <v>0</v>
      </c>
      <c r="F284" s="3277"/>
      <c r="G284" s="3278">
        <f t="shared" si="124"/>
        <v>0</v>
      </c>
      <c r="H284" s="3279">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6">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1371">
        <f t="shared" si="127"/>
        <v>0</v>
      </c>
      <c r="AW284" s="1371">
        <f t="shared" si="128"/>
        <v>0</v>
      </c>
      <c r="AX284" s="1371">
        <f t="shared" si="129"/>
        <v>0</v>
      </c>
      <c r="AY284" s="3321">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8">
        <f t="shared" si="151"/>
        <v>0</v>
      </c>
    </row>
    <row r="285" spans="1:72">
      <c r="A285" s="3273"/>
      <c r="B285" s="3274"/>
      <c r="C285" s="3274"/>
      <c r="D285" s="3275"/>
      <c r="E285" s="3276">
        <f t="shared" si="123"/>
        <v>0</v>
      </c>
      <c r="F285" s="3277"/>
      <c r="G285" s="3278">
        <f t="shared" si="124"/>
        <v>0</v>
      </c>
      <c r="H285" s="3279">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6">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1371">
        <f t="shared" si="127"/>
        <v>0</v>
      </c>
      <c r="AW285" s="1371">
        <f t="shared" si="128"/>
        <v>0</v>
      </c>
      <c r="AX285" s="1371">
        <f t="shared" si="129"/>
        <v>0</v>
      </c>
      <c r="AY285" s="3321">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8">
        <f t="shared" si="151"/>
        <v>0</v>
      </c>
    </row>
    <row r="286" spans="1:72">
      <c r="A286" s="3273"/>
      <c r="B286" s="3274"/>
      <c r="C286" s="3274"/>
      <c r="D286" s="3275"/>
      <c r="E286" s="3276">
        <f t="shared" si="123"/>
        <v>0</v>
      </c>
      <c r="F286" s="3277"/>
      <c r="G286" s="3278">
        <f t="shared" si="124"/>
        <v>0</v>
      </c>
      <c r="H286" s="3279">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6">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1371">
        <f t="shared" si="127"/>
        <v>0</v>
      </c>
      <c r="AW286" s="1371">
        <f t="shared" si="128"/>
        <v>0</v>
      </c>
      <c r="AX286" s="1371">
        <f t="shared" si="129"/>
        <v>0</v>
      </c>
      <c r="AY286" s="3321">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8">
        <f t="shared" si="151"/>
        <v>0</v>
      </c>
    </row>
    <row r="287" spans="1:72">
      <c r="A287" s="3273"/>
      <c r="B287" s="3274"/>
      <c r="C287" s="3274"/>
      <c r="D287" s="3275"/>
      <c r="E287" s="3276">
        <f t="shared" si="123"/>
        <v>0</v>
      </c>
      <c r="F287" s="3277"/>
      <c r="G287" s="3278">
        <f t="shared" si="124"/>
        <v>0</v>
      </c>
      <c r="H287" s="3279">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6">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1371">
        <f t="shared" si="127"/>
        <v>0</v>
      </c>
      <c r="AW287" s="1371">
        <f t="shared" si="128"/>
        <v>0</v>
      </c>
      <c r="AX287" s="1371">
        <f t="shared" si="129"/>
        <v>0</v>
      </c>
      <c r="AY287" s="3321">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8">
        <f t="shared" si="151"/>
        <v>0</v>
      </c>
    </row>
    <row r="288" spans="1:72">
      <c r="A288" s="3273"/>
      <c r="B288" s="3274"/>
      <c r="C288" s="3274"/>
      <c r="D288" s="3275"/>
      <c r="E288" s="3276">
        <f t="shared" si="123"/>
        <v>0</v>
      </c>
      <c r="F288" s="3277"/>
      <c r="G288" s="3278">
        <f t="shared" si="124"/>
        <v>0</v>
      </c>
      <c r="H288" s="3279">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6">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1371">
        <f t="shared" si="127"/>
        <v>0</v>
      </c>
      <c r="AW288" s="1371">
        <f t="shared" si="128"/>
        <v>0</v>
      </c>
      <c r="AX288" s="1371">
        <f t="shared" si="129"/>
        <v>0</v>
      </c>
      <c r="AY288" s="3321">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8">
        <f t="shared" si="151"/>
        <v>0</v>
      </c>
    </row>
    <row r="289" spans="1:72">
      <c r="A289" s="3273"/>
      <c r="B289" s="3274"/>
      <c r="C289" s="3274"/>
      <c r="D289" s="3275"/>
      <c r="E289" s="3276">
        <f t="shared" si="123"/>
        <v>0</v>
      </c>
      <c r="F289" s="3277"/>
      <c r="G289" s="3278">
        <f t="shared" si="124"/>
        <v>0</v>
      </c>
      <c r="H289" s="3279">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6">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1371">
        <f t="shared" si="127"/>
        <v>0</v>
      </c>
      <c r="AW289" s="1371">
        <f t="shared" si="128"/>
        <v>0</v>
      </c>
      <c r="AX289" s="1371">
        <f t="shared" si="129"/>
        <v>0</v>
      </c>
      <c r="AY289" s="3321">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8">
        <f t="shared" si="151"/>
        <v>0</v>
      </c>
    </row>
    <row r="290" spans="1:72">
      <c r="A290" s="3273"/>
      <c r="B290" s="3274"/>
      <c r="C290" s="3274"/>
      <c r="D290" s="3275"/>
      <c r="E290" s="3276">
        <f t="shared" si="123"/>
        <v>0</v>
      </c>
      <c r="F290" s="3277"/>
      <c r="G290" s="3278">
        <f t="shared" si="124"/>
        <v>0</v>
      </c>
      <c r="H290" s="3279">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6">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1371">
        <f t="shared" si="127"/>
        <v>0</v>
      </c>
      <c r="AW290" s="1371">
        <f t="shared" si="128"/>
        <v>0</v>
      </c>
      <c r="AX290" s="1371">
        <f t="shared" si="129"/>
        <v>0</v>
      </c>
      <c r="AY290" s="3321">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8">
        <f t="shared" si="151"/>
        <v>0</v>
      </c>
    </row>
    <row r="291" spans="1:72">
      <c r="A291" s="3273"/>
      <c r="B291" s="3274"/>
      <c r="C291" s="3274"/>
      <c r="D291" s="3275"/>
      <c r="E291" s="3276">
        <f t="shared" si="123"/>
        <v>0</v>
      </c>
      <c r="F291" s="3277"/>
      <c r="G291" s="3278">
        <f t="shared" si="124"/>
        <v>0</v>
      </c>
      <c r="H291" s="3279">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6">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1371">
        <f t="shared" si="127"/>
        <v>0</v>
      </c>
      <c r="AW291" s="1371">
        <f t="shared" si="128"/>
        <v>0</v>
      </c>
      <c r="AX291" s="1371">
        <f t="shared" si="129"/>
        <v>0</v>
      </c>
      <c r="AY291" s="3321">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8">
        <f t="shared" si="151"/>
        <v>0</v>
      </c>
    </row>
    <row r="292" spans="1:72">
      <c r="A292" s="3273"/>
      <c r="B292" s="3274"/>
      <c r="C292" s="3274"/>
      <c r="D292" s="3275"/>
      <c r="E292" s="3276">
        <f t="shared" si="123"/>
        <v>0</v>
      </c>
      <c r="F292" s="3277"/>
      <c r="G292" s="3278">
        <f t="shared" si="124"/>
        <v>0</v>
      </c>
      <c r="H292" s="3279">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6">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1371">
        <f t="shared" si="127"/>
        <v>0</v>
      </c>
      <c r="AW292" s="1371">
        <f t="shared" si="128"/>
        <v>0</v>
      </c>
      <c r="AX292" s="1371">
        <f t="shared" si="129"/>
        <v>0</v>
      </c>
      <c r="AY292" s="3321">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8">
        <f t="shared" si="151"/>
        <v>0</v>
      </c>
    </row>
    <row r="293" spans="1:72">
      <c r="A293" s="3273"/>
      <c r="B293" s="3274"/>
      <c r="C293" s="3274"/>
      <c r="D293" s="3275"/>
      <c r="E293" s="3276">
        <f t="shared" si="123"/>
        <v>0</v>
      </c>
      <c r="F293" s="3277"/>
      <c r="G293" s="3278">
        <f t="shared" si="124"/>
        <v>0</v>
      </c>
      <c r="H293" s="3279">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6">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1371">
        <f t="shared" si="127"/>
        <v>0</v>
      </c>
      <c r="AW293" s="1371">
        <f t="shared" si="128"/>
        <v>0</v>
      </c>
      <c r="AX293" s="1371">
        <f t="shared" si="129"/>
        <v>0</v>
      </c>
      <c r="AY293" s="3321">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8">
        <f t="shared" si="151"/>
        <v>0</v>
      </c>
    </row>
    <row r="294" spans="1:72">
      <c r="A294" s="3273"/>
      <c r="B294" s="3274"/>
      <c r="C294" s="3274"/>
      <c r="D294" s="3275"/>
      <c r="E294" s="3276">
        <f t="shared" si="123"/>
        <v>0</v>
      </c>
      <c r="F294" s="3277"/>
      <c r="G294" s="3278">
        <f t="shared" si="124"/>
        <v>0</v>
      </c>
      <c r="H294" s="3279">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6">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1371">
        <f t="shared" si="127"/>
        <v>0</v>
      </c>
      <c r="AW294" s="1371">
        <f t="shared" si="128"/>
        <v>0</v>
      </c>
      <c r="AX294" s="1371">
        <f t="shared" si="129"/>
        <v>0</v>
      </c>
      <c r="AY294" s="3321">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8">
        <f t="shared" si="151"/>
        <v>0</v>
      </c>
    </row>
    <row r="295" spans="1:72">
      <c r="A295" s="3273"/>
      <c r="B295" s="3274"/>
      <c r="C295" s="3274"/>
      <c r="D295" s="3275"/>
      <c r="E295" s="3276">
        <f t="shared" si="123"/>
        <v>0</v>
      </c>
      <c r="F295" s="3277"/>
      <c r="G295" s="3278">
        <f t="shared" si="124"/>
        <v>0</v>
      </c>
      <c r="H295" s="3279">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6">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1371">
        <f t="shared" si="127"/>
        <v>0</v>
      </c>
      <c r="AW295" s="1371">
        <f t="shared" si="128"/>
        <v>0</v>
      </c>
      <c r="AX295" s="1371">
        <f t="shared" si="129"/>
        <v>0</v>
      </c>
      <c r="AY295" s="3321">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8">
        <f t="shared" si="151"/>
        <v>0</v>
      </c>
    </row>
    <row r="296" spans="1:72">
      <c r="A296" s="3273"/>
      <c r="B296" s="3274"/>
      <c r="C296" s="3274"/>
      <c r="D296" s="3275"/>
      <c r="E296" s="3276">
        <f t="shared" si="123"/>
        <v>0</v>
      </c>
      <c r="F296" s="3277"/>
      <c r="G296" s="3278">
        <f t="shared" si="124"/>
        <v>0</v>
      </c>
      <c r="H296" s="3279">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6">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1371">
        <f t="shared" si="127"/>
        <v>0</v>
      </c>
      <c r="AW296" s="1371">
        <f t="shared" si="128"/>
        <v>0</v>
      </c>
      <c r="AX296" s="1371">
        <f t="shared" si="129"/>
        <v>0</v>
      </c>
      <c r="AY296" s="3321">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8">
        <f t="shared" si="151"/>
        <v>0</v>
      </c>
    </row>
    <row r="297" spans="1:72">
      <c r="A297" s="3273"/>
      <c r="B297" s="3274"/>
      <c r="C297" s="3274"/>
      <c r="D297" s="3275"/>
      <c r="E297" s="3276">
        <f t="shared" si="123"/>
        <v>0</v>
      </c>
      <c r="F297" s="3277"/>
      <c r="G297" s="3278">
        <f t="shared" si="124"/>
        <v>0</v>
      </c>
      <c r="H297" s="3279">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6">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1371">
        <f t="shared" si="127"/>
        <v>0</v>
      </c>
      <c r="AW297" s="1371">
        <f t="shared" si="128"/>
        <v>0</v>
      </c>
      <c r="AX297" s="1371">
        <f t="shared" si="129"/>
        <v>0</v>
      </c>
      <c r="AY297" s="3321">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8">
        <f t="shared" si="151"/>
        <v>0</v>
      </c>
    </row>
    <row r="298" spans="1:72">
      <c r="A298" s="3273"/>
      <c r="B298" s="3274"/>
      <c r="C298" s="3274"/>
      <c r="D298" s="3275"/>
      <c r="E298" s="3276">
        <f t="shared" si="123"/>
        <v>0</v>
      </c>
      <c r="F298" s="3277"/>
      <c r="G298" s="3278">
        <f t="shared" si="124"/>
        <v>0</v>
      </c>
      <c r="H298" s="3279">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6">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1371">
        <f t="shared" si="127"/>
        <v>0</v>
      </c>
      <c r="AW298" s="1371">
        <f t="shared" si="128"/>
        <v>0</v>
      </c>
      <c r="AX298" s="1371">
        <f t="shared" si="129"/>
        <v>0</v>
      </c>
      <c r="AY298" s="3321">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8">
        <f t="shared" si="151"/>
        <v>0</v>
      </c>
    </row>
    <row r="299" spans="1:72">
      <c r="A299" s="3273"/>
      <c r="B299" s="3274"/>
      <c r="C299" s="3274"/>
      <c r="D299" s="3275"/>
      <c r="E299" s="3276">
        <f t="shared" si="123"/>
        <v>0</v>
      </c>
      <c r="F299" s="3277"/>
      <c r="G299" s="3278">
        <f t="shared" si="124"/>
        <v>0</v>
      </c>
      <c r="H299" s="3279">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6">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1371">
        <f t="shared" si="127"/>
        <v>0</v>
      </c>
      <c r="AW299" s="1371">
        <f t="shared" si="128"/>
        <v>0</v>
      </c>
      <c r="AX299" s="1371">
        <f t="shared" si="129"/>
        <v>0</v>
      </c>
      <c r="AY299" s="3321">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8">
        <f t="shared" si="151"/>
        <v>0</v>
      </c>
    </row>
    <row r="300" spans="1:72">
      <c r="A300" s="3273"/>
      <c r="B300" s="3273"/>
      <c r="C300" s="3273"/>
      <c r="D300" s="3275"/>
      <c r="E300" s="3276">
        <f t="shared" si="123"/>
        <v>0</v>
      </c>
      <c r="F300" s="3329"/>
      <c r="G300" s="3278">
        <f t="shared" ref="G300:G331" si="152">H300+AC300+AT300</f>
        <v>0</v>
      </c>
      <c r="H300" s="3279">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6">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1371">
        <f t="shared" si="127"/>
        <v>0</v>
      </c>
      <c r="AW300" s="1371">
        <f t="shared" si="128"/>
        <v>0</v>
      </c>
      <c r="AX300" s="1371">
        <f t="shared" si="129"/>
        <v>0</v>
      </c>
      <c r="AY300" s="3321">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8">
        <f t="shared" ref="BT300:BT331" si="176">IF($D300="是",AR300-AS300,0)</f>
        <v>0</v>
      </c>
    </row>
    <row r="301" spans="1:72">
      <c r="A301" s="3273"/>
      <c r="B301" s="3273"/>
      <c r="C301" s="3273"/>
      <c r="D301" s="3275"/>
      <c r="E301" s="3276">
        <f t="shared" si="123"/>
        <v>0</v>
      </c>
      <c r="F301" s="3329"/>
      <c r="G301" s="3278">
        <f t="shared" si="152"/>
        <v>0</v>
      </c>
      <c r="H301" s="3279">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6">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1371">
        <f t="shared" si="127"/>
        <v>0</v>
      </c>
      <c r="AW301" s="1371">
        <f t="shared" si="128"/>
        <v>0</v>
      </c>
      <c r="AX301" s="1371">
        <f t="shared" si="129"/>
        <v>0</v>
      </c>
      <c r="AY301" s="3321">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8">
        <f t="shared" si="176"/>
        <v>0</v>
      </c>
    </row>
    <row r="302" spans="1:72">
      <c r="A302" s="3273"/>
      <c r="B302" s="3273"/>
      <c r="C302" s="3273"/>
      <c r="D302" s="3275"/>
      <c r="E302" s="3276">
        <f t="shared" si="123"/>
        <v>0</v>
      </c>
      <c r="F302" s="3329"/>
      <c r="G302" s="3278">
        <f t="shared" si="152"/>
        <v>0</v>
      </c>
      <c r="H302" s="3279">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6">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1371">
        <f t="shared" si="127"/>
        <v>0</v>
      </c>
      <c r="AW302" s="1371">
        <f t="shared" si="128"/>
        <v>0</v>
      </c>
      <c r="AX302" s="1371">
        <f t="shared" si="129"/>
        <v>0</v>
      </c>
      <c r="AY302" s="3321">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8">
        <f t="shared" si="176"/>
        <v>0</v>
      </c>
    </row>
    <row r="303" spans="1:72">
      <c r="A303" s="3273"/>
      <c r="B303" s="3274"/>
      <c r="C303" s="3274"/>
      <c r="D303" s="3275"/>
      <c r="E303" s="3276">
        <f t="shared" ref="E303:E334" si="177">IF($C$3="是",ROUND($A$3*G303/$B$3,2),ROUND($A$3*(G303-AT303)/$B$3,2))</f>
        <v>0</v>
      </c>
      <c r="F303" s="3277"/>
      <c r="G303" s="3278">
        <f t="shared" si="152"/>
        <v>0</v>
      </c>
      <c r="H303" s="3279">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6">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1371">
        <f t="shared" ref="AV303:AV334" si="178">A303</f>
        <v>0</v>
      </c>
      <c r="AW303" s="1371">
        <f t="shared" ref="AW303:AW334" si="179">B303</f>
        <v>0</v>
      </c>
      <c r="AX303" s="1371">
        <f t="shared" ref="AX303:AX334" si="180">C303</f>
        <v>0</v>
      </c>
      <c r="AY303" s="3321">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8">
        <f t="shared" si="176"/>
        <v>0</v>
      </c>
    </row>
    <row r="304" spans="1:72">
      <c r="A304" s="3273"/>
      <c r="B304" s="3274"/>
      <c r="C304" s="3274"/>
      <c r="D304" s="3275"/>
      <c r="E304" s="3276">
        <f t="shared" si="177"/>
        <v>0</v>
      </c>
      <c r="F304" s="3277"/>
      <c r="G304" s="3278">
        <f t="shared" si="152"/>
        <v>0</v>
      </c>
      <c r="H304" s="3279">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6">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1371">
        <f t="shared" si="178"/>
        <v>0</v>
      </c>
      <c r="AW304" s="1371">
        <f t="shared" si="179"/>
        <v>0</v>
      </c>
      <c r="AX304" s="1371">
        <f t="shared" si="180"/>
        <v>0</v>
      </c>
      <c r="AY304" s="3321">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8">
        <f t="shared" si="176"/>
        <v>0</v>
      </c>
    </row>
    <row r="305" spans="1:72">
      <c r="A305" s="3273"/>
      <c r="B305" s="3274"/>
      <c r="C305" s="3274"/>
      <c r="D305" s="3275"/>
      <c r="E305" s="3276">
        <f t="shared" si="177"/>
        <v>0</v>
      </c>
      <c r="F305" s="3277"/>
      <c r="G305" s="3278">
        <f t="shared" si="152"/>
        <v>0</v>
      </c>
      <c r="H305" s="3279">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6">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1371">
        <f t="shared" si="178"/>
        <v>0</v>
      </c>
      <c r="AW305" s="1371">
        <f t="shared" si="179"/>
        <v>0</v>
      </c>
      <c r="AX305" s="1371">
        <f t="shared" si="180"/>
        <v>0</v>
      </c>
      <c r="AY305" s="3321">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8">
        <f t="shared" si="176"/>
        <v>0</v>
      </c>
    </row>
    <row r="306" spans="1:72">
      <c r="A306" s="3273"/>
      <c r="B306" s="3274"/>
      <c r="C306" s="3274"/>
      <c r="D306" s="3275"/>
      <c r="E306" s="3276">
        <f t="shared" si="177"/>
        <v>0</v>
      </c>
      <c r="F306" s="3277"/>
      <c r="G306" s="3278">
        <f t="shared" si="152"/>
        <v>0</v>
      </c>
      <c r="H306" s="3279">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6">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1371">
        <f t="shared" si="178"/>
        <v>0</v>
      </c>
      <c r="AW306" s="1371">
        <f t="shared" si="179"/>
        <v>0</v>
      </c>
      <c r="AX306" s="1371">
        <f t="shared" si="180"/>
        <v>0</v>
      </c>
      <c r="AY306" s="3321">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8">
        <f t="shared" si="176"/>
        <v>0</v>
      </c>
    </row>
    <row r="307" spans="1:72">
      <c r="A307" s="3273"/>
      <c r="B307" s="3274"/>
      <c r="C307" s="3274"/>
      <c r="D307" s="3275"/>
      <c r="E307" s="3276">
        <f t="shared" si="177"/>
        <v>0</v>
      </c>
      <c r="F307" s="3277"/>
      <c r="G307" s="3278">
        <f t="shared" si="152"/>
        <v>0</v>
      </c>
      <c r="H307" s="3279">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6">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1371">
        <f t="shared" si="178"/>
        <v>0</v>
      </c>
      <c r="AW307" s="1371">
        <f t="shared" si="179"/>
        <v>0</v>
      </c>
      <c r="AX307" s="1371">
        <f t="shared" si="180"/>
        <v>0</v>
      </c>
      <c r="AY307" s="3321">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8">
        <f t="shared" si="176"/>
        <v>0</v>
      </c>
    </row>
    <row r="308" spans="1:72">
      <c r="A308" s="3273"/>
      <c r="B308" s="3274"/>
      <c r="C308" s="3274"/>
      <c r="D308" s="3275"/>
      <c r="E308" s="3276">
        <f t="shared" si="177"/>
        <v>0</v>
      </c>
      <c r="F308" s="3277"/>
      <c r="G308" s="3278">
        <f t="shared" si="152"/>
        <v>0</v>
      </c>
      <c r="H308" s="3279">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6">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1371">
        <f t="shared" si="178"/>
        <v>0</v>
      </c>
      <c r="AW308" s="1371">
        <f t="shared" si="179"/>
        <v>0</v>
      </c>
      <c r="AX308" s="1371">
        <f t="shared" si="180"/>
        <v>0</v>
      </c>
      <c r="AY308" s="3321">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8">
        <f t="shared" si="176"/>
        <v>0</v>
      </c>
    </row>
    <row r="309" spans="1:72">
      <c r="A309" s="3273"/>
      <c r="B309" s="3274"/>
      <c r="C309" s="3274"/>
      <c r="D309" s="3275"/>
      <c r="E309" s="3276">
        <f t="shared" si="177"/>
        <v>0</v>
      </c>
      <c r="F309" s="3277"/>
      <c r="G309" s="3278">
        <f t="shared" si="152"/>
        <v>0</v>
      </c>
      <c r="H309" s="3279">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6">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1371">
        <f t="shared" si="178"/>
        <v>0</v>
      </c>
      <c r="AW309" s="1371">
        <f t="shared" si="179"/>
        <v>0</v>
      </c>
      <c r="AX309" s="1371">
        <f t="shared" si="180"/>
        <v>0</v>
      </c>
      <c r="AY309" s="3321">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8">
        <f t="shared" si="176"/>
        <v>0</v>
      </c>
    </row>
    <row r="310" spans="1:72">
      <c r="A310" s="3273"/>
      <c r="B310" s="3274"/>
      <c r="C310" s="3274"/>
      <c r="D310" s="3275"/>
      <c r="E310" s="3276">
        <f t="shared" si="177"/>
        <v>0</v>
      </c>
      <c r="F310" s="3277"/>
      <c r="G310" s="3278">
        <f t="shared" si="152"/>
        <v>0</v>
      </c>
      <c r="H310" s="3279">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6">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1371">
        <f t="shared" si="178"/>
        <v>0</v>
      </c>
      <c r="AW310" s="1371">
        <f t="shared" si="179"/>
        <v>0</v>
      </c>
      <c r="AX310" s="1371">
        <f t="shared" si="180"/>
        <v>0</v>
      </c>
      <c r="AY310" s="3321">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8">
        <f t="shared" si="176"/>
        <v>0</v>
      </c>
    </row>
    <row r="311" spans="1:72">
      <c r="A311" s="3273"/>
      <c r="B311" s="3274"/>
      <c r="C311" s="3274"/>
      <c r="D311" s="3275"/>
      <c r="E311" s="3276">
        <f t="shared" si="177"/>
        <v>0</v>
      </c>
      <c r="F311" s="3277"/>
      <c r="G311" s="3278">
        <f t="shared" si="152"/>
        <v>0</v>
      </c>
      <c r="H311" s="3279">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6">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1371">
        <f t="shared" si="178"/>
        <v>0</v>
      </c>
      <c r="AW311" s="1371">
        <f t="shared" si="179"/>
        <v>0</v>
      </c>
      <c r="AX311" s="1371">
        <f t="shared" si="180"/>
        <v>0</v>
      </c>
      <c r="AY311" s="3321">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8">
        <f t="shared" si="176"/>
        <v>0</v>
      </c>
    </row>
    <row r="312" spans="1:72">
      <c r="A312" s="3273"/>
      <c r="B312" s="3274"/>
      <c r="C312" s="3274"/>
      <c r="D312" s="3275"/>
      <c r="E312" s="3276">
        <f t="shared" si="177"/>
        <v>0</v>
      </c>
      <c r="F312" s="3277"/>
      <c r="G312" s="3278">
        <f t="shared" si="152"/>
        <v>0</v>
      </c>
      <c r="H312" s="3279">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6">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1371">
        <f t="shared" si="178"/>
        <v>0</v>
      </c>
      <c r="AW312" s="1371">
        <f t="shared" si="179"/>
        <v>0</v>
      </c>
      <c r="AX312" s="1371">
        <f t="shared" si="180"/>
        <v>0</v>
      </c>
      <c r="AY312" s="3321">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8">
        <f t="shared" si="176"/>
        <v>0</v>
      </c>
    </row>
    <row r="313" spans="1:72">
      <c r="A313" s="3273"/>
      <c r="B313" s="3274"/>
      <c r="C313" s="3274"/>
      <c r="D313" s="3275"/>
      <c r="E313" s="3276">
        <f t="shared" si="177"/>
        <v>0</v>
      </c>
      <c r="F313" s="3277"/>
      <c r="G313" s="3278">
        <f t="shared" si="152"/>
        <v>0</v>
      </c>
      <c r="H313" s="3279">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6">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1371">
        <f t="shared" si="178"/>
        <v>0</v>
      </c>
      <c r="AW313" s="1371">
        <f t="shared" si="179"/>
        <v>0</v>
      </c>
      <c r="AX313" s="1371">
        <f t="shared" si="180"/>
        <v>0</v>
      </c>
      <c r="AY313" s="3321">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8">
        <f t="shared" si="176"/>
        <v>0</v>
      </c>
    </row>
    <row r="314" spans="1:72">
      <c r="A314" s="3273"/>
      <c r="B314" s="3274"/>
      <c r="C314" s="3274"/>
      <c r="D314" s="3275"/>
      <c r="E314" s="3276">
        <f t="shared" si="177"/>
        <v>0</v>
      </c>
      <c r="F314" s="3277"/>
      <c r="G314" s="3278">
        <f t="shared" si="152"/>
        <v>0</v>
      </c>
      <c r="H314" s="3279">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6">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1371">
        <f t="shared" si="178"/>
        <v>0</v>
      </c>
      <c r="AW314" s="1371">
        <f t="shared" si="179"/>
        <v>0</v>
      </c>
      <c r="AX314" s="1371">
        <f t="shared" si="180"/>
        <v>0</v>
      </c>
      <c r="AY314" s="3321">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8">
        <f t="shared" si="176"/>
        <v>0</v>
      </c>
    </row>
    <row r="315" spans="1:72">
      <c r="A315" s="3273"/>
      <c r="B315" s="3274"/>
      <c r="C315" s="3274"/>
      <c r="D315" s="3275"/>
      <c r="E315" s="3276">
        <f t="shared" si="177"/>
        <v>0</v>
      </c>
      <c r="F315" s="3277"/>
      <c r="G315" s="3278">
        <f t="shared" si="152"/>
        <v>0</v>
      </c>
      <c r="H315" s="3279">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6">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1371">
        <f t="shared" si="178"/>
        <v>0</v>
      </c>
      <c r="AW315" s="1371">
        <f t="shared" si="179"/>
        <v>0</v>
      </c>
      <c r="AX315" s="1371">
        <f t="shared" si="180"/>
        <v>0</v>
      </c>
      <c r="AY315" s="3321">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8">
        <f t="shared" si="176"/>
        <v>0</v>
      </c>
    </row>
    <row r="316" spans="1:72">
      <c r="A316" s="3273"/>
      <c r="B316" s="3274"/>
      <c r="C316" s="3274"/>
      <c r="D316" s="3275"/>
      <c r="E316" s="3276">
        <f t="shared" si="177"/>
        <v>0</v>
      </c>
      <c r="F316" s="3277"/>
      <c r="G316" s="3278">
        <f t="shared" si="152"/>
        <v>0</v>
      </c>
      <c r="H316" s="3279">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6">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1371">
        <f t="shared" si="178"/>
        <v>0</v>
      </c>
      <c r="AW316" s="1371">
        <f t="shared" si="179"/>
        <v>0</v>
      </c>
      <c r="AX316" s="1371">
        <f t="shared" si="180"/>
        <v>0</v>
      </c>
      <c r="AY316" s="3321">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8">
        <f t="shared" si="176"/>
        <v>0</v>
      </c>
    </row>
    <row r="317" spans="1:72">
      <c r="A317" s="3273"/>
      <c r="B317" s="3274"/>
      <c r="C317" s="3274"/>
      <c r="D317" s="3275"/>
      <c r="E317" s="3276">
        <f t="shared" si="177"/>
        <v>0</v>
      </c>
      <c r="F317" s="3277"/>
      <c r="G317" s="3278">
        <f t="shared" si="152"/>
        <v>0</v>
      </c>
      <c r="H317" s="3279">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6">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1371">
        <f t="shared" si="178"/>
        <v>0</v>
      </c>
      <c r="AW317" s="1371">
        <f t="shared" si="179"/>
        <v>0</v>
      </c>
      <c r="AX317" s="1371">
        <f t="shared" si="180"/>
        <v>0</v>
      </c>
      <c r="AY317" s="3321">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8">
        <f t="shared" si="176"/>
        <v>0</v>
      </c>
    </row>
    <row r="318" spans="1:72">
      <c r="A318" s="3273"/>
      <c r="B318" s="3274"/>
      <c r="C318" s="3274"/>
      <c r="D318" s="3275"/>
      <c r="E318" s="3276">
        <f t="shared" si="177"/>
        <v>0</v>
      </c>
      <c r="F318" s="3277"/>
      <c r="G318" s="3278">
        <f t="shared" si="152"/>
        <v>0</v>
      </c>
      <c r="H318" s="3279">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6">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1371">
        <f t="shared" si="178"/>
        <v>0</v>
      </c>
      <c r="AW318" s="1371">
        <f t="shared" si="179"/>
        <v>0</v>
      </c>
      <c r="AX318" s="1371">
        <f t="shared" si="180"/>
        <v>0</v>
      </c>
      <c r="AY318" s="3321">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8">
        <f t="shared" si="176"/>
        <v>0</v>
      </c>
    </row>
    <row r="319" spans="1:72">
      <c r="A319" s="3273"/>
      <c r="B319" s="3274"/>
      <c r="C319" s="3274"/>
      <c r="D319" s="3275"/>
      <c r="E319" s="3276">
        <f t="shared" si="177"/>
        <v>0</v>
      </c>
      <c r="F319" s="3277"/>
      <c r="G319" s="3278">
        <f t="shared" si="152"/>
        <v>0</v>
      </c>
      <c r="H319" s="3279">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6">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1371">
        <f t="shared" si="178"/>
        <v>0</v>
      </c>
      <c r="AW319" s="1371">
        <f t="shared" si="179"/>
        <v>0</v>
      </c>
      <c r="AX319" s="1371">
        <f t="shared" si="180"/>
        <v>0</v>
      </c>
      <c r="AY319" s="3321">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8">
        <f t="shared" si="176"/>
        <v>0</v>
      </c>
    </row>
    <row r="320" spans="1:72">
      <c r="A320" s="3273"/>
      <c r="B320" s="3274"/>
      <c r="C320" s="3274"/>
      <c r="D320" s="3275"/>
      <c r="E320" s="3276">
        <f t="shared" si="177"/>
        <v>0</v>
      </c>
      <c r="F320" s="3277"/>
      <c r="G320" s="3278">
        <f t="shared" si="152"/>
        <v>0</v>
      </c>
      <c r="H320" s="3279">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6">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1371">
        <f t="shared" si="178"/>
        <v>0</v>
      </c>
      <c r="AW320" s="1371">
        <f t="shared" si="179"/>
        <v>0</v>
      </c>
      <c r="AX320" s="1371">
        <f t="shared" si="180"/>
        <v>0</v>
      </c>
      <c r="AY320" s="3321">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8">
        <f t="shared" si="176"/>
        <v>0</v>
      </c>
    </row>
    <row r="321" spans="1:72">
      <c r="A321" s="3273"/>
      <c r="B321" s="3274"/>
      <c r="C321" s="3274"/>
      <c r="D321" s="3275"/>
      <c r="E321" s="3276">
        <f t="shared" si="177"/>
        <v>0</v>
      </c>
      <c r="F321" s="3277"/>
      <c r="G321" s="3278">
        <f t="shared" si="152"/>
        <v>0</v>
      </c>
      <c r="H321" s="3279">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6">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1371">
        <f t="shared" si="178"/>
        <v>0</v>
      </c>
      <c r="AW321" s="1371">
        <f t="shared" si="179"/>
        <v>0</v>
      </c>
      <c r="AX321" s="1371">
        <f t="shared" si="180"/>
        <v>0</v>
      </c>
      <c r="AY321" s="3321">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8">
        <f t="shared" si="176"/>
        <v>0</v>
      </c>
    </row>
    <row r="322" spans="1:72">
      <c r="A322" s="3273"/>
      <c r="B322" s="3274"/>
      <c r="C322" s="3274"/>
      <c r="D322" s="3275"/>
      <c r="E322" s="3276">
        <f t="shared" si="177"/>
        <v>0</v>
      </c>
      <c r="F322" s="3277"/>
      <c r="G322" s="3278">
        <f t="shared" si="152"/>
        <v>0</v>
      </c>
      <c r="H322" s="3279">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6">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1371">
        <f t="shared" si="178"/>
        <v>0</v>
      </c>
      <c r="AW322" s="1371">
        <f t="shared" si="179"/>
        <v>0</v>
      </c>
      <c r="AX322" s="1371">
        <f t="shared" si="180"/>
        <v>0</v>
      </c>
      <c r="AY322" s="3321">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8">
        <f t="shared" si="176"/>
        <v>0</v>
      </c>
    </row>
    <row r="323" spans="1:72">
      <c r="A323" s="3273"/>
      <c r="B323" s="3274"/>
      <c r="C323" s="3274"/>
      <c r="D323" s="3275"/>
      <c r="E323" s="3276">
        <f t="shared" si="177"/>
        <v>0</v>
      </c>
      <c r="F323" s="3277"/>
      <c r="G323" s="3278">
        <f t="shared" si="152"/>
        <v>0</v>
      </c>
      <c r="H323" s="3279">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6">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1371">
        <f t="shared" si="178"/>
        <v>0</v>
      </c>
      <c r="AW323" s="1371">
        <f t="shared" si="179"/>
        <v>0</v>
      </c>
      <c r="AX323" s="1371">
        <f t="shared" si="180"/>
        <v>0</v>
      </c>
      <c r="AY323" s="3321">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8">
        <f t="shared" si="176"/>
        <v>0</v>
      </c>
    </row>
    <row r="324" spans="1:72">
      <c r="A324" s="3273"/>
      <c r="B324" s="3274"/>
      <c r="C324" s="3274"/>
      <c r="D324" s="3275"/>
      <c r="E324" s="3276">
        <f t="shared" si="177"/>
        <v>0</v>
      </c>
      <c r="F324" s="3277"/>
      <c r="G324" s="3278">
        <f t="shared" si="152"/>
        <v>0</v>
      </c>
      <c r="H324" s="3279">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6">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1371">
        <f t="shared" si="178"/>
        <v>0</v>
      </c>
      <c r="AW324" s="1371">
        <f t="shared" si="179"/>
        <v>0</v>
      </c>
      <c r="AX324" s="1371">
        <f t="shared" si="180"/>
        <v>0</v>
      </c>
      <c r="AY324" s="3321">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8">
        <f t="shared" si="176"/>
        <v>0</v>
      </c>
    </row>
    <row r="325" spans="1:72">
      <c r="A325" s="3273"/>
      <c r="B325" s="3274"/>
      <c r="C325" s="3274"/>
      <c r="D325" s="3275"/>
      <c r="E325" s="3276">
        <f t="shared" si="177"/>
        <v>0</v>
      </c>
      <c r="F325" s="3277"/>
      <c r="G325" s="3278">
        <f t="shared" si="152"/>
        <v>0</v>
      </c>
      <c r="H325" s="3279">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6">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1371">
        <f t="shared" si="178"/>
        <v>0</v>
      </c>
      <c r="AW325" s="1371">
        <f t="shared" si="179"/>
        <v>0</v>
      </c>
      <c r="AX325" s="1371">
        <f t="shared" si="180"/>
        <v>0</v>
      </c>
      <c r="AY325" s="3321">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8">
        <f t="shared" si="176"/>
        <v>0</v>
      </c>
    </row>
    <row r="326" spans="1:72">
      <c r="A326" s="3273"/>
      <c r="B326" s="3274"/>
      <c r="C326" s="3274"/>
      <c r="D326" s="3275"/>
      <c r="E326" s="3276">
        <f t="shared" si="177"/>
        <v>0</v>
      </c>
      <c r="F326" s="3277"/>
      <c r="G326" s="3278">
        <f t="shared" si="152"/>
        <v>0</v>
      </c>
      <c r="H326" s="3279">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6">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1371">
        <f t="shared" si="178"/>
        <v>0</v>
      </c>
      <c r="AW326" s="1371">
        <f t="shared" si="179"/>
        <v>0</v>
      </c>
      <c r="AX326" s="1371">
        <f t="shared" si="180"/>
        <v>0</v>
      </c>
      <c r="AY326" s="3321">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8">
        <f t="shared" si="176"/>
        <v>0</v>
      </c>
    </row>
    <row r="327" spans="1:72">
      <c r="A327" s="3273"/>
      <c r="B327" s="3274"/>
      <c r="C327" s="3274"/>
      <c r="D327" s="3275"/>
      <c r="E327" s="3276">
        <f t="shared" si="177"/>
        <v>0</v>
      </c>
      <c r="F327" s="3277"/>
      <c r="G327" s="3278">
        <f t="shared" si="152"/>
        <v>0</v>
      </c>
      <c r="H327" s="3279">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6">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1371">
        <f t="shared" si="178"/>
        <v>0</v>
      </c>
      <c r="AW327" s="1371">
        <f t="shared" si="179"/>
        <v>0</v>
      </c>
      <c r="AX327" s="1371">
        <f t="shared" si="180"/>
        <v>0</v>
      </c>
      <c r="AY327" s="3321">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8">
        <f t="shared" si="176"/>
        <v>0</v>
      </c>
    </row>
    <row r="328" spans="1:72">
      <c r="A328" s="3273"/>
      <c r="B328" s="3274"/>
      <c r="C328" s="3274"/>
      <c r="D328" s="3275"/>
      <c r="E328" s="3276">
        <f t="shared" si="177"/>
        <v>0</v>
      </c>
      <c r="F328" s="3277"/>
      <c r="G328" s="3278">
        <f t="shared" si="152"/>
        <v>0</v>
      </c>
      <c r="H328" s="3279">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6">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1371">
        <f t="shared" si="178"/>
        <v>0</v>
      </c>
      <c r="AW328" s="1371">
        <f t="shared" si="179"/>
        <v>0</v>
      </c>
      <c r="AX328" s="1371">
        <f t="shared" si="180"/>
        <v>0</v>
      </c>
      <c r="AY328" s="3321">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8">
        <f t="shared" si="176"/>
        <v>0</v>
      </c>
    </row>
    <row r="329" spans="1:72">
      <c r="A329" s="3273"/>
      <c r="B329" s="3274"/>
      <c r="C329" s="3274"/>
      <c r="D329" s="3275"/>
      <c r="E329" s="3276">
        <f t="shared" si="177"/>
        <v>0</v>
      </c>
      <c r="F329" s="3277"/>
      <c r="G329" s="3278">
        <f t="shared" si="152"/>
        <v>0</v>
      </c>
      <c r="H329" s="3279">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6">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1371">
        <f t="shared" si="178"/>
        <v>0</v>
      </c>
      <c r="AW329" s="1371">
        <f t="shared" si="179"/>
        <v>0</v>
      </c>
      <c r="AX329" s="1371">
        <f t="shared" si="180"/>
        <v>0</v>
      </c>
      <c r="AY329" s="3321">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8">
        <f t="shared" si="176"/>
        <v>0</v>
      </c>
    </row>
    <row r="330" spans="1:72">
      <c r="A330" s="3273"/>
      <c r="B330" s="3274"/>
      <c r="C330" s="3274"/>
      <c r="D330" s="3275"/>
      <c r="E330" s="3276">
        <f t="shared" si="177"/>
        <v>0</v>
      </c>
      <c r="F330" s="3277"/>
      <c r="G330" s="3278">
        <f t="shared" si="152"/>
        <v>0</v>
      </c>
      <c r="H330" s="3279">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6">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1371">
        <f t="shared" si="178"/>
        <v>0</v>
      </c>
      <c r="AW330" s="1371">
        <f t="shared" si="179"/>
        <v>0</v>
      </c>
      <c r="AX330" s="1371">
        <f t="shared" si="180"/>
        <v>0</v>
      </c>
      <c r="AY330" s="3321">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8">
        <f t="shared" si="176"/>
        <v>0</v>
      </c>
    </row>
    <row r="331" spans="1:72">
      <c r="A331" s="3273"/>
      <c r="B331" s="3274"/>
      <c r="C331" s="3274"/>
      <c r="D331" s="3275"/>
      <c r="E331" s="3276">
        <f t="shared" si="177"/>
        <v>0</v>
      </c>
      <c r="F331" s="3277"/>
      <c r="G331" s="3278">
        <f t="shared" si="152"/>
        <v>0</v>
      </c>
      <c r="H331" s="3279">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6">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1371">
        <f t="shared" si="178"/>
        <v>0</v>
      </c>
      <c r="AW331" s="1371">
        <f t="shared" si="179"/>
        <v>0</v>
      </c>
      <c r="AX331" s="1371">
        <f t="shared" si="180"/>
        <v>0</v>
      </c>
      <c r="AY331" s="3321">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8">
        <f t="shared" si="176"/>
        <v>0</v>
      </c>
    </row>
    <row r="332" spans="1:72">
      <c r="A332" s="3273"/>
      <c r="B332" s="3274"/>
      <c r="C332" s="3274"/>
      <c r="D332" s="3275"/>
      <c r="E332" s="3276">
        <f t="shared" si="177"/>
        <v>0</v>
      </c>
      <c r="F332" s="3277"/>
      <c r="G332" s="3278">
        <f t="shared" ref="G332:G363" si="181">H332+AC332+AT332</f>
        <v>0</v>
      </c>
      <c r="H332" s="3279">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6">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1371">
        <f t="shared" si="178"/>
        <v>0</v>
      </c>
      <c r="AW332" s="1371">
        <f t="shared" si="179"/>
        <v>0</v>
      </c>
      <c r="AX332" s="1371">
        <f t="shared" si="180"/>
        <v>0</v>
      </c>
      <c r="AY332" s="3321">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8">
        <f t="shared" ref="BT332:BT363" si="205">IF($D332="是",AR332-AS332,0)</f>
        <v>0</v>
      </c>
    </row>
    <row r="333" spans="1:72">
      <c r="A333" s="3273"/>
      <c r="B333" s="3274"/>
      <c r="C333" s="3274"/>
      <c r="D333" s="3275"/>
      <c r="E333" s="3276">
        <f t="shared" si="177"/>
        <v>0</v>
      </c>
      <c r="F333" s="3277"/>
      <c r="G333" s="3278">
        <f t="shared" si="181"/>
        <v>0</v>
      </c>
      <c r="H333" s="3279">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6">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1371">
        <f t="shared" si="178"/>
        <v>0</v>
      </c>
      <c r="AW333" s="1371">
        <f t="shared" si="179"/>
        <v>0</v>
      </c>
      <c r="AX333" s="1371">
        <f t="shared" si="180"/>
        <v>0</v>
      </c>
      <c r="AY333" s="3321">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8">
        <f t="shared" si="205"/>
        <v>0</v>
      </c>
    </row>
    <row r="334" spans="1:72">
      <c r="A334" s="3273"/>
      <c r="B334" s="3274"/>
      <c r="C334" s="3274"/>
      <c r="D334" s="3275"/>
      <c r="E334" s="3276">
        <f t="shared" si="177"/>
        <v>0</v>
      </c>
      <c r="F334" s="3277"/>
      <c r="G334" s="3278">
        <f t="shared" si="181"/>
        <v>0</v>
      </c>
      <c r="H334" s="3279">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6">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1371">
        <f t="shared" si="178"/>
        <v>0</v>
      </c>
      <c r="AW334" s="1371">
        <f t="shared" si="179"/>
        <v>0</v>
      </c>
      <c r="AX334" s="1371">
        <f t="shared" si="180"/>
        <v>0</v>
      </c>
      <c r="AY334" s="3321">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8">
        <f t="shared" si="205"/>
        <v>0</v>
      </c>
    </row>
    <row r="335" spans="1:72">
      <c r="A335" s="3273"/>
      <c r="B335" s="3274"/>
      <c r="C335" s="3274"/>
      <c r="D335" s="3275"/>
      <c r="E335" s="3276">
        <f t="shared" ref="E335:E366" si="206">IF($C$3="是",ROUND($A$3*G335/$B$3,2),ROUND($A$3*(G335-AT335)/$B$3,2))</f>
        <v>0</v>
      </c>
      <c r="F335" s="3277"/>
      <c r="G335" s="3278">
        <f t="shared" si="181"/>
        <v>0</v>
      </c>
      <c r="H335" s="3279">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6">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1371">
        <f t="shared" ref="AV335:AV366" si="207">A335</f>
        <v>0</v>
      </c>
      <c r="AW335" s="1371">
        <f t="shared" ref="AW335:AW366" si="208">B335</f>
        <v>0</v>
      </c>
      <c r="AX335" s="1371">
        <f t="shared" ref="AX335:AX366" si="209">C335</f>
        <v>0</v>
      </c>
      <c r="AY335" s="3321">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8">
        <f t="shared" si="205"/>
        <v>0</v>
      </c>
    </row>
    <row r="336" spans="1:72">
      <c r="A336" s="3273"/>
      <c r="B336" s="3274"/>
      <c r="C336" s="3274"/>
      <c r="D336" s="3275"/>
      <c r="E336" s="3276">
        <f t="shared" si="206"/>
        <v>0</v>
      </c>
      <c r="F336" s="3277"/>
      <c r="G336" s="3278">
        <f t="shared" si="181"/>
        <v>0</v>
      </c>
      <c r="H336" s="3279">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6">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1371">
        <f t="shared" si="207"/>
        <v>0</v>
      </c>
      <c r="AW336" s="1371">
        <f t="shared" si="208"/>
        <v>0</v>
      </c>
      <c r="AX336" s="1371">
        <f t="shared" si="209"/>
        <v>0</v>
      </c>
      <c r="AY336" s="3321">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8">
        <f t="shared" si="205"/>
        <v>0</v>
      </c>
    </row>
    <row r="337" spans="1:72">
      <c r="A337" s="3273"/>
      <c r="B337" s="3274"/>
      <c r="C337" s="3274"/>
      <c r="D337" s="3275"/>
      <c r="E337" s="3276">
        <f t="shared" si="206"/>
        <v>0</v>
      </c>
      <c r="F337" s="3277"/>
      <c r="G337" s="3278">
        <f t="shared" si="181"/>
        <v>0</v>
      </c>
      <c r="H337" s="3279">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6">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1371">
        <f t="shared" si="207"/>
        <v>0</v>
      </c>
      <c r="AW337" s="1371">
        <f t="shared" si="208"/>
        <v>0</v>
      </c>
      <c r="AX337" s="1371">
        <f t="shared" si="209"/>
        <v>0</v>
      </c>
      <c r="AY337" s="3321">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8">
        <f t="shared" si="205"/>
        <v>0</v>
      </c>
    </row>
    <row r="338" spans="1:72">
      <c r="A338" s="3273"/>
      <c r="B338" s="3274"/>
      <c r="C338" s="3274"/>
      <c r="D338" s="3275"/>
      <c r="E338" s="3276">
        <f t="shared" si="206"/>
        <v>0</v>
      </c>
      <c r="F338" s="3277"/>
      <c r="G338" s="3278">
        <f t="shared" si="181"/>
        <v>0</v>
      </c>
      <c r="H338" s="3279">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6">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1371">
        <f t="shared" si="207"/>
        <v>0</v>
      </c>
      <c r="AW338" s="1371">
        <f t="shared" si="208"/>
        <v>0</v>
      </c>
      <c r="AX338" s="1371">
        <f t="shared" si="209"/>
        <v>0</v>
      </c>
      <c r="AY338" s="3321">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8">
        <f t="shared" si="205"/>
        <v>0</v>
      </c>
    </row>
    <row r="339" spans="1:72">
      <c r="A339" s="3273"/>
      <c r="B339" s="3274"/>
      <c r="C339" s="3274"/>
      <c r="D339" s="3275"/>
      <c r="E339" s="3276">
        <f t="shared" si="206"/>
        <v>0</v>
      </c>
      <c r="F339" s="3277"/>
      <c r="G339" s="3278">
        <f t="shared" si="181"/>
        <v>0</v>
      </c>
      <c r="H339" s="3279">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6">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1371">
        <f t="shared" si="207"/>
        <v>0</v>
      </c>
      <c r="AW339" s="1371">
        <f t="shared" si="208"/>
        <v>0</v>
      </c>
      <c r="AX339" s="1371">
        <f t="shared" si="209"/>
        <v>0</v>
      </c>
      <c r="AY339" s="3321">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8">
        <f t="shared" si="205"/>
        <v>0</v>
      </c>
    </row>
    <row r="340" spans="1:72">
      <c r="A340" s="3273"/>
      <c r="B340" s="3274"/>
      <c r="C340" s="3274"/>
      <c r="D340" s="3275"/>
      <c r="E340" s="3276">
        <f t="shared" si="206"/>
        <v>0</v>
      </c>
      <c r="F340" s="3277"/>
      <c r="G340" s="3278">
        <f t="shared" si="181"/>
        <v>0</v>
      </c>
      <c r="H340" s="3279">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6">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1371">
        <f t="shared" si="207"/>
        <v>0</v>
      </c>
      <c r="AW340" s="1371">
        <f t="shared" si="208"/>
        <v>0</v>
      </c>
      <c r="AX340" s="1371">
        <f t="shared" si="209"/>
        <v>0</v>
      </c>
      <c r="AY340" s="3321">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8">
        <f t="shared" si="205"/>
        <v>0</v>
      </c>
    </row>
    <row r="341" spans="1:72">
      <c r="A341" s="3273"/>
      <c r="B341" s="3274"/>
      <c r="C341" s="3274"/>
      <c r="D341" s="3275"/>
      <c r="E341" s="3276">
        <f t="shared" si="206"/>
        <v>0</v>
      </c>
      <c r="F341" s="3277"/>
      <c r="G341" s="3278">
        <f t="shared" si="181"/>
        <v>0</v>
      </c>
      <c r="H341" s="3279">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6">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1371">
        <f t="shared" si="207"/>
        <v>0</v>
      </c>
      <c r="AW341" s="1371">
        <f t="shared" si="208"/>
        <v>0</v>
      </c>
      <c r="AX341" s="1371">
        <f t="shared" si="209"/>
        <v>0</v>
      </c>
      <c r="AY341" s="3321">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8">
        <f t="shared" si="205"/>
        <v>0</v>
      </c>
    </row>
    <row r="342" spans="1:72">
      <c r="A342" s="3273"/>
      <c r="B342" s="3274"/>
      <c r="C342" s="3274"/>
      <c r="D342" s="3275"/>
      <c r="E342" s="3276">
        <f t="shared" si="206"/>
        <v>0</v>
      </c>
      <c r="F342" s="3277"/>
      <c r="G342" s="3278">
        <f t="shared" si="181"/>
        <v>0</v>
      </c>
      <c r="H342" s="3279">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6">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1371">
        <f t="shared" si="207"/>
        <v>0</v>
      </c>
      <c r="AW342" s="1371">
        <f t="shared" si="208"/>
        <v>0</v>
      </c>
      <c r="AX342" s="1371">
        <f t="shared" si="209"/>
        <v>0</v>
      </c>
      <c r="AY342" s="3321">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8">
        <f t="shared" si="205"/>
        <v>0</v>
      </c>
    </row>
    <row r="343" spans="1:72">
      <c r="A343" s="3273"/>
      <c r="B343" s="3274"/>
      <c r="C343" s="3274"/>
      <c r="D343" s="3275"/>
      <c r="E343" s="3276">
        <f t="shared" si="206"/>
        <v>0</v>
      </c>
      <c r="F343" s="3277"/>
      <c r="G343" s="3278">
        <f t="shared" si="181"/>
        <v>0</v>
      </c>
      <c r="H343" s="3279">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6">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1371">
        <f t="shared" si="207"/>
        <v>0</v>
      </c>
      <c r="AW343" s="1371">
        <f t="shared" si="208"/>
        <v>0</v>
      </c>
      <c r="AX343" s="1371">
        <f t="shared" si="209"/>
        <v>0</v>
      </c>
      <c r="AY343" s="3321">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8">
        <f t="shared" si="205"/>
        <v>0</v>
      </c>
    </row>
    <row r="344" spans="1:72">
      <c r="A344" s="3273"/>
      <c r="B344" s="3274"/>
      <c r="C344" s="3274"/>
      <c r="D344" s="3275"/>
      <c r="E344" s="3276">
        <f t="shared" si="206"/>
        <v>0</v>
      </c>
      <c r="F344" s="3277"/>
      <c r="G344" s="3278">
        <f t="shared" si="181"/>
        <v>0</v>
      </c>
      <c r="H344" s="3279">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6">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1371">
        <f t="shared" si="207"/>
        <v>0</v>
      </c>
      <c r="AW344" s="1371">
        <f t="shared" si="208"/>
        <v>0</v>
      </c>
      <c r="AX344" s="1371">
        <f t="shared" si="209"/>
        <v>0</v>
      </c>
      <c r="AY344" s="3321">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8">
        <f t="shared" si="205"/>
        <v>0</v>
      </c>
    </row>
    <row r="345" spans="1:72">
      <c r="A345" s="3273"/>
      <c r="B345" s="3274"/>
      <c r="C345" s="3274"/>
      <c r="D345" s="3275"/>
      <c r="E345" s="3276">
        <f t="shared" si="206"/>
        <v>0</v>
      </c>
      <c r="F345" s="3277"/>
      <c r="G345" s="3278">
        <f t="shared" si="181"/>
        <v>0</v>
      </c>
      <c r="H345" s="3279">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6">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1371">
        <f t="shared" si="207"/>
        <v>0</v>
      </c>
      <c r="AW345" s="1371">
        <f t="shared" si="208"/>
        <v>0</v>
      </c>
      <c r="AX345" s="1371">
        <f t="shared" si="209"/>
        <v>0</v>
      </c>
      <c r="AY345" s="3321">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8">
        <f t="shared" si="205"/>
        <v>0</v>
      </c>
    </row>
    <row r="346" spans="1:72">
      <c r="A346" s="3273"/>
      <c r="B346" s="3274"/>
      <c r="C346" s="3274"/>
      <c r="D346" s="3275"/>
      <c r="E346" s="3276">
        <f t="shared" si="206"/>
        <v>0</v>
      </c>
      <c r="F346" s="3277"/>
      <c r="G346" s="3278">
        <f t="shared" si="181"/>
        <v>0</v>
      </c>
      <c r="H346" s="3279">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6">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1371">
        <f t="shared" si="207"/>
        <v>0</v>
      </c>
      <c r="AW346" s="1371">
        <f t="shared" si="208"/>
        <v>0</v>
      </c>
      <c r="AX346" s="1371">
        <f t="shared" si="209"/>
        <v>0</v>
      </c>
      <c r="AY346" s="3321">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8">
        <f t="shared" si="205"/>
        <v>0</v>
      </c>
    </row>
    <row r="347" spans="1:72">
      <c r="A347" s="3273"/>
      <c r="B347" s="3274"/>
      <c r="C347" s="3274"/>
      <c r="D347" s="3275"/>
      <c r="E347" s="3276">
        <f t="shared" si="206"/>
        <v>0</v>
      </c>
      <c r="F347" s="3277"/>
      <c r="G347" s="3278">
        <f t="shared" si="181"/>
        <v>0</v>
      </c>
      <c r="H347" s="3279">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6">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1371">
        <f t="shared" si="207"/>
        <v>0</v>
      </c>
      <c r="AW347" s="1371">
        <f t="shared" si="208"/>
        <v>0</v>
      </c>
      <c r="AX347" s="1371">
        <f t="shared" si="209"/>
        <v>0</v>
      </c>
      <c r="AY347" s="3321">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8">
        <f t="shared" si="205"/>
        <v>0</v>
      </c>
    </row>
    <row r="348" spans="1:72">
      <c r="A348" s="3273"/>
      <c r="B348" s="3274"/>
      <c r="C348" s="3274"/>
      <c r="D348" s="3275"/>
      <c r="E348" s="3276">
        <f t="shared" si="206"/>
        <v>0</v>
      </c>
      <c r="F348" s="3277"/>
      <c r="G348" s="3278">
        <f t="shared" si="181"/>
        <v>0</v>
      </c>
      <c r="H348" s="3279">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6">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1371">
        <f t="shared" si="207"/>
        <v>0</v>
      </c>
      <c r="AW348" s="1371">
        <f t="shared" si="208"/>
        <v>0</v>
      </c>
      <c r="AX348" s="1371">
        <f t="shared" si="209"/>
        <v>0</v>
      </c>
      <c r="AY348" s="3321">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8">
        <f t="shared" si="205"/>
        <v>0</v>
      </c>
    </row>
    <row r="349" spans="1:72">
      <c r="A349" s="3273"/>
      <c r="B349" s="3274"/>
      <c r="C349" s="3274"/>
      <c r="D349" s="3275"/>
      <c r="E349" s="3276">
        <f t="shared" si="206"/>
        <v>0</v>
      </c>
      <c r="F349" s="3277"/>
      <c r="G349" s="3278">
        <f t="shared" si="181"/>
        <v>0</v>
      </c>
      <c r="H349" s="3279">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6">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1371">
        <f t="shared" si="207"/>
        <v>0</v>
      </c>
      <c r="AW349" s="1371">
        <f t="shared" si="208"/>
        <v>0</v>
      </c>
      <c r="AX349" s="1371">
        <f t="shared" si="209"/>
        <v>0</v>
      </c>
      <c r="AY349" s="3321">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8">
        <f t="shared" si="205"/>
        <v>0</v>
      </c>
    </row>
    <row r="350" spans="1:72">
      <c r="A350" s="3273"/>
      <c r="B350" s="3274"/>
      <c r="C350" s="3274"/>
      <c r="D350" s="3275"/>
      <c r="E350" s="3276">
        <f t="shared" si="206"/>
        <v>0</v>
      </c>
      <c r="F350" s="3277"/>
      <c r="G350" s="3278">
        <f t="shared" si="181"/>
        <v>0</v>
      </c>
      <c r="H350" s="3279">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6">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1371">
        <f t="shared" si="207"/>
        <v>0</v>
      </c>
      <c r="AW350" s="1371">
        <f t="shared" si="208"/>
        <v>0</v>
      </c>
      <c r="AX350" s="1371">
        <f t="shared" si="209"/>
        <v>0</v>
      </c>
      <c r="AY350" s="3321">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8">
        <f t="shared" si="205"/>
        <v>0</v>
      </c>
    </row>
    <row r="351" spans="1:72">
      <c r="A351" s="3273"/>
      <c r="B351" s="3274"/>
      <c r="C351" s="3274"/>
      <c r="D351" s="3275"/>
      <c r="E351" s="3276">
        <f t="shared" si="206"/>
        <v>0</v>
      </c>
      <c r="F351" s="3277"/>
      <c r="G351" s="3278">
        <f t="shared" si="181"/>
        <v>0</v>
      </c>
      <c r="H351" s="3279">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6">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1371">
        <f t="shared" si="207"/>
        <v>0</v>
      </c>
      <c r="AW351" s="1371">
        <f t="shared" si="208"/>
        <v>0</v>
      </c>
      <c r="AX351" s="1371">
        <f t="shared" si="209"/>
        <v>0</v>
      </c>
      <c r="AY351" s="3321">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8">
        <f t="shared" si="205"/>
        <v>0</v>
      </c>
    </row>
    <row r="352" spans="1:72">
      <c r="A352" s="3273"/>
      <c r="B352" s="3274"/>
      <c r="C352" s="3274"/>
      <c r="D352" s="3275"/>
      <c r="E352" s="3276">
        <f t="shared" si="206"/>
        <v>0</v>
      </c>
      <c r="F352" s="3277"/>
      <c r="G352" s="3278">
        <f t="shared" si="181"/>
        <v>0</v>
      </c>
      <c r="H352" s="3279">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6">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1371">
        <f t="shared" si="207"/>
        <v>0</v>
      </c>
      <c r="AW352" s="1371">
        <f t="shared" si="208"/>
        <v>0</v>
      </c>
      <c r="AX352" s="1371">
        <f t="shared" si="209"/>
        <v>0</v>
      </c>
      <c r="AY352" s="3321">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8">
        <f t="shared" si="205"/>
        <v>0</v>
      </c>
    </row>
    <row r="353" spans="1:72">
      <c r="A353" s="3273"/>
      <c r="B353" s="3274"/>
      <c r="C353" s="3274"/>
      <c r="D353" s="3275"/>
      <c r="E353" s="3276">
        <f t="shared" si="206"/>
        <v>0</v>
      </c>
      <c r="F353" s="3277"/>
      <c r="G353" s="3278">
        <f t="shared" si="181"/>
        <v>0</v>
      </c>
      <c r="H353" s="3279">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6">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1371">
        <f t="shared" si="207"/>
        <v>0</v>
      </c>
      <c r="AW353" s="1371">
        <f t="shared" si="208"/>
        <v>0</v>
      </c>
      <c r="AX353" s="1371">
        <f t="shared" si="209"/>
        <v>0</v>
      </c>
      <c r="AY353" s="3321">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8">
        <f t="shared" si="205"/>
        <v>0</v>
      </c>
    </row>
    <row r="354" spans="1:72">
      <c r="A354" s="3273"/>
      <c r="B354" s="3274"/>
      <c r="C354" s="3274"/>
      <c r="D354" s="3275"/>
      <c r="E354" s="3276">
        <f t="shared" si="206"/>
        <v>0</v>
      </c>
      <c r="F354" s="3277"/>
      <c r="G354" s="3278">
        <f t="shared" si="181"/>
        <v>0</v>
      </c>
      <c r="H354" s="3279">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6">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1371">
        <f t="shared" si="207"/>
        <v>0</v>
      </c>
      <c r="AW354" s="1371">
        <f t="shared" si="208"/>
        <v>0</v>
      </c>
      <c r="AX354" s="1371">
        <f t="shared" si="209"/>
        <v>0</v>
      </c>
      <c r="AY354" s="3321">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8">
        <f t="shared" si="205"/>
        <v>0</v>
      </c>
    </row>
    <row r="355" spans="1:72">
      <c r="A355" s="3273"/>
      <c r="B355" s="3274"/>
      <c r="C355" s="3274"/>
      <c r="D355" s="3275"/>
      <c r="E355" s="3276">
        <f t="shared" si="206"/>
        <v>0</v>
      </c>
      <c r="F355" s="3277"/>
      <c r="G355" s="3278">
        <f t="shared" si="181"/>
        <v>0</v>
      </c>
      <c r="H355" s="3279">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6">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1371">
        <f t="shared" si="207"/>
        <v>0</v>
      </c>
      <c r="AW355" s="1371">
        <f t="shared" si="208"/>
        <v>0</v>
      </c>
      <c r="AX355" s="1371">
        <f t="shared" si="209"/>
        <v>0</v>
      </c>
      <c r="AY355" s="3321">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8">
        <f t="shared" si="205"/>
        <v>0</v>
      </c>
    </row>
    <row r="356" spans="1:72">
      <c r="A356" s="3273"/>
      <c r="B356" s="3274"/>
      <c r="C356" s="3274"/>
      <c r="D356" s="3275"/>
      <c r="E356" s="3276">
        <f t="shared" si="206"/>
        <v>0</v>
      </c>
      <c r="F356" s="3277"/>
      <c r="G356" s="3278">
        <f t="shared" si="181"/>
        <v>0</v>
      </c>
      <c r="H356" s="3279">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6">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1371">
        <f t="shared" si="207"/>
        <v>0</v>
      </c>
      <c r="AW356" s="1371">
        <f t="shared" si="208"/>
        <v>0</v>
      </c>
      <c r="AX356" s="1371">
        <f t="shared" si="209"/>
        <v>0</v>
      </c>
      <c r="AY356" s="3321">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8">
        <f t="shared" si="205"/>
        <v>0</v>
      </c>
    </row>
    <row r="357" spans="1:72">
      <c r="A357" s="3273"/>
      <c r="B357" s="3274"/>
      <c r="C357" s="3274"/>
      <c r="D357" s="3275"/>
      <c r="E357" s="3276">
        <f t="shared" si="206"/>
        <v>0</v>
      </c>
      <c r="F357" s="3277"/>
      <c r="G357" s="3278">
        <f t="shared" si="181"/>
        <v>0</v>
      </c>
      <c r="H357" s="3279">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6">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1371">
        <f t="shared" si="207"/>
        <v>0</v>
      </c>
      <c r="AW357" s="1371">
        <f t="shared" si="208"/>
        <v>0</v>
      </c>
      <c r="AX357" s="1371">
        <f t="shared" si="209"/>
        <v>0</v>
      </c>
      <c r="AY357" s="3321">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8">
        <f t="shared" si="205"/>
        <v>0</v>
      </c>
    </row>
    <row r="358" spans="1:72">
      <c r="A358" s="3273"/>
      <c r="B358" s="3274"/>
      <c r="C358" s="3274"/>
      <c r="D358" s="3275"/>
      <c r="E358" s="3276">
        <f t="shared" si="206"/>
        <v>0</v>
      </c>
      <c r="F358" s="3277"/>
      <c r="G358" s="3278">
        <f t="shared" si="181"/>
        <v>0</v>
      </c>
      <c r="H358" s="3279">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6">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1371">
        <f t="shared" si="207"/>
        <v>0</v>
      </c>
      <c r="AW358" s="1371">
        <f t="shared" si="208"/>
        <v>0</v>
      </c>
      <c r="AX358" s="1371">
        <f t="shared" si="209"/>
        <v>0</v>
      </c>
      <c r="AY358" s="3321">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8">
        <f t="shared" si="205"/>
        <v>0</v>
      </c>
    </row>
    <row r="359" spans="1:72">
      <c r="A359" s="3273"/>
      <c r="B359" s="3274"/>
      <c r="C359" s="3274"/>
      <c r="D359" s="3275"/>
      <c r="E359" s="3276">
        <f t="shared" si="206"/>
        <v>0</v>
      </c>
      <c r="F359" s="3277"/>
      <c r="G359" s="3278">
        <f t="shared" si="181"/>
        <v>0</v>
      </c>
      <c r="H359" s="3279">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6">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1371">
        <f t="shared" si="207"/>
        <v>0</v>
      </c>
      <c r="AW359" s="1371">
        <f t="shared" si="208"/>
        <v>0</v>
      </c>
      <c r="AX359" s="1371">
        <f t="shared" si="209"/>
        <v>0</v>
      </c>
      <c r="AY359" s="3321">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8">
        <f t="shared" si="205"/>
        <v>0</v>
      </c>
    </row>
    <row r="360" spans="1:72">
      <c r="A360" s="3273"/>
      <c r="B360" s="3274"/>
      <c r="C360" s="3274"/>
      <c r="D360" s="3275"/>
      <c r="E360" s="3276">
        <f t="shared" si="206"/>
        <v>0</v>
      </c>
      <c r="F360" s="3277"/>
      <c r="G360" s="3278">
        <f t="shared" si="181"/>
        <v>0</v>
      </c>
      <c r="H360" s="3279">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6">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1371">
        <f t="shared" si="207"/>
        <v>0</v>
      </c>
      <c r="AW360" s="1371">
        <f t="shared" si="208"/>
        <v>0</v>
      </c>
      <c r="AX360" s="1371">
        <f t="shared" si="209"/>
        <v>0</v>
      </c>
      <c r="AY360" s="3321">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8">
        <f t="shared" si="205"/>
        <v>0</v>
      </c>
    </row>
    <row r="361" spans="1:72">
      <c r="A361" s="3273"/>
      <c r="B361" s="3274"/>
      <c r="C361" s="3274"/>
      <c r="D361" s="3275"/>
      <c r="E361" s="3276">
        <f t="shared" si="206"/>
        <v>0</v>
      </c>
      <c r="F361" s="3277"/>
      <c r="G361" s="3278">
        <f t="shared" si="181"/>
        <v>0</v>
      </c>
      <c r="H361" s="3279">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6">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1371">
        <f t="shared" si="207"/>
        <v>0</v>
      </c>
      <c r="AW361" s="1371">
        <f t="shared" si="208"/>
        <v>0</v>
      </c>
      <c r="AX361" s="1371">
        <f t="shared" si="209"/>
        <v>0</v>
      </c>
      <c r="AY361" s="3321">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8">
        <f t="shared" si="205"/>
        <v>0</v>
      </c>
    </row>
    <row r="362" spans="1:72">
      <c r="A362" s="3273"/>
      <c r="B362" s="3274"/>
      <c r="C362" s="3274"/>
      <c r="D362" s="3275"/>
      <c r="E362" s="3276">
        <f t="shared" si="206"/>
        <v>0</v>
      </c>
      <c r="F362" s="3277"/>
      <c r="G362" s="3278">
        <f t="shared" si="181"/>
        <v>0</v>
      </c>
      <c r="H362" s="3279">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6">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1371">
        <f t="shared" si="207"/>
        <v>0</v>
      </c>
      <c r="AW362" s="1371">
        <f t="shared" si="208"/>
        <v>0</v>
      </c>
      <c r="AX362" s="1371">
        <f t="shared" si="209"/>
        <v>0</v>
      </c>
      <c r="AY362" s="3321">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8">
        <f t="shared" si="205"/>
        <v>0</v>
      </c>
    </row>
    <row r="363" spans="1:72">
      <c r="A363" s="3273"/>
      <c r="B363" s="3274"/>
      <c r="C363" s="3274"/>
      <c r="D363" s="3275"/>
      <c r="E363" s="3276">
        <f t="shared" si="206"/>
        <v>0</v>
      </c>
      <c r="F363" s="3277"/>
      <c r="G363" s="3278">
        <f t="shared" si="181"/>
        <v>0</v>
      </c>
      <c r="H363" s="3279">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6">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1371">
        <f t="shared" si="207"/>
        <v>0</v>
      </c>
      <c r="AW363" s="1371">
        <f t="shared" si="208"/>
        <v>0</v>
      </c>
      <c r="AX363" s="1371">
        <f t="shared" si="209"/>
        <v>0</v>
      </c>
      <c r="AY363" s="3321">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8">
        <f t="shared" si="205"/>
        <v>0</v>
      </c>
    </row>
    <row r="364" spans="1:72">
      <c r="A364" s="3273"/>
      <c r="B364" s="3274"/>
      <c r="C364" s="3274"/>
      <c r="D364" s="3275"/>
      <c r="E364" s="3276">
        <f t="shared" si="206"/>
        <v>0</v>
      </c>
      <c r="F364" s="3277"/>
      <c r="G364" s="3278">
        <f t="shared" ref="G364:G397" si="210">H364+AC364+AT364</f>
        <v>0</v>
      </c>
      <c r="H364" s="3279">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6">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1371">
        <f t="shared" si="207"/>
        <v>0</v>
      </c>
      <c r="AW364" s="1371">
        <f t="shared" si="208"/>
        <v>0</v>
      </c>
      <c r="AX364" s="1371">
        <f t="shared" si="209"/>
        <v>0</v>
      </c>
      <c r="AY364" s="3321">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8">
        <f t="shared" ref="BT364:BT397" si="234">IF($D364="是",AR364-AS364,0)</f>
        <v>0</v>
      </c>
    </row>
    <row r="365" spans="1:72">
      <c r="A365" s="3273"/>
      <c r="B365" s="3274"/>
      <c r="C365" s="3274"/>
      <c r="D365" s="3275"/>
      <c r="E365" s="3276">
        <f t="shared" si="206"/>
        <v>0</v>
      </c>
      <c r="F365" s="3277"/>
      <c r="G365" s="3278">
        <f t="shared" si="210"/>
        <v>0</v>
      </c>
      <c r="H365" s="3279">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6">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1371">
        <f t="shared" si="207"/>
        <v>0</v>
      </c>
      <c r="AW365" s="1371">
        <f t="shared" si="208"/>
        <v>0</v>
      </c>
      <c r="AX365" s="1371">
        <f t="shared" si="209"/>
        <v>0</v>
      </c>
      <c r="AY365" s="3321">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8">
        <f t="shared" si="234"/>
        <v>0</v>
      </c>
    </row>
    <row r="366" spans="1:72">
      <c r="A366" s="3273"/>
      <c r="B366" s="3274"/>
      <c r="C366" s="3274"/>
      <c r="D366" s="3275"/>
      <c r="E366" s="3276">
        <f t="shared" si="206"/>
        <v>0</v>
      </c>
      <c r="F366" s="3277"/>
      <c r="G366" s="3278">
        <f t="shared" si="210"/>
        <v>0</v>
      </c>
      <c r="H366" s="3279">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6">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1371">
        <f t="shared" si="207"/>
        <v>0</v>
      </c>
      <c r="AW366" s="1371">
        <f t="shared" si="208"/>
        <v>0</v>
      </c>
      <c r="AX366" s="1371">
        <f t="shared" si="209"/>
        <v>0</v>
      </c>
      <c r="AY366" s="3321">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8">
        <f t="shared" si="234"/>
        <v>0</v>
      </c>
    </row>
    <row r="367" spans="1:72">
      <c r="A367" s="3273"/>
      <c r="B367" s="3274"/>
      <c r="C367" s="3274"/>
      <c r="D367" s="3275"/>
      <c r="E367" s="3276">
        <f t="shared" ref="E367:E397" si="235">IF($C$3="是",ROUND($A$3*G367/$B$3,2),ROUND($A$3*(G367-AT367)/$B$3,2))</f>
        <v>0</v>
      </c>
      <c r="F367" s="3277"/>
      <c r="G367" s="3278">
        <f t="shared" si="210"/>
        <v>0</v>
      </c>
      <c r="H367" s="3279">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6">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1371">
        <f t="shared" ref="AV367:AV397" si="236">A367</f>
        <v>0</v>
      </c>
      <c r="AW367" s="1371">
        <f t="shared" ref="AW367:AW397" si="237">B367</f>
        <v>0</v>
      </c>
      <c r="AX367" s="1371">
        <f t="shared" ref="AX367:AX397" si="238">C367</f>
        <v>0</v>
      </c>
      <c r="AY367" s="3321">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8">
        <f t="shared" si="234"/>
        <v>0</v>
      </c>
    </row>
    <row r="368" spans="1:72">
      <c r="A368" s="3273"/>
      <c r="B368" s="3274"/>
      <c r="C368" s="3274"/>
      <c r="D368" s="3275"/>
      <c r="E368" s="3276">
        <f t="shared" si="235"/>
        <v>0</v>
      </c>
      <c r="F368" s="3277"/>
      <c r="G368" s="3278">
        <f t="shared" si="210"/>
        <v>0</v>
      </c>
      <c r="H368" s="3279">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6">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1371">
        <f t="shared" si="236"/>
        <v>0</v>
      </c>
      <c r="AW368" s="1371">
        <f t="shared" si="237"/>
        <v>0</v>
      </c>
      <c r="AX368" s="1371">
        <f t="shared" si="238"/>
        <v>0</v>
      </c>
      <c r="AY368" s="3321">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8">
        <f t="shared" si="234"/>
        <v>0</v>
      </c>
    </row>
    <row r="369" spans="1:72">
      <c r="A369" s="3273"/>
      <c r="B369" s="3274"/>
      <c r="C369" s="3274"/>
      <c r="D369" s="3275"/>
      <c r="E369" s="3276">
        <f t="shared" si="235"/>
        <v>0</v>
      </c>
      <c r="F369" s="3277"/>
      <c r="G369" s="3278">
        <f t="shared" si="210"/>
        <v>0</v>
      </c>
      <c r="H369" s="3279">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6">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1371">
        <f t="shared" si="236"/>
        <v>0</v>
      </c>
      <c r="AW369" s="1371">
        <f t="shared" si="237"/>
        <v>0</v>
      </c>
      <c r="AX369" s="1371">
        <f t="shared" si="238"/>
        <v>0</v>
      </c>
      <c r="AY369" s="3321">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8">
        <f t="shared" si="234"/>
        <v>0</v>
      </c>
    </row>
    <row r="370" spans="1:72">
      <c r="A370" s="3273"/>
      <c r="B370" s="3274"/>
      <c r="C370" s="3274"/>
      <c r="D370" s="3275"/>
      <c r="E370" s="3276">
        <f t="shared" si="235"/>
        <v>0</v>
      </c>
      <c r="F370" s="3277"/>
      <c r="G370" s="3278">
        <f t="shared" si="210"/>
        <v>0</v>
      </c>
      <c r="H370" s="3279">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6">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1371">
        <f t="shared" si="236"/>
        <v>0</v>
      </c>
      <c r="AW370" s="1371">
        <f t="shared" si="237"/>
        <v>0</v>
      </c>
      <c r="AX370" s="1371">
        <f t="shared" si="238"/>
        <v>0</v>
      </c>
      <c r="AY370" s="3321">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8">
        <f t="shared" si="234"/>
        <v>0</v>
      </c>
    </row>
    <row r="371" spans="1:72">
      <c r="A371" s="3273"/>
      <c r="B371" s="3274"/>
      <c r="C371" s="3274"/>
      <c r="D371" s="3275"/>
      <c r="E371" s="3276">
        <f t="shared" si="235"/>
        <v>0</v>
      </c>
      <c r="F371" s="3277"/>
      <c r="G371" s="3278">
        <f t="shared" si="210"/>
        <v>0</v>
      </c>
      <c r="H371" s="3279">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6">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1371">
        <f t="shared" si="236"/>
        <v>0</v>
      </c>
      <c r="AW371" s="1371">
        <f t="shared" si="237"/>
        <v>0</v>
      </c>
      <c r="AX371" s="1371">
        <f t="shared" si="238"/>
        <v>0</v>
      </c>
      <c r="AY371" s="3321">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8">
        <f t="shared" si="234"/>
        <v>0</v>
      </c>
    </row>
    <row r="372" spans="1:72">
      <c r="A372" s="3273"/>
      <c r="B372" s="3274"/>
      <c r="C372" s="3274"/>
      <c r="D372" s="3275"/>
      <c r="E372" s="3276">
        <f t="shared" si="235"/>
        <v>0</v>
      </c>
      <c r="F372" s="3277"/>
      <c r="G372" s="3278">
        <f t="shared" si="210"/>
        <v>0</v>
      </c>
      <c r="H372" s="3279">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6">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1371">
        <f t="shared" si="236"/>
        <v>0</v>
      </c>
      <c r="AW372" s="1371">
        <f t="shared" si="237"/>
        <v>0</v>
      </c>
      <c r="AX372" s="1371">
        <f t="shared" si="238"/>
        <v>0</v>
      </c>
      <c r="AY372" s="3321">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8">
        <f t="shared" si="234"/>
        <v>0</v>
      </c>
    </row>
    <row r="373" spans="1:72">
      <c r="A373" s="3273"/>
      <c r="B373" s="3274"/>
      <c r="C373" s="3274"/>
      <c r="D373" s="3275"/>
      <c r="E373" s="3276">
        <f t="shared" si="235"/>
        <v>0</v>
      </c>
      <c r="F373" s="3277"/>
      <c r="G373" s="3278">
        <f t="shared" si="210"/>
        <v>0</v>
      </c>
      <c r="H373" s="3279">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6">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1371">
        <f t="shared" si="236"/>
        <v>0</v>
      </c>
      <c r="AW373" s="1371">
        <f t="shared" si="237"/>
        <v>0</v>
      </c>
      <c r="AX373" s="1371">
        <f t="shared" si="238"/>
        <v>0</v>
      </c>
      <c r="AY373" s="3321">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8">
        <f t="shared" si="234"/>
        <v>0</v>
      </c>
    </row>
    <row r="374" spans="1:72">
      <c r="A374" s="3273"/>
      <c r="B374" s="3274"/>
      <c r="C374" s="3274"/>
      <c r="D374" s="3275"/>
      <c r="E374" s="3276">
        <f t="shared" si="235"/>
        <v>0</v>
      </c>
      <c r="F374" s="3277"/>
      <c r="G374" s="3278">
        <f t="shared" si="210"/>
        <v>0</v>
      </c>
      <c r="H374" s="3279">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6">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1371">
        <f t="shared" si="236"/>
        <v>0</v>
      </c>
      <c r="AW374" s="1371">
        <f t="shared" si="237"/>
        <v>0</v>
      </c>
      <c r="AX374" s="1371">
        <f t="shared" si="238"/>
        <v>0</v>
      </c>
      <c r="AY374" s="3321">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8">
        <f t="shared" si="234"/>
        <v>0</v>
      </c>
    </row>
    <row r="375" spans="1:72">
      <c r="A375" s="3273"/>
      <c r="B375" s="3274"/>
      <c r="C375" s="3274"/>
      <c r="D375" s="3275"/>
      <c r="E375" s="3276">
        <f t="shared" si="235"/>
        <v>0</v>
      </c>
      <c r="F375" s="3277"/>
      <c r="G375" s="3278">
        <f t="shared" si="210"/>
        <v>0</v>
      </c>
      <c r="H375" s="3279">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6">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1371">
        <f t="shared" si="236"/>
        <v>0</v>
      </c>
      <c r="AW375" s="1371">
        <f t="shared" si="237"/>
        <v>0</v>
      </c>
      <c r="AX375" s="1371">
        <f t="shared" si="238"/>
        <v>0</v>
      </c>
      <c r="AY375" s="3321">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8">
        <f t="shared" si="234"/>
        <v>0</v>
      </c>
    </row>
    <row r="376" spans="1:72">
      <c r="A376" s="3273"/>
      <c r="B376" s="3274"/>
      <c r="C376" s="3274"/>
      <c r="D376" s="3275"/>
      <c r="E376" s="3276">
        <f t="shared" si="235"/>
        <v>0</v>
      </c>
      <c r="F376" s="3277"/>
      <c r="G376" s="3278">
        <f t="shared" si="210"/>
        <v>0</v>
      </c>
      <c r="H376" s="3279">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6">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1371">
        <f t="shared" si="236"/>
        <v>0</v>
      </c>
      <c r="AW376" s="1371">
        <f t="shared" si="237"/>
        <v>0</v>
      </c>
      <c r="AX376" s="1371">
        <f t="shared" si="238"/>
        <v>0</v>
      </c>
      <c r="AY376" s="3321">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8">
        <f t="shared" si="234"/>
        <v>0</v>
      </c>
    </row>
    <row r="377" spans="1:72">
      <c r="A377" s="3273"/>
      <c r="B377" s="3274"/>
      <c r="C377" s="3274"/>
      <c r="D377" s="3275"/>
      <c r="E377" s="3276">
        <f t="shared" si="235"/>
        <v>0</v>
      </c>
      <c r="F377" s="3277"/>
      <c r="G377" s="3278">
        <f t="shared" si="210"/>
        <v>0</v>
      </c>
      <c r="H377" s="3279">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6">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1371">
        <f t="shared" si="236"/>
        <v>0</v>
      </c>
      <c r="AW377" s="1371">
        <f t="shared" si="237"/>
        <v>0</v>
      </c>
      <c r="AX377" s="1371">
        <f t="shared" si="238"/>
        <v>0</v>
      </c>
      <c r="AY377" s="3321">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8">
        <f t="shared" si="234"/>
        <v>0</v>
      </c>
    </row>
    <row r="378" spans="1:72">
      <c r="A378" s="3273"/>
      <c r="B378" s="3274"/>
      <c r="C378" s="3274"/>
      <c r="D378" s="3275"/>
      <c r="E378" s="3276">
        <f t="shared" si="235"/>
        <v>0</v>
      </c>
      <c r="F378" s="3277"/>
      <c r="G378" s="3278">
        <f t="shared" si="210"/>
        <v>0</v>
      </c>
      <c r="H378" s="3279">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6">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1371">
        <f t="shared" si="236"/>
        <v>0</v>
      </c>
      <c r="AW378" s="1371">
        <f t="shared" si="237"/>
        <v>0</v>
      </c>
      <c r="AX378" s="1371">
        <f t="shared" si="238"/>
        <v>0</v>
      </c>
      <c r="AY378" s="3321">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8">
        <f t="shared" si="234"/>
        <v>0</v>
      </c>
    </row>
    <row r="379" spans="1:72">
      <c r="A379" s="3273"/>
      <c r="B379" s="3274"/>
      <c r="C379" s="3274"/>
      <c r="D379" s="3275"/>
      <c r="E379" s="3276">
        <f t="shared" si="235"/>
        <v>0</v>
      </c>
      <c r="F379" s="3277"/>
      <c r="G379" s="3278">
        <f t="shared" si="210"/>
        <v>0</v>
      </c>
      <c r="H379" s="3279">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6">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1371">
        <f t="shared" si="236"/>
        <v>0</v>
      </c>
      <c r="AW379" s="1371">
        <f t="shared" si="237"/>
        <v>0</v>
      </c>
      <c r="AX379" s="1371">
        <f t="shared" si="238"/>
        <v>0</v>
      </c>
      <c r="AY379" s="3321">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8">
        <f t="shared" si="234"/>
        <v>0</v>
      </c>
    </row>
    <row r="380" spans="1:72">
      <c r="A380" s="3273"/>
      <c r="B380" s="3274"/>
      <c r="C380" s="3274"/>
      <c r="D380" s="3275"/>
      <c r="E380" s="3276">
        <f t="shared" si="235"/>
        <v>0</v>
      </c>
      <c r="F380" s="3277"/>
      <c r="G380" s="3278">
        <f t="shared" si="210"/>
        <v>0</v>
      </c>
      <c r="H380" s="3279">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6">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1371">
        <f t="shared" si="236"/>
        <v>0</v>
      </c>
      <c r="AW380" s="1371">
        <f t="shared" si="237"/>
        <v>0</v>
      </c>
      <c r="AX380" s="1371">
        <f t="shared" si="238"/>
        <v>0</v>
      </c>
      <c r="AY380" s="3321">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8">
        <f t="shared" si="234"/>
        <v>0</v>
      </c>
    </row>
    <row r="381" spans="1:72">
      <c r="A381" s="3273"/>
      <c r="B381" s="3274"/>
      <c r="C381" s="3274"/>
      <c r="D381" s="3275"/>
      <c r="E381" s="3276">
        <f t="shared" si="235"/>
        <v>0</v>
      </c>
      <c r="F381" s="3277"/>
      <c r="G381" s="3278">
        <f t="shared" si="210"/>
        <v>0</v>
      </c>
      <c r="H381" s="3279">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6">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1371">
        <f t="shared" si="236"/>
        <v>0</v>
      </c>
      <c r="AW381" s="1371">
        <f t="shared" si="237"/>
        <v>0</v>
      </c>
      <c r="AX381" s="1371">
        <f t="shared" si="238"/>
        <v>0</v>
      </c>
      <c r="AY381" s="3321">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8">
        <f t="shared" si="234"/>
        <v>0</v>
      </c>
    </row>
    <row r="382" spans="1:72">
      <c r="A382" s="3273"/>
      <c r="B382" s="3274"/>
      <c r="C382" s="3274"/>
      <c r="D382" s="3275"/>
      <c r="E382" s="3276">
        <f t="shared" si="235"/>
        <v>0</v>
      </c>
      <c r="F382" s="3277"/>
      <c r="G382" s="3278">
        <f t="shared" si="210"/>
        <v>0</v>
      </c>
      <c r="H382" s="3279">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6">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1371">
        <f t="shared" si="236"/>
        <v>0</v>
      </c>
      <c r="AW382" s="1371">
        <f t="shared" si="237"/>
        <v>0</v>
      </c>
      <c r="AX382" s="1371">
        <f t="shared" si="238"/>
        <v>0</v>
      </c>
      <c r="AY382" s="3321">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8">
        <f t="shared" si="234"/>
        <v>0</v>
      </c>
    </row>
    <row r="383" spans="1:72">
      <c r="A383" s="3273"/>
      <c r="B383" s="3274"/>
      <c r="C383" s="3274"/>
      <c r="D383" s="3275"/>
      <c r="E383" s="3276">
        <f t="shared" si="235"/>
        <v>0</v>
      </c>
      <c r="F383" s="3277"/>
      <c r="G383" s="3278">
        <f t="shared" si="210"/>
        <v>0</v>
      </c>
      <c r="H383" s="3279">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6">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1371">
        <f t="shared" si="236"/>
        <v>0</v>
      </c>
      <c r="AW383" s="1371">
        <f t="shared" si="237"/>
        <v>0</v>
      </c>
      <c r="AX383" s="1371">
        <f t="shared" si="238"/>
        <v>0</v>
      </c>
      <c r="AY383" s="3321">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8">
        <f t="shared" si="234"/>
        <v>0</v>
      </c>
    </row>
    <row r="384" spans="1:72">
      <c r="A384" s="3273"/>
      <c r="B384" s="3274"/>
      <c r="C384" s="3274"/>
      <c r="D384" s="3275"/>
      <c r="E384" s="3276">
        <f t="shared" si="235"/>
        <v>0</v>
      </c>
      <c r="F384" s="3277"/>
      <c r="G384" s="3278">
        <f t="shared" si="210"/>
        <v>0</v>
      </c>
      <c r="H384" s="3279">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6">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1371">
        <f t="shared" si="236"/>
        <v>0</v>
      </c>
      <c r="AW384" s="1371">
        <f t="shared" si="237"/>
        <v>0</v>
      </c>
      <c r="AX384" s="1371">
        <f t="shared" si="238"/>
        <v>0</v>
      </c>
      <c r="AY384" s="3321">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8">
        <f t="shared" si="234"/>
        <v>0</v>
      </c>
    </row>
    <row r="385" spans="1:72">
      <c r="A385" s="3273"/>
      <c r="B385" s="3274"/>
      <c r="C385" s="3274"/>
      <c r="D385" s="3275"/>
      <c r="E385" s="3276">
        <f t="shared" si="235"/>
        <v>0</v>
      </c>
      <c r="F385" s="3277"/>
      <c r="G385" s="3278">
        <f t="shared" si="210"/>
        <v>0</v>
      </c>
      <c r="H385" s="3279">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6">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1371">
        <f t="shared" si="236"/>
        <v>0</v>
      </c>
      <c r="AW385" s="1371">
        <f t="shared" si="237"/>
        <v>0</v>
      </c>
      <c r="AX385" s="1371">
        <f t="shared" si="238"/>
        <v>0</v>
      </c>
      <c r="AY385" s="3321">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8">
        <f t="shared" si="234"/>
        <v>0</v>
      </c>
    </row>
    <row r="386" spans="1:72">
      <c r="A386" s="3273"/>
      <c r="B386" s="3274"/>
      <c r="C386" s="3274"/>
      <c r="D386" s="3275"/>
      <c r="E386" s="3276">
        <f t="shared" si="235"/>
        <v>0</v>
      </c>
      <c r="F386" s="3277"/>
      <c r="G386" s="3278">
        <f t="shared" si="210"/>
        <v>0</v>
      </c>
      <c r="H386" s="3279">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6">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1371">
        <f t="shared" si="236"/>
        <v>0</v>
      </c>
      <c r="AW386" s="1371">
        <f t="shared" si="237"/>
        <v>0</v>
      </c>
      <c r="AX386" s="1371">
        <f t="shared" si="238"/>
        <v>0</v>
      </c>
      <c r="AY386" s="3321">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8">
        <f t="shared" si="234"/>
        <v>0</v>
      </c>
    </row>
    <row r="387" spans="1:72">
      <c r="A387" s="3273"/>
      <c r="B387" s="3274"/>
      <c r="C387" s="3274"/>
      <c r="D387" s="3275"/>
      <c r="E387" s="3276">
        <f t="shared" si="235"/>
        <v>0</v>
      </c>
      <c r="F387" s="3277"/>
      <c r="G387" s="3278">
        <f t="shared" si="210"/>
        <v>0</v>
      </c>
      <c r="H387" s="3279">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6">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1371">
        <f t="shared" si="236"/>
        <v>0</v>
      </c>
      <c r="AW387" s="1371">
        <f t="shared" si="237"/>
        <v>0</v>
      </c>
      <c r="AX387" s="1371">
        <f t="shared" si="238"/>
        <v>0</v>
      </c>
      <c r="AY387" s="3321">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8">
        <f t="shared" si="234"/>
        <v>0</v>
      </c>
    </row>
    <row r="388" spans="1:72">
      <c r="A388" s="3273"/>
      <c r="B388" s="3274"/>
      <c r="C388" s="3274"/>
      <c r="D388" s="3275"/>
      <c r="E388" s="3276">
        <f t="shared" si="235"/>
        <v>0</v>
      </c>
      <c r="F388" s="3277"/>
      <c r="G388" s="3278">
        <f t="shared" si="210"/>
        <v>0</v>
      </c>
      <c r="H388" s="3279">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6">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1371">
        <f t="shared" si="236"/>
        <v>0</v>
      </c>
      <c r="AW388" s="1371">
        <f t="shared" si="237"/>
        <v>0</v>
      </c>
      <c r="AX388" s="1371">
        <f t="shared" si="238"/>
        <v>0</v>
      </c>
      <c r="AY388" s="3321">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8">
        <f t="shared" si="234"/>
        <v>0</v>
      </c>
    </row>
    <row r="389" spans="1:72">
      <c r="A389" s="3273"/>
      <c r="B389" s="3274"/>
      <c r="C389" s="3274"/>
      <c r="D389" s="3275"/>
      <c r="E389" s="3276">
        <f t="shared" si="235"/>
        <v>0</v>
      </c>
      <c r="F389" s="3277"/>
      <c r="G389" s="3278">
        <f t="shared" si="210"/>
        <v>0</v>
      </c>
      <c r="H389" s="3279">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6">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1371">
        <f t="shared" si="236"/>
        <v>0</v>
      </c>
      <c r="AW389" s="1371">
        <f t="shared" si="237"/>
        <v>0</v>
      </c>
      <c r="AX389" s="1371">
        <f t="shared" si="238"/>
        <v>0</v>
      </c>
      <c r="AY389" s="3321">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8">
        <f t="shared" si="234"/>
        <v>0</v>
      </c>
    </row>
    <row r="390" spans="1:72">
      <c r="A390" s="3273"/>
      <c r="B390" s="3274"/>
      <c r="C390" s="3274"/>
      <c r="D390" s="3275"/>
      <c r="E390" s="3276">
        <f t="shared" si="235"/>
        <v>0</v>
      </c>
      <c r="F390" s="3277"/>
      <c r="G390" s="3278">
        <f t="shared" si="210"/>
        <v>0</v>
      </c>
      <c r="H390" s="3279">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6">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1371">
        <f t="shared" si="236"/>
        <v>0</v>
      </c>
      <c r="AW390" s="1371">
        <f t="shared" si="237"/>
        <v>0</v>
      </c>
      <c r="AX390" s="1371">
        <f t="shared" si="238"/>
        <v>0</v>
      </c>
      <c r="AY390" s="3321">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8">
        <f t="shared" si="234"/>
        <v>0</v>
      </c>
    </row>
    <row r="391" spans="1:72">
      <c r="A391" s="3273"/>
      <c r="B391" s="3274"/>
      <c r="C391" s="3274"/>
      <c r="D391" s="3275"/>
      <c r="E391" s="3276">
        <f t="shared" si="235"/>
        <v>0</v>
      </c>
      <c r="F391" s="3277"/>
      <c r="G391" s="3278">
        <f t="shared" si="210"/>
        <v>0</v>
      </c>
      <c r="H391" s="3279">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6">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1371">
        <f t="shared" si="236"/>
        <v>0</v>
      </c>
      <c r="AW391" s="1371">
        <f t="shared" si="237"/>
        <v>0</v>
      </c>
      <c r="AX391" s="1371">
        <f t="shared" si="238"/>
        <v>0</v>
      </c>
      <c r="AY391" s="3321">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8">
        <f t="shared" si="234"/>
        <v>0</v>
      </c>
    </row>
    <row r="392" spans="1:72">
      <c r="A392" s="3273"/>
      <c r="B392" s="3274"/>
      <c r="C392" s="3274"/>
      <c r="D392" s="3275"/>
      <c r="E392" s="3276">
        <f t="shared" si="235"/>
        <v>0</v>
      </c>
      <c r="F392" s="3277"/>
      <c r="G392" s="3278">
        <f t="shared" si="210"/>
        <v>0</v>
      </c>
      <c r="H392" s="3279">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6">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1371">
        <f t="shared" si="236"/>
        <v>0</v>
      </c>
      <c r="AW392" s="1371">
        <f t="shared" si="237"/>
        <v>0</v>
      </c>
      <c r="AX392" s="1371">
        <f t="shared" si="238"/>
        <v>0</v>
      </c>
      <c r="AY392" s="3321">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8">
        <f t="shared" si="234"/>
        <v>0</v>
      </c>
    </row>
    <row r="393" spans="1:72">
      <c r="A393" s="3273"/>
      <c r="B393" s="3274"/>
      <c r="C393" s="3274"/>
      <c r="D393" s="3275"/>
      <c r="E393" s="3276">
        <f t="shared" si="235"/>
        <v>0</v>
      </c>
      <c r="F393" s="3277"/>
      <c r="G393" s="3278">
        <f t="shared" si="210"/>
        <v>0</v>
      </c>
      <c r="H393" s="3279">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6">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1371">
        <f t="shared" si="236"/>
        <v>0</v>
      </c>
      <c r="AW393" s="1371">
        <f t="shared" si="237"/>
        <v>0</v>
      </c>
      <c r="AX393" s="1371">
        <f t="shared" si="238"/>
        <v>0</v>
      </c>
      <c r="AY393" s="3321">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8">
        <f t="shared" si="234"/>
        <v>0</v>
      </c>
    </row>
    <row r="394" spans="1:72">
      <c r="A394" s="3273"/>
      <c r="B394" s="3274"/>
      <c r="C394" s="3274"/>
      <c r="D394" s="3275"/>
      <c r="E394" s="3276">
        <f t="shared" si="235"/>
        <v>0</v>
      </c>
      <c r="F394" s="3277"/>
      <c r="G394" s="3278">
        <f t="shared" si="210"/>
        <v>0</v>
      </c>
      <c r="H394" s="3279">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6">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1371">
        <f t="shared" si="236"/>
        <v>0</v>
      </c>
      <c r="AW394" s="1371">
        <f t="shared" si="237"/>
        <v>0</v>
      </c>
      <c r="AX394" s="1371">
        <f t="shared" si="238"/>
        <v>0</v>
      </c>
      <c r="AY394" s="3321">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8">
        <f t="shared" si="234"/>
        <v>0</v>
      </c>
    </row>
    <row r="395" spans="1:72">
      <c r="A395" s="3273"/>
      <c r="B395" s="3273"/>
      <c r="C395" s="3273"/>
      <c r="D395" s="3275"/>
      <c r="E395" s="3276">
        <f t="shared" si="235"/>
        <v>0</v>
      </c>
      <c r="F395" s="3329"/>
      <c r="G395" s="3278">
        <f t="shared" si="210"/>
        <v>0</v>
      </c>
      <c r="H395" s="3279">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6">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1371">
        <f t="shared" si="236"/>
        <v>0</v>
      </c>
      <c r="AW395" s="1371">
        <f t="shared" si="237"/>
        <v>0</v>
      </c>
      <c r="AX395" s="1371">
        <f t="shared" si="238"/>
        <v>0</v>
      </c>
      <c r="AY395" s="3321">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8">
        <f t="shared" si="234"/>
        <v>0</v>
      </c>
    </row>
    <row r="396" spans="1:72">
      <c r="A396" s="3273"/>
      <c r="B396" s="3273"/>
      <c r="C396" s="3273"/>
      <c r="D396" s="3275"/>
      <c r="E396" s="3276">
        <f t="shared" si="235"/>
        <v>0</v>
      </c>
      <c r="F396" s="3329"/>
      <c r="G396" s="3278">
        <f t="shared" si="210"/>
        <v>0</v>
      </c>
      <c r="H396" s="3279">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6">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1371">
        <f t="shared" si="236"/>
        <v>0</v>
      </c>
      <c r="AW396" s="1371">
        <f t="shared" si="237"/>
        <v>0</v>
      </c>
      <c r="AX396" s="1371">
        <f t="shared" si="238"/>
        <v>0</v>
      </c>
      <c r="AY396" s="3321">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8">
        <f t="shared" si="234"/>
        <v>0</v>
      </c>
    </row>
    <row r="397" spans="1:72">
      <c r="A397" s="3273"/>
      <c r="B397" s="3273"/>
      <c r="C397" s="3273"/>
      <c r="D397" s="3275"/>
      <c r="E397" s="3276">
        <f t="shared" si="235"/>
        <v>0</v>
      </c>
      <c r="F397" s="3329"/>
      <c r="G397" s="3278">
        <f t="shared" si="210"/>
        <v>0</v>
      </c>
      <c r="H397" s="3279">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6">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1371">
        <f t="shared" si="236"/>
        <v>0</v>
      </c>
      <c r="AW397" s="1371">
        <f t="shared" si="237"/>
        <v>0</v>
      </c>
      <c r="AX397" s="1371">
        <f t="shared" si="238"/>
        <v>0</v>
      </c>
      <c r="AY397" s="3321">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8">
        <f t="shared" si="234"/>
        <v>0</v>
      </c>
    </row>
    <row r="398" spans="1:72">
      <c r="A398" s="3273"/>
      <c r="B398" s="3274"/>
      <c r="C398" s="3274"/>
      <c r="D398" s="3275"/>
      <c r="E398" s="3276">
        <f t="shared" ref="E398:E492" si="239">IF($C$3="是",ROUND($A$3*G398/$B$3,2),ROUND($A$3*(G398-AT398)/$B$3,2))</f>
        <v>0</v>
      </c>
      <c r="F398" s="3277"/>
      <c r="G398" s="3278">
        <f t="shared" ref="G398:G489" si="240">H398+AC398+AT398</f>
        <v>0</v>
      </c>
      <c r="H398" s="3279">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6">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1371">
        <f t="shared" ref="AV398:AV492" si="243">A398</f>
        <v>0</v>
      </c>
      <c r="AW398" s="1371">
        <f t="shared" ref="AW398:AW492" si="244">B398</f>
        <v>0</v>
      </c>
      <c r="AX398" s="1371">
        <f t="shared" ref="AX398:AX492" si="245">C398</f>
        <v>0</v>
      </c>
      <c r="AY398" s="3321">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8">
        <f t="shared" ref="BT398:BT489" si="267">IF($D398="是",AR398-AS398,0)</f>
        <v>0</v>
      </c>
    </row>
    <row r="399" spans="1:72">
      <c r="A399" s="3273"/>
      <c r="B399" s="3274"/>
      <c r="C399" s="3274"/>
      <c r="D399" s="3275"/>
      <c r="E399" s="3276">
        <f t="shared" si="239"/>
        <v>0</v>
      </c>
      <c r="F399" s="3277"/>
      <c r="G399" s="3278">
        <f t="shared" si="240"/>
        <v>0</v>
      </c>
      <c r="H399" s="3279">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6">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1371">
        <f t="shared" si="243"/>
        <v>0</v>
      </c>
      <c r="AW399" s="1371">
        <f t="shared" si="244"/>
        <v>0</v>
      </c>
      <c r="AX399" s="1371">
        <f t="shared" si="245"/>
        <v>0</v>
      </c>
      <c r="AY399" s="3321">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8">
        <f t="shared" si="267"/>
        <v>0</v>
      </c>
    </row>
    <row r="400" spans="1:72">
      <c r="A400" s="3273"/>
      <c r="B400" s="3274"/>
      <c r="C400" s="3274"/>
      <c r="D400" s="3275"/>
      <c r="E400" s="3276">
        <f t="shared" si="239"/>
        <v>0</v>
      </c>
      <c r="F400" s="3277"/>
      <c r="G400" s="3278">
        <f t="shared" si="240"/>
        <v>0</v>
      </c>
      <c r="H400" s="3279">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6">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1371">
        <f t="shared" si="243"/>
        <v>0</v>
      </c>
      <c r="AW400" s="1371">
        <f t="shared" si="244"/>
        <v>0</v>
      </c>
      <c r="AX400" s="1371">
        <f t="shared" si="245"/>
        <v>0</v>
      </c>
      <c r="AY400" s="3321">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8">
        <f t="shared" si="267"/>
        <v>0</v>
      </c>
    </row>
    <row r="401" spans="1:72">
      <c r="A401" s="3273"/>
      <c r="B401" s="3274"/>
      <c r="C401" s="3274"/>
      <c r="D401" s="3275"/>
      <c r="E401" s="3276">
        <f t="shared" si="239"/>
        <v>0</v>
      </c>
      <c r="F401" s="3277"/>
      <c r="G401" s="3278">
        <f t="shared" si="240"/>
        <v>0</v>
      </c>
      <c r="H401" s="3279">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6">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1371">
        <f t="shared" si="243"/>
        <v>0</v>
      </c>
      <c r="AW401" s="1371">
        <f t="shared" si="244"/>
        <v>0</v>
      </c>
      <c r="AX401" s="1371">
        <f t="shared" si="245"/>
        <v>0</v>
      </c>
      <c r="AY401" s="3321">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8">
        <f t="shared" si="267"/>
        <v>0</v>
      </c>
    </row>
    <row r="402" spans="1:72">
      <c r="A402" s="3273"/>
      <c r="B402" s="3274"/>
      <c r="C402" s="3274"/>
      <c r="D402" s="3275"/>
      <c r="E402" s="3276">
        <f t="shared" si="239"/>
        <v>0</v>
      </c>
      <c r="F402" s="3277"/>
      <c r="G402" s="3278">
        <f t="shared" si="240"/>
        <v>0</v>
      </c>
      <c r="H402" s="3279">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6">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1371">
        <f t="shared" si="243"/>
        <v>0</v>
      </c>
      <c r="AW402" s="1371">
        <f t="shared" si="244"/>
        <v>0</v>
      </c>
      <c r="AX402" s="1371">
        <f t="shared" si="245"/>
        <v>0</v>
      </c>
      <c r="AY402" s="3321">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8">
        <f t="shared" si="267"/>
        <v>0</v>
      </c>
    </row>
    <row r="403" spans="1:72">
      <c r="A403" s="3273"/>
      <c r="B403" s="3274"/>
      <c r="C403" s="3274"/>
      <c r="D403" s="3275"/>
      <c r="E403" s="3276">
        <f t="shared" si="239"/>
        <v>0</v>
      </c>
      <c r="F403" s="3277"/>
      <c r="G403" s="3278">
        <f t="shared" si="240"/>
        <v>0</v>
      </c>
      <c r="H403" s="3279">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6">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1371">
        <f t="shared" si="243"/>
        <v>0</v>
      </c>
      <c r="AW403" s="1371">
        <f t="shared" si="244"/>
        <v>0</v>
      </c>
      <c r="AX403" s="1371">
        <f t="shared" si="245"/>
        <v>0</v>
      </c>
      <c r="AY403" s="3321">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8">
        <f t="shared" si="267"/>
        <v>0</v>
      </c>
    </row>
    <row r="404" spans="1:72">
      <c r="A404" s="3273"/>
      <c r="B404" s="3274"/>
      <c r="C404" s="3274"/>
      <c r="D404" s="3275"/>
      <c r="E404" s="3276">
        <f t="shared" si="239"/>
        <v>0</v>
      </c>
      <c r="F404" s="3277"/>
      <c r="G404" s="3278">
        <f t="shared" si="240"/>
        <v>0</v>
      </c>
      <c r="H404" s="3279">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6">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1371">
        <f t="shared" si="243"/>
        <v>0</v>
      </c>
      <c r="AW404" s="1371">
        <f t="shared" si="244"/>
        <v>0</v>
      </c>
      <c r="AX404" s="1371">
        <f t="shared" si="245"/>
        <v>0</v>
      </c>
      <c r="AY404" s="3321">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8">
        <f t="shared" si="267"/>
        <v>0</v>
      </c>
    </row>
    <row r="405" spans="1:72">
      <c r="A405" s="3273"/>
      <c r="B405" s="3274"/>
      <c r="C405" s="3274"/>
      <c r="D405" s="3275"/>
      <c r="E405" s="3276">
        <f t="shared" si="239"/>
        <v>0</v>
      </c>
      <c r="F405" s="3277"/>
      <c r="G405" s="3278">
        <f t="shared" si="240"/>
        <v>0</v>
      </c>
      <c r="H405" s="3279">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6">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1371">
        <f t="shared" si="243"/>
        <v>0</v>
      </c>
      <c r="AW405" s="1371">
        <f t="shared" si="244"/>
        <v>0</v>
      </c>
      <c r="AX405" s="1371">
        <f t="shared" si="245"/>
        <v>0</v>
      </c>
      <c r="AY405" s="3321">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8">
        <f t="shared" si="267"/>
        <v>0</v>
      </c>
    </row>
    <row r="406" spans="1:72">
      <c r="A406" s="3273"/>
      <c r="B406" s="3274"/>
      <c r="C406" s="3274"/>
      <c r="D406" s="3275"/>
      <c r="E406" s="3276">
        <f t="shared" si="239"/>
        <v>0</v>
      </c>
      <c r="F406" s="3277"/>
      <c r="G406" s="3278">
        <f t="shared" si="240"/>
        <v>0</v>
      </c>
      <c r="H406" s="3279">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6">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1371">
        <f t="shared" si="243"/>
        <v>0</v>
      </c>
      <c r="AW406" s="1371">
        <f t="shared" si="244"/>
        <v>0</v>
      </c>
      <c r="AX406" s="1371">
        <f t="shared" si="245"/>
        <v>0</v>
      </c>
      <c r="AY406" s="3321">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8">
        <f t="shared" si="267"/>
        <v>0</v>
      </c>
    </row>
    <row r="407" spans="1:72">
      <c r="A407" s="3273"/>
      <c r="B407" s="3274"/>
      <c r="C407" s="3274"/>
      <c r="D407" s="3275"/>
      <c r="E407" s="3276">
        <f t="shared" si="239"/>
        <v>0</v>
      </c>
      <c r="F407" s="3277"/>
      <c r="G407" s="3278">
        <f t="shared" si="240"/>
        <v>0</v>
      </c>
      <c r="H407" s="3279">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6">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1371">
        <f t="shared" si="243"/>
        <v>0</v>
      </c>
      <c r="AW407" s="1371">
        <f t="shared" si="244"/>
        <v>0</v>
      </c>
      <c r="AX407" s="1371">
        <f t="shared" si="245"/>
        <v>0</v>
      </c>
      <c r="AY407" s="3321">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8">
        <f t="shared" si="267"/>
        <v>0</v>
      </c>
    </row>
    <row r="408" spans="1:72">
      <c r="A408" s="3273"/>
      <c r="B408" s="3274"/>
      <c r="C408" s="3274"/>
      <c r="D408" s="3275"/>
      <c r="E408" s="3276">
        <f t="shared" si="239"/>
        <v>0</v>
      </c>
      <c r="F408" s="3277"/>
      <c r="G408" s="3278">
        <f t="shared" si="240"/>
        <v>0</v>
      </c>
      <c r="H408" s="3279">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6">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1371">
        <f t="shared" si="243"/>
        <v>0</v>
      </c>
      <c r="AW408" s="1371">
        <f t="shared" si="244"/>
        <v>0</v>
      </c>
      <c r="AX408" s="1371">
        <f t="shared" si="245"/>
        <v>0</v>
      </c>
      <c r="AY408" s="3321">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8">
        <f t="shared" si="267"/>
        <v>0</v>
      </c>
    </row>
    <row r="409" spans="1:72">
      <c r="A409" s="3273"/>
      <c r="B409" s="3274"/>
      <c r="C409" s="3274"/>
      <c r="D409" s="3275"/>
      <c r="E409" s="3276">
        <f t="shared" si="239"/>
        <v>0</v>
      </c>
      <c r="F409" s="3277"/>
      <c r="G409" s="3278">
        <f t="shared" si="240"/>
        <v>0</v>
      </c>
      <c r="H409" s="3279">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6">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1371">
        <f t="shared" si="243"/>
        <v>0</v>
      </c>
      <c r="AW409" s="1371">
        <f t="shared" si="244"/>
        <v>0</v>
      </c>
      <c r="AX409" s="1371">
        <f t="shared" si="245"/>
        <v>0</v>
      </c>
      <c r="AY409" s="3321">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8">
        <f t="shared" si="267"/>
        <v>0</v>
      </c>
    </row>
    <row r="410" spans="1:72">
      <c r="A410" s="3273"/>
      <c r="B410" s="3274"/>
      <c r="C410" s="3274"/>
      <c r="D410" s="3275"/>
      <c r="E410" s="3276">
        <f t="shared" si="239"/>
        <v>0</v>
      </c>
      <c r="F410" s="3277"/>
      <c r="G410" s="3278">
        <f t="shared" si="240"/>
        <v>0</v>
      </c>
      <c r="H410" s="3279">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6">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1371">
        <f t="shared" si="243"/>
        <v>0</v>
      </c>
      <c r="AW410" s="1371">
        <f t="shared" si="244"/>
        <v>0</v>
      </c>
      <c r="AX410" s="1371">
        <f t="shared" si="245"/>
        <v>0</v>
      </c>
      <c r="AY410" s="3321">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8">
        <f t="shared" si="267"/>
        <v>0</v>
      </c>
    </row>
    <row r="411" spans="1:72">
      <c r="A411" s="3273"/>
      <c r="B411" s="3274"/>
      <c r="C411" s="3274"/>
      <c r="D411" s="3275"/>
      <c r="E411" s="3276">
        <f t="shared" si="239"/>
        <v>0</v>
      </c>
      <c r="F411" s="3277"/>
      <c r="G411" s="3278">
        <f t="shared" si="240"/>
        <v>0</v>
      </c>
      <c r="H411" s="3279">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6">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1371">
        <f t="shared" si="243"/>
        <v>0</v>
      </c>
      <c r="AW411" s="1371">
        <f t="shared" si="244"/>
        <v>0</v>
      </c>
      <c r="AX411" s="1371">
        <f t="shared" si="245"/>
        <v>0</v>
      </c>
      <c r="AY411" s="3321">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8">
        <f t="shared" si="267"/>
        <v>0</v>
      </c>
    </row>
    <row r="412" spans="1:72">
      <c r="A412" s="3273"/>
      <c r="B412" s="3274"/>
      <c r="C412" s="3274"/>
      <c r="D412" s="3275"/>
      <c r="E412" s="3276">
        <f t="shared" si="239"/>
        <v>0</v>
      </c>
      <c r="F412" s="3277"/>
      <c r="G412" s="3278">
        <f t="shared" si="240"/>
        <v>0</v>
      </c>
      <c r="H412" s="3279">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6">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1371">
        <f t="shared" si="243"/>
        <v>0</v>
      </c>
      <c r="AW412" s="1371">
        <f t="shared" si="244"/>
        <v>0</v>
      </c>
      <c r="AX412" s="1371">
        <f t="shared" si="245"/>
        <v>0</v>
      </c>
      <c r="AY412" s="3321">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8">
        <f t="shared" si="267"/>
        <v>0</v>
      </c>
    </row>
    <row r="413" spans="1:72">
      <c r="A413" s="3273"/>
      <c r="B413" s="3274"/>
      <c r="C413" s="3274"/>
      <c r="D413" s="3275"/>
      <c r="E413" s="3276">
        <f t="shared" si="239"/>
        <v>0</v>
      </c>
      <c r="F413" s="3277"/>
      <c r="G413" s="3278">
        <f t="shared" si="240"/>
        <v>0</v>
      </c>
      <c r="H413" s="3279">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6">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1371">
        <f t="shared" si="243"/>
        <v>0</v>
      </c>
      <c r="AW413" s="1371">
        <f t="shared" si="244"/>
        <v>0</v>
      </c>
      <c r="AX413" s="1371">
        <f t="shared" si="245"/>
        <v>0</v>
      </c>
      <c r="AY413" s="3321">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8">
        <f t="shared" si="267"/>
        <v>0</v>
      </c>
    </row>
    <row r="414" spans="1:72">
      <c r="A414" s="3273"/>
      <c r="B414" s="3274"/>
      <c r="C414" s="3274"/>
      <c r="D414" s="3275"/>
      <c r="E414" s="3276">
        <f t="shared" si="239"/>
        <v>0</v>
      </c>
      <c r="F414" s="3277"/>
      <c r="G414" s="3278">
        <f t="shared" si="240"/>
        <v>0</v>
      </c>
      <c r="H414" s="3279">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6">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1371">
        <f t="shared" si="243"/>
        <v>0</v>
      </c>
      <c r="AW414" s="1371">
        <f t="shared" si="244"/>
        <v>0</v>
      </c>
      <c r="AX414" s="1371">
        <f t="shared" si="245"/>
        <v>0</v>
      </c>
      <c r="AY414" s="3321">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8">
        <f t="shared" si="267"/>
        <v>0</v>
      </c>
    </row>
    <row r="415" spans="1:72">
      <c r="A415" s="3273"/>
      <c r="B415" s="3274"/>
      <c r="C415" s="3274"/>
      <c r="D415" s="3275"/>
      <c r="E415" s="3276">
        <f t="shared" si="239"/>
        <v>0</v>
      </c>
      <c r="F415" s="3277"/>
      <c r="G415" s="3278">
        <f t="shared" si="240"/>
        <v>0</v>
      </c>
      <c r="H415" s="3279">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6">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1371">
        <f t="shared" si="243"/>
        <v>0</v>
      </c>
      <c r="AW415" s="1371">
        <f t="shared" si="244"/>
        <v>0</v>
      </c>
      <c r="AX415" s="1371">
        <f t="shared" si="245"/>
        <v>0</v>
      </c>
      <c r="AY415" s="3321">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8">
        <f t="shared" si="267"/>
        <v>0</v>
      </c>
    </row>
    <row r="416" spans="1:72">
      <c r="A416" s="3273"/>
      <c r="B416" s="3274"/>
      <c r="C416" s="3274"/>
      <c r="D416" s="3275"/>
      <c r="E416" s="3276">
        <f t="shared" si="239"/>
        <v>0</v>
      </c>
      <c r="F416" s="3277"/>
      <c r="G416" s="3278">
        <f t="shared" si="240"/>
        <v>0</v>
      </c>
      <c r="H416" s="3279">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6">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1371">
        <f t="shared" si="243"/>
        <v>0</v>
      </c>
      <c r="AW416" s="1371">
        <f t="shared" si="244"/>
        <v>0</v>
      </c>
      <c r="AX416" s="1371">
        <f t="shared" si="245"/>
        <v>0</v>
      </c>
      <c r="AY416" s="3321">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8">
        <f t="shared" si="267"/>
        <v>0</v>
      </c>
    </row>
    <row r="417" spans="1:72">
      <c r="A417" s="3273"/>
      <c r="B417" s="3274"/>
      <c r="C417" s="3274"/>
      <c r="D417" s="3275"/>
      <c r="E417" s="3276">
        <f t="shared" si="239"/>
        <v>0</v>
      </c>
      <c r="F417" s="3277"/>
      <c r="G417" s="3278">
        <f t="shared" si="240"/>
        <v>0</v>
      </c>
      <c r="H417" s="3279">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6">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1371">
        <f t="shared" si="243"/>
        <v>0</v>
      </c>
      <c r="AW417" s="1371">
        <f t="shared" si="244"/>
        <v>0</v>
      </c>
      <c r="AX417" s="1371">
        <f t="shared" si="245"/>
        <v>0</v>
      </c>
      <c r="AY417" s="3321">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8">
        <f t="shared" si="267"/>
        <v>0</v>
      </c>
    </row>
    <row r="418" spans="1:72">
      <c r="A418" s="3273"/>
      <c r="B418" s="3274"/>
      <c r="C418" s="3274"/>
      <c r="D418" s="3275"/>
      <c r="E418" s="3276">
        <f t="shared" si="239"/>
        <v>0</v>
      </c>
      <c r="F418" s="3277"/>
      <c r="G418" s="3278">
        <f t="shared" si="240"/>
        <v>0</v>
      </c>
      <c r="H418" s="3279">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6">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1371">
        <f t="shared" si="243"/>
        <v>0</v>
      </c>
      <c r="AW418" s="1371">
        <f t="shared" si="244"/>
        <v>0</v>
      </c>
      <c r="AX418" s="1371">
        <f t="shared" si="245"/>
        <v>0</v>
      </c>
      <c r="AY418" s="3321">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8">
        <f t="shared" si="267"/>
        <v>0</v>
      </c>
    </row>
    <row r="419" spans="1:72">
      <c r="A419" s="3273"/>
      <c r="B419" s="3274"/>
      <c r="C419" s="3274"/>
      <c r="D419" s="3275"/>
      <c r="E419" s="3276">
        <f t="shared" si="239"/>
        <v>0</v>
      </c>
      <c r="F419" s="3277"/>
      <c r="G419" s="3278">
        <f t="shared" si="240"/>
        <v>0</v>
      </c>
      <c r="H419" s="3279">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6">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1371">
        <f t="shared" si="243"/>
        <v>0</v>
      </c>
      <c r="AW419" s="1371">
        <f t="shared" si="244"/>
        <v>0</v>
      </c>
      <c r="AX419" s="1371">
        <f t="shared" si="245"/>
        <v>0</v>
      </c>
      <c r="AY419" s="3321">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8">
        <f t="shared" si="267"/>
        <v>0</v>
      </c>
    </row>
    <row r="420" spans="1:72">
      <c r="A420" s="3273"/>
      <c r="B420" s="3274"/>
      <c r="C420" s="3274"/>
      <c r="D420" s="3275"/>
      <c r="E420" s="3276">
        <f t="shared" si="239"/>
        <v>0</v>
      </c>
      <c r="F420" s="3277"/>
      <c r="G420" s="3278">
        <f t="shared" si="240"/>
        <v>0</v>
      </c>
      <c r="H420" s="3279">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6">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1371">
        <f t="shared" si="243"/>
        <v>0</v>
      </c>
      <c r="AW420" s="1371">
        <f t="shared" si="244"/>
        <v>0</v>
      </c>
      <c r="AX420" s="1371">
        <f t="shared" si="245"/>
        <v>0</v>
      </c>
      <c r="AY420" s="3321">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8">
        <f t="shared" si="267"/>
        <v>0</v>
      </c>
    </row>
    <row r="421" spans="1:72">
      <c r="A421" s="3273"/>
      <c r="B421" s="3274"/>
      <c r="C421" s="3274"/>
      <c r="D421" s="3275"/>
      <c r="E421" s="3276">
        <f t="shared" si="239"/>
        <v>0</v>
      </c>
      <c r="F421" s="3277"/>
      <c r="G421" s="3278">
        <f t="shared" si="240"/>
        <v>0</v>
      </c>
      <c r="H421" s="3279">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6">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1371">
        <f t="shared" si="243"/>
        <v>0</v>
      </c>
      <c r="AW421" s="1371">
        <f t="shared" si="244"/>
        <v>0</v>
      </c>
      <c r="AX421" s="1371">
        <f t="shared" si="245"/>
        <v>0</v>
      </c>
      <c r="AY421" s="3321">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8">
        <f t="shared" si="267"/>
        <v>0</v>
      </c>
    </row>
    <row r="422" spans="1:72">
      <c r="A422" s="3273"/>
      <c r="B422" s="3274"/>
      <c r="C422" s="3274"/>
      <c r="D422" s="3275"/>
      <c r="E422" s="3276">
        <f t="shared" si="239"/>
        <v>0</v>
      </c>
      <c r="F422" s="3277"/>
      <c r="G422" s="3278">
        <f t="shared" si="240"/>
        <v>0</v>
      </c>
      <c r="H422" s="3279">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6">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1371">
        <f t="shared" si="243"/>
        <v>0</v>
      </c>
      <c r="AW422" s="1371">
        <f t="shared" si="244"/>
        <v>0</v>
      </c>
      <c r="AX422" s="1371">
        <f t="shared" si="245"/>
        <v>0</v>
      </c>
      <c r="AY422" s="3321">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8">
        <f t="shared" si="267"/>
        <v>0</v>
      </c>
    </row>
    <row r="423" spans="1:72">
      <c r="A423" s="3273"/>
      <c r="B423" s="3274"/>
      <c r="C423" s="3274"/>
      <c r="D423" s="3275"/>
      <c r="E423" s="3276">
        <f t="shared" si="239"/>
        <v>0</v>
      </c>
      <c r="F423" s="3277"/>
      <c r="G423" s="3278">
        <f t="shared" si="240"/>
        <v>0</v>
      </c>
      <c r="H423" s="3279">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6">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1371">
        <f t="shared" si="243"/>
        <v>0</v>
      </c>
      <c r="AW423" s="1371">
        <f t="shared" si="244"/>
        <v>0</v>
      </c>
      <c r="AX423" s="1371">
        <f t="shared" si="245"/>
        <v>0</v>
      </c>
      <c r="AY423" s="3321">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8">
        <f t="shared" si="267"/>
        <v>0</v>
      </c>
    </row>
    <row r="424" spans="1:72">
      <c r="A424" s="3273"/>
      <c r="B424" s="3274"/>
      <c r="C424" s="3274"/>
      <c r="D424" s="3275"/>
      <c r="E424" s="3276">
        <f t="shared" si="239"/>
        <v>0</v>
      </c>
      <c r="F424" s="3277"/>
      <c r="G424" s="3278">
        <f t="shared" si="240"/>
        <v>0</v>
      </c>
      <c r="H424" s="3279">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6">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1371">
        <f t="shared" si="243"/>
        <v>0</v>
      </c>
      <c r="AW424" s="1371">
        <f t="shared" si="244"/>
        <v>0</v>
      </c>
      <c r="AX424" s="1371">
        <f t="shared" si="245"/>
        <v>0</v>
      </c>
      <c r="AY424" s="3321">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8">
        <f t="shared" si="267"/>
        <v>0</v>
      </c>
    </row>
    <row r="425" spans="1:72">
      <c r="A425" s="3273"/>
      <c r="B425" s="3274"/>
      <c r="C425" s="3274"/>
      <c r="D425" s="3275"/>
      <c r="E425" s="3276">
        <f t="shared" si="239"/>
        <v>0</v>
      </c>
      <c r="F425" s="3277"/>
      <c r="G425" s="3278">
        <f t="shared" si="240"/>
        <v>0</v>
      </c>
      <c r="H425" s="3279">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6">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1371">
        <f t="shared" si="243"/>
        <v>0</v>
      </c>
      <c r="AW425" s="1371">
        <f t="shared" si="244"/>
        <v>0</v>
      </c>
      <c r="AX425" s="1371">
        <f t="shared" si="245"/>
        <v>0</v>
      </c>
      <c r="AY425" s="3321">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8">
        <f t="shared" si="267"/>
        <v>0</v>
      </c>
    </row>
    <row r="426" spans="1:72">
      <c r="A426" s="3273"/>
      <c r="B426" s="3274"/>
      <c r="C426" s="3274"/>
      <c r="D426" s="3275"/>
      <c r="E426" s="3276">
        <f t="shared" si="239"/>
        <v>0</v>
      </c>
      <c r="F426" s="3277"/>
      <c r="G426" s="3278">
        <f t="shared" si="240"/>
        <v>0</v>
      </c>
      <c r="H426" s="3279">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6">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1371">
        <f t="shared" si="243"/>
        <v>0</v>
      </c>
      <c r="AW426" s="1371">
        <f t="shared" si="244"/>
        <v>0</v>
      </c>
      <c r="AX426" s="1371">
        <f t="shared" si="245"/>
        <v>0</v>
      </c>
      <c r="AY426" s="3321">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8">
        <f t="shared" si="267"/>
        <v>0</v>
      </c>
    </row>
    <row r="427" spans="1:72">
      <c r="A427" s="3273"/>
      <c r="B427" s="3274"/>
      <c r="C427" s="3274"/>
      <c r="D427" s="3275"/>
      <c r="E427" s="3276">
        <f t="shared" si="239"/>
        <v>0</v>
      </c>
      <c r="F427" s="3277"/>
      <c r="G427" s="3278">
        <f t="shared" si="240"/>
        <v>0</v>
      </c>
      <c r="H427" s="3279">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6">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1371">
        <f t="shared" si="243"/>
        <v>0</v>
      </c>
      <c r="AW427" s="1371">
        <f t="shared" si="244"/>
        <v>0</v>
      </c>
      <c r="AX427" s="1371">
        <f t="shared" si="245"/>
        <v>0</v>
      </c>
      <c r="AY427" s="3321">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8">
        <f t="shared" si="267"/>
        <v>0</v>
      </c>
    </row>
    <row r="428" spans="1:72">
      <c r="A428" s="3273"/>
      <c r="B428" s="3274"/>
      <c r="C428" s="3274"/>
      <c r="D428" s="3275"/>
      <c r="E428" s="3276">
        <f t="shared" si="239"/>
        <v>0</v>
      </c>
      <c r="F428" s="3277"/>
      <c r="G428" s="3278">
        <f t="shared" si="240"/>
        <v>0</v>
      </c>
      <c r="H428" s="3279">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6">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1371">
        <f t="shared" si="243"/>
        <v>0</v>
      </c>
      <c r="AW428" s="1371">
        <f t="shared" si="244"/>
        <v>0</v>
      </c>
      <c r="AX428" s="1371">
        <f t="shared" si="245"/>
        <v>0</v>
      </c>
      <c r="AY428" s="3321">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8">
        <f t="shared" si="267"/>
        <v>0</v>
      </c>
    </row>
    <row r="429" spans="1:72">
      <c r="A429" s="3273"/>
      <c r="B429" s="3274"/>
      <c r="C429" s="3274"/>
      <c r="D429" s="3275"/>
      <c r="E429" s="3276">
        <f t="shared" si="239"/>
        <v>0</v>
      </c>
      <c r="F429" s="3277"/>
      <c r="G429" s="3278">
        <f t="shared" si="240"/>
        <v>0</v>
      </c>
      <c r="H429" s="3279">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6">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1371">
        <f t="shared" si="243"/>
        <v>0</v>
      </c>
      <c r="AW429" s="1371">
        <f t="shared" si="244"/>
        <v>0</v>
      </c>
      <c r="AX429" s="1371">
        <f t="shared" si="245"/>
        <v>0</v>
      </c>
      <c r="AY429" s="3321">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8">
        <f t="shared" si="267"/>
        <v>0</v>
      </c>
    </row>
    <row r="430" spans="1:72">
      <c r="A430" s="3273"/>
      <c r="B430" s="3274"/>
      <c r="C430" s="3274"/>
      <c r="D430" s="3275"/>
      <c r="E430" s="3276">
        <f t="shared" si="239"/>
        <v>0</v>
      </c>
      <c r="F430" s="3277"/>
      <c r="G430" s="3278">
        <f t="shared" si="240"/>
        <v>0</v>
      </c>
      <c r="H430" s="3279">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6">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1371">
        <f t="shared" si="243"/>
        <v>0</v>
      </c>
      <c r="AW430" s="1371">
        <f t="shared" si="244"/>
        <v>0</v>
      </c>
      <c r="AX430" s="1371">
        <f t="shared" si="245"/>
        <v>0</v>
      </c>
      <c r="AY430" s="3321">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8">
        <f t="shared" si="267"/>
        <v>0</v>
      </c>
    </row>
    <row r="431" spans="1:72">
      <c r="A431" s="3273"/>
      <c r="B431" s="3274"/>
      <c r="C431" s="3274"/>
      <c r="D431" s="3275"/>
      <c r="E431" s="3276">
        <f t="shared" si="239"/>
        <v>0</v>
      </c>
      <c r="F431" s="3277"/>
      <c r="G431" s="3278">
        <f t="shared" si="240"/>
        <v>0</v>
      </c>
      <c r="H431" s="3279">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6">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1371">
        <f t="shared" si="243"/>
        <v>0</v>
      </c>
      <c r="AW431" s="1371">
        <f t="shared" si="244"/>
        <v>0</v>
      </c>
      <c r="AX431" s="1371">
        <f t="shared" si="245"/>
        <v>0</v>
      </c>
      <c r="AY431" s="3321">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8">
        <f t="shared" si="267"/>
        <v>0</v>
      </c>
    </row>
    <row r="432" spans="1:72">
      <c r="A432" s="3273"/>
      <c r="B432" s="3274"/>
      <c r="C432" s="3274"/>
      <c r="D432" s="3275"/>
      <c r="E432" s="3276">
        <f t="shared" si="239"/>
        <v>0</v>
      </c>
      <c r="F432" s="3277"/>
      <c r="G432" s="3278">
        <f t="shared" si="240"/>
        <v>0</v>
      </c>
      <c r="H432" s="3279">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6">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1371">
        <f t="shared" si="243"/>
        <v>0</v>
      </c>
      <c r="AW432" s="1371">
        <f t="shared" si="244"/>
        <v>0</v>
      </c>
      <c r="AX432" s="1371">
        <f t="shared" si="245"/>
        <v>0</v>
      </c>
      <c r="AY432" s="3321">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8">
        <f t="shared" si="267"/>
        <v>0</v>
      </c>
    </row>
    <row r="433" spans="1:72">
      <c r="A433" s="3273"/>
      <c r="B433" s="3274"/>
      <c r="C433" s="3274"/>
      <c r="D433" s="3275"/>
      <c r="E433" s="3276">
        <f t="shared" si="239"/>
        <v>0</v>
      </c>
      <c r="F433" s="3277"/>
      <c r="G433" s="3278">
        <f t="shared" si="240"/>
        <v>0</v>
      </c>
      <c r="H433" s="3279">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6">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1371">
        <f t="shared" si="243"/>
        <v>0</v>
      </c>
      <c r="AW433" s="1371">
        <f t="shared" si="244"/>
        <v>0</v>
      </c>
      <c r="AX433" s="1371">
        <f t="shared" si="245"/>
        <v>0</v>
      </c>
      <c r="AY433" s="3321">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8">
        <f t="shared" si="267"/>
        <v>0</v>
      </c>
    </row>
    <row r="434" spans="1:72">
      <c r="A434" s="3273"/>
      <c r="B434" s="3274"/>
      <c r="C434" s="3274"/>
      <c r="D434" s="3275"/>
      <c r="E434" s="3276">
        <f t="shared" si="239"/>
        <v>0</v>
      </c>
      <c r="F434" s="3277"/>
      <c r="G434" s="3278">
        <f t="shared" si="240"/>
        <v>0</v>
      </c>
      <c r="H434" s="3279">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6">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1371">
        <f t="shared" si="243"/>
        <v>0</v>
      </c>
      <c r="AW434" s="1371">
        <f t="shared" si="244"/>
        <v>0</v>
      </c>
      <c r="AX434" s="1371">
        <f t="shared" si="245"/>
        <v>0</v>
      </c>
      <c r="AY434" s="3321">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8">
        <f t="shared" si="267"/>
        <v>0</v>
      </c>
    </row>
    <row r="435" spans="1:72">
      <c r="A435" s="3273"/>
      <c r="B435" s="3274"/>
      <c r="C435" s="3274"/>
      <c r="D435" s="3275"/>
      <c r="E435" s="3276">
        <f t="shared" si="239"/>
        <v>0</v>
      </c>
      <c r="F435" s="3277"/>
      <c r="G435" s="3278">
        <f t="shared" si="240"/>
        <v>0</v>
      </c>
      <c r="H435" s="3279">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6">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1371">
        <f t="shared" si="243"/>
        <v>0</v>
      </c>
      <c r="AW435" s="1371">
        <f t="shared" si="244"/>
        <v>0</v>
      </c>
      <c r="AX435" s="1371">
        <f t="shared" si="245"/>
        <v>0</v>
      </c>
      <c r="AY435" s="3321">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8">
        <f t="shared" si="267"/>
        <v>0</v>
      </c>
    </row>
    <row r="436" spans="1:72">
      <c r="A436" s="3273"/>
      <c r="B436" s="3274"/>
      <c r="C436" s="3274"/>
      <c r="D436" s="3275"/>
      <c r="E436" s="3276">
        <f t="shared" si="239"/>
        <v>0</v>
      </c>
      <c r="F436" s="3277"/>
      <c r="G436" s="3278">
        <f t="shared" si="240"/>
        <v>0</v>
      </c>
      <c r="H436" s="3279">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6">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1371">
        <f t="shared" si="243"/>
        <v>0</v>
      </c>
      <c r="AW436" s="1371">
        <f t="shared" si="244"/>
        <v>0</v>
      </c>
      <c r="AX436" s="1371">
        <f t="shared" si="245"/>
        <v>0</v>
      </c>
      <c r="AY436" s="3321">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8">
        <f t="shared" si="267"/>
        <v>0</v>
      </c>
    </row>
    <row r="437" spans="1:72">
      <c r="A437" s="3273"/>
      <c r="B437" s="3274"/>
      <c r="C437" s="3274"/>
      <c r="D437" s="3275"/>
      <c r="E437" s="3276">
        <f t="shared" si="239"/>
        <v>0</v>
      </c>
      <c r="F437" s="3277"/>
      <c r="G437" s="3278">
        <f t="shared" si="240"/>
        <v>0</v>
      </c>
      <c r="H437" s="3279">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6">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1371">
        <f t="shared" si="243"/>
        <v>0</v>
      </c>
      <c r="AW437" s="1371">
        <f t="shared" si="244"/>
        <v>0</v>
      </c>
      <c r="AX437" s="1371">
        <f t="shared" si="245"/>
        <v>0</v>
      </c>
      <c r="AY437" s="3321">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8">
        <f t="shared" si="267"/>
        <v>0</v>
      </c>
    </row>
    <row r="438" spans="1:72">
      <c r="A438" s="3273"/>
      <c r="B438" s="3274"/>
      <c r="C438" s="3274"/>
      <c r="D438" s="3275"/>
      <c r="E438" s="3276">
        <f t="shared" si="239"/>
        <v>0</v>
      </c>
      <c r="F438" s="3277"/>
      <c r="G438" s="3278">
        <f t="shared" si="240"/>
        <v>0</v>
      </c>
      <c r="H438" s="3279">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6">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1371">
        <f t="shared" si="243"/>
        <v>0</v>
      </c>
      <c r="AW438" s="1371">
        <f t="shared" si="244"/>
        <v>0</v>
      </c>
      <c r="AX438" s="1371">
        <f t="shared" si="245"/>
        <v>0</v>
      </c>
      <c r="AY438" s="3321">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8">
        <f t="shared" si="267"/>
        <v>0</v>
      </c>
    </row>
    <row r="439" spans="1:72">
      <c r="A439" s="3273"/>
      <c r="B439" s="3274"/>
      <c r="C439" s="3274"/>
      <c r="D439" s="3275"/>
      <c r="E439" s="3276">
        <f t="shared" si="239"/>
        <v>0</v>
      </c>
      <c r="F439" s="3277"/>
      <c r="G439" s="3278">
        <f t="shared" si="240"/>
        <v>0</v>
      </c>
      <c r="H439" s="3279">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6">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1371">
        <f t="shared" si="243"/>
        <v>0</v>
      </c>
      <c r="AW439" s="1371">
        <f t="shared" si="244"/>
        <v>0</v>
      </c>
      <c r="AX439" s="1371">
        <f t="shared" si="245"/>
        <v>0</v>
      </c>
      <c r="AY439" s="3321">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8">
        <f t="shared" si="267"/>
        <v>0</v>
      </c>
    </row>
    <row r="440" spans="1:72">
      <c r="A440" s="3273"/>
      <c r="B440" s="3274"/>
      <c r="C440" s="3274"/>
      <c r="D440" s="3275"/>
      <c r="E440" s="3276">
        <f t="shared" si="239"/>
        <v>0</v>
      </c>
      <c r="F440" s="3277"/>
      <c r="G440" s="3278">
        <f t="shared" si="240"/>
        <v>0</v>
      </c>
      <c r="H440" s="3279">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6">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1371">
        <f t="shared" si="243"/>
        <v>0</v>
      </c>
      <c r="AW440" s="1371">
        <f t="shared" si="244"/>
        <v>0</v>
      </c>
      <c r="AX440" s="1371">
        <f t="shared" si="245"/>
        <v>0</v>
      </c>
      <c r="AY440" s="3321">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8">
        <f t="shared" si="267"/>
        <v>0</v>
      </c>
    </row>
    <row r="441" spans="1:72">
      <c r="A441" s="3273"/>
      <c r="B441" s="3274"/>
      <c r="C441" s="3274"/>
      <c r="D441" s="3275"/>
      <c r="E441" s="3276">
        <f t="shared" si="239"/>
        <v>0</v>
      </c>
      <c r="F441" s="3277"/>
      <c r="G441" s="3278">
        <f t="shared" si="240"/>
        <v>0</v>
      </c>
      <c r="H441" s="3279">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6">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1371">
        <f t="shared" si="243"/>
        <v>0</v>
      </c>
      <c r="AW441" s="1371">
        <f t="shared" si="244"/>
        <v>0</v>
      </c>
      <c r="AX441" s="1371">
        <f t="shared" si="245"/>
        <v>0</v>
      </c>
      <c r="AY441" s="3321">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8">
        <f t="shared" si="267"/>
        <v>0</v>
      </c>
    </row>
    <row r="442" spans="1:72">
      <c r="A442" s="3273"/>
      <c r="B442" s="3274"/>
      <c r="C442" s="3274"/>
      <c r="D442" s="3275"/>
      <c r="E442" s="3276">
        <f t="shared" si="239"/>
        <v>0</v>
      </c>
      <c r="F442" s="3277"/>
      <c r="G442" s="3278">
        <f t="shared" si="240"/>
        <v>0</v>
      </c>
      <c r="H442" s="3279">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6">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1371">
        <f t="shared" si="243"/>
        <v>0</v>
      </c>
      <c r="AW442" s="1371">
        <f t="shared" si="244"/>
        <v>0</v>
      </c>
      <c r="AX442" s="1371">
        <f t="shared" si="245"/>
        <v>0</v>
      </c>
      <c r="AY442" s="3321">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8">
        <f t="shared" si="267"/>
        <v>0</v>
      </c>
    </row>
    <row r="443" spans="1:72">
      <c r="A443" s="3273"/>
      <c r="B443" s="3274"/>
      <c r="C443" s="3274"/>
      <c r="D443" s="3275"/>
      <c r="E443" s="3276">
        <f t="shared" si="239"/>
        <v>0</v>
      </c>
      <c r="F443" s="3277"/>
      <c r="G443" s="3278">
        <f t="shared" si="240"/>
        <v>0</v>
      </c>
      <c r="H443" s="3279">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6">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1371">
        <f t="shared" si="243"/>
        <v>0</v>
      </c>
      <c r="AW443" s="1371">
        <f t="shared" si="244"/>
        <v>0</v>
      </c>
      <c r="AX443" s="1371">
        <f t="shared" si="245"/>
        <v>0</v>
      </c>
      <c r="AY443" s="3321">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8">
        <f t="shared" si="267"/>
        <v>0</v>
      </c>
    </row>
    <row r="444" spans="1:72">
      <c r="A444" s="3273"/>
      <c r="B444" s="3274"/>
      <c r="C444" s="3274"/>
      <c r="D444" s="3275"/>
      <c r="E444" s="3276">
        <f t="shared" si="239"/>
        <v>0</v>
      </c>
      <c r="F444" s="3277"/>
      <c r="G444" s="3278">
        <f t="shared" si="240"/>
        <v>0</v>
      </c>
      <c r="H444" s="3279">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6">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1371">
        <f t="shared" si="243"/>
        <v>0</v>
      </c>
      <c r="AW444" s="1371">
        <f t="shared" si="244"/>
        <v>0</v>
      </c>
      <c r="AX444" s="1371">
        <f t="shared" si="245"/>
        <v>0</v>
      </c>
      <c r="AY444" s="3321">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8">
        <f t="shared" si="267"/>
        <v>0</v>
      </c>
    </row>
    <row r="445" spans="1:72">
      <c r="A445" s="3273"/>
      <c r="B445" s="3274"/>
      <c r="C445" s="3274"/>
      <c r="D445" s="3275"/>
      <c r="E445" s="3276">
        <f t="shared" si="239"/>
        <v>0</v>
      </c>
      <c r="F445" s="3277"/>
      <c r="G445" s="3278">
        <f t="shared" si="240"/>
        <v>0</v>
      </c>
      <c r="H445" s="3279">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6">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1371">
        <f t="shared" si="243"/>
        <v>0</v>
      </c>
      <c r="AW445" s="1371">
        <f t="shared" si="244"/>
        <v>0</v>
      </c>
      <c r="AX445" s="1371">
        <f t="shared" si="245"/>
        <v>0</v>
      </c>
      <c r="AY445" s="3321">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8">
        <f t="shared" si="267"/>
        <v>0</v>
      </c>
    </row>
    <row r="446" spans="1:72">
      <c r="A446" s="3273"/>
      <c r="B446" s="3274"/>
      <c r="C446" s="3274"/>
      <c r="D446" s="3275"/>
      <c r="E446" s="3276">
        <f t="shared" si="239"/>
        <v>0</v>
      </c>
      <c r="F446" s="3277"/>
      <c r="G446" s="3278">
        <f t="shared" si="240"/>
        <v>0</v>
      </c>
      <c r="H446" s="3279">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6">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1371">
        <f t="shared" si="243"/>
        <v>0</v>
      </c>
      <c r="AW446" s="1371">
        <f t="shared" si="244"/>
        <v>0</v>
      </c>
      <c r="AX446" s="1371">
        <f t="shared" si="245"/>
        <v>0</v>
      </c>
      <c r="AY446" s="3321">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8">
        <f t="shared" si="267"/>
        <v>0</v>
      </c>
    </row>
    <row r="447" spans="1:72">
      <c r="A447" s="3273"/>
      <c r="B447" s="3274"/>
      <c r="C447" s="3274"/>
      <c r="D447" s="3275"/>
      <c r="E447" s="3276">
        <f t="shared" si="239"/>
        <v>0</v>
      </c>
      <c r="F447" s="3277"/>
      <c r="G447" s="3278">
        <f t="shared" si="240"/>
        <v>0</v>
      </c>
      <c r="H447" s="3279">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6">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1371">
        <f t="shared" si="243"/>
        <v>0</v>
      </c>
      <c r="AW447" s="1371">
        <f t="shared" si="244"/>
        <v>0</v>
      </c>
      <c r="AX447" s="1371">
        <f t="shared" si="245"/>
        <v>0</v>
      </c>
      <c r="AY447" s="3321">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8">
        <f t="shared" si="267"/>
        <v>0</v>
      </c>
    </row>
    <row r="448" spans="1:72">
      <c r="A448" s="3273"/>
      <c r="B448" s="3274"/>
      <c r="C448" s="3274"/>
      <c r="D448" s="3275"/>
      <c r="E448" s="3276">
        <f t="shared" si="239"/>
        <v>0</v>
      </c>
      <c r="F448" s="3277"/>
      <c r="G448" s="3278">
        <f t="shared" si="240"/>
        <v>0</v>
      </c>
      <c r="H448" s="3279">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6">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1371">
        <f t="shared" si="243"/>
        <v>0</v>
      </c>
      <c r="AW448" s="1371">
        <f t="shared" si="244"/>
        <v>0</v>
      </c>
      <c r="AX448" s="1371">
        <f t="shared" si="245"/>
        <v>0</v>
      </c>
      <c r="AY448" s="3321">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8">
        <f t="shared" si="267"/>
        <v>0</v>
      </c>
    </row>
    <row r="449" spans="1:72">
      <c r="A449" s="3273"/>
      <c r="B449" s="3274"/>
      <c r="C449" s="3274"/>
      <c r="D449" s="3275"/>
      <c r="E449" s="3276">
        <f t="shared" si="239"/>
        <v>0</v>
      </c>
      <c r="F449" s="3277"/>
      <c r="G449" s="3278">
        <f t="shared" si="240"/>
        <v>0</v>
      </c>
      <c r="H449" s="3279">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6">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1371">
        <f t="shared" si="243"/>
        <v>0</v>
      </c>
      <c r="AW449" s="1371">
        <f t="shared" si="244"/>
        <v>0</v>
      </c>
      <c r="AX449" s="1371">
        <f t="shared" si="245"/>
        <v>0</v>
      </c>
      <c r="AY449" s="3321">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8">
        <f t="shared" si="267"/>
        <v>0</v>
      </c>
    </row>
    <row r="450" spans="1:72">
      <c r="A450" s="3273"/>
      <c r="B450" s="3274"/>
      <c r="C450" s="3274"/>
      <c r="D450" s="3275"/>
      <c r="E450" s="3276">
        <f t="shared" si="239"/>
        <v>0</v>
      </c>
      <c r="F450" s="3277"/>
      <c r="G450" s="3278">
        <f t="shared" si="240"/>
        <v>0</v>
      </c>
      <c r="H450" s="3279">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6">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1371">
        <f t="shared" si="243"/>
        <v>0</v>
      </c>
      <c r="AW450" s="1371">
        <f t="shared" si="244"/>
        <v>0</v>
      </c>
      <c r="AX450" s="1371">
        <f t="shared" si="245"/>
        <v>0</v>
      </c>
      <c r="AY450" s="3321">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8">
        <f t="shared" si="267"/>
        <v>0</v>
      </c>
    </row>
    <row r="451" spans="1:72">
      <c r="A451" s="3273"/>
      <c r="B451" s="3274"/>
      <c r="C451" s="3274"/>
      <c r="D451" s="3275"/>
      <c r="E451" s="3276">
        <f t="shared" si="239"/>
        <v>0</v>
      </c>
      <c r="F451" s="3277"/>
      <c r="G451" s="3278">
        <f t="shared" si="240"/>
        <v>0</v>
      </c>
      <c r="H451" s="3279">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6">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1371">
        <f t="shared" si="243"/>
        <v>0</v>
      </c>
      <c r="AW451" s="1371">
        <f t="shared" si="244"/>
        <v>0</v>
      </c>
      <c r="AX451" s="1371">
        <f t="shared" si="245"/>
        <v>0</v>
      </c>
      <c r="AY451" s="3321">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8">
        <f t="shared" si="267"/>
        <v>0</v>
      </c>
    </row>
    <row r="452" spans="1:72">
      <c r="A452" s="3273"/>
      <c r="B452" s="3274"/>
      <c r="C452" s="3274"/>
      <c r="D452" s="3275"/>
      <c r="E452" s="3276">
        <f t="shared" si="239"/>
        <v>0</v>
      </c>
      <c r="F452" s="3277"/>
      <c r="G452" s="3278">
        <f t="shared" si="240"/>
        <v>0</v>
      </c>
      <c r="H452" s="3279">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6">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1371">
        <f t="shared" si="243"/>
        <v>0</v>
      </c>
      <c r="AW452" s="1371">
        <f t="shared" si="244"/>
        <v>0</v>
      </c>
      <c r="AX452" s="1371">
        <f t="shared" si="245"/>
        <v>0</v>
      </c>
      <c r="AY452" s="3321">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8">
        <f t="shared" si="267"/>
        <v>0</v>
      </c>
    </row>
    <row r="453" spans="1:72">
      <c r="A453" s="3273"/>
      <c r="B453" s="3274"/>
      <c r="C453" s="3274"/>
      <c r="D453" s="3275"/>
      <c r="E453" s="3276">
        <f t="shared" si="239"/>
        <v>0</v>
      </c>
      <c r="F453" s="3277"/>
      <c r="G453" s="3278">
        <f t="shared" si="240"/>
        <v>0</v>
      </c>
      <c r="H453" s="3279">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6">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1371">
        <f t="shared" si="243"/>
        <v>0</v>
      </c>
      <c r="AW453" s="1371">
        <f t="shared" si="244"/>
        <v>0</v>
      </c>
      <c r="AX453" s="1371">
        <f t="shared" si="245"/>
        <v>0</v>
      </c>
      <c r="AY453" s="3321">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8">
        <f t="shared" si="267"/>
        <v>0</v>
      </c>
    </row>
    <row r="454" spans="1:72">
      <c r="A454" s="3273"/>
      <c r="B454" s="3274"/>
      <c r="C454" s="3274"/>
      <c r="D454" s="3275"/>
      <c r="E454" s="3276">
        <f t="shared" si="239"/>
        <v>0</v>
      </c>
      <c r="F454" s="3277"/>
      <c r="G454" s="3278">
        <f t="shared" si="240"/>
        <v>0</v>
      </c>
      <c r="H454" s="3279">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6">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1371">
        <f t="shared" si="243"/>
        <v>0</v>
      </c>
      <c r="AW454" s="1371">
        <f t="shared" si="244"/>
        <v>0</v>
      </c>
      <c r="AX454" s="1371">
        <f t="shared" si="245"/>
        <v>0</v>
      </c>
      <c r="AY454" s="3321">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8">
        <f t="shared" si="267"/>
        <v>0</v>
      </c>
    </row>
    <row r="455" spans="1:72">
      <c r="A455" s="3273"/>
      <c r="B455" s="3274"/>
      <c r="C455" s="3274"/>
      <c r="D455" s="3275"/>
      <c r="E455" s="3276">
        <f t="shared" si="239"/>
        <v>0</v>
      </c>
      <c r="F455" s="3277"/>
      <c r="G455" s="3278">
        <f t="shared" si="240"/>
        <v>0</v>
      </c>
      <c r="H455" s="3279">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6">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1371">
        <f t="shared" si="243"/>
        <v>0</v>
      </c>
      <c r="AW455" s="1371">
        <f t="shared" si="244"/>
        <v>0</v>
      </c>
      <c r="AX455" s="1371">
        <f t="shared" si="245"/>
        <v>0</v>
      </c>
      <c r="AY455" s="3321">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8">
        <f t="shared" si="267"/>
        <v>0</v>
      </c>
    </row>
    <row r="456" spans="1:72">
      <c r="A456" s="3273"/>
      <c r="B456" s="3274"/>
      <c r="C456" s="3274"/>
      <c r="D456" s="3275"/>
      <c r="E456" s="3276">
        <f t="shared" si="239"/>
        <v>0</v>
      </c>
      <c r="F456" s="3277"/>
      <c r="G456" s="3278">
        <f t="shared" si="240"/>
        <v>0</v>
      </c>
      <c r="H456" s="3279">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6">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1371">
        <f t="shared" si="243"/>
        <v>0</v>
      </c>
      <c r="AW456" s="1371">
        <f t="shared" si="244"/>
        <v>0</v>
      </c>
      <c r="AX456" s="1371">
        <f t="shared" si="245"/>
        <v>0</v>
      </c>
      <c r="AY456" s="3321">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8">
        <f t="shared" si="267"/>
        <v>0</v>
      </c>
    </row>
    <row r="457" spans="1:72">
      <c r="A457" s="3273"/>
      <c r="B457" s="3274"/>
      <c r="C457" s="3274"/>
      <c r="D457" s="3275"/>
      <c r="E457" s="3276">
        <f t="shared" si="239"/>
        <v>0</v>
      </c>
      <c r="F457" s="3277"/>
      <c r="G457" s="3278">
        <f t="shared" si="240"/>
        <v>0</v>
      </c>
      <c r="H457" s="3279">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6">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1371">
        <f t="shared" si="243"/>
        <v>0</v>
      </c>
      <c r="AW457" s="1371">
        <f t="shared" si="244"/>
        <v>0</v>
      </c>
      <c r="AX457" s="1371">
        <f t="shared" si="245"/>
        <v>0</v>
      </c>
      <c r="AY457" s="3321">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8">
        <f t="shared" si="267"/>
        <v>0</v>
      </c>
    </row>
    <row r="458" spans="1:72">
      <c r="A458" s="3273"/>
      <c r="B458" s="3274"/>
      <c r="C458" s="3274"/>
      <c r="D458" s="3275"/>
      <c r="E458" s="3276">
        <f t="shared" si="239"/>
        <v>0</v>
      </c>
      <c r="F458" s="3277"/>
      <c r="G458" s="3278">
        <f t="shared" si="240"/>
        <v>0</v>
      </c>
      <c r="H458" s="3279">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6">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1371">
        <f t="shared" si="243"/>
        <v>0</v>
      </c>
      <c r="AW458" s="1371">
        <f t="shared" si="244"/>
        <v>0</v>
      </c>
      <c r="AX458" s="1371">
        <f t="shared" si="245"/>
        <v>0</v>
      </c>
      <c r="AY458" s="3321">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8">
        <f t="shared" si="267"/>
        <v>0</v>
      </c>
    </row>
    <row r="459" spans="1:72">
      <c r="A459" s="3273"/>
      <c r="B459" s="3274"/>
      <c r="C459" s="3274"/>
      <c r="D459" s="3275"/>
      <c r="E459" s="3276">
        <f t="shared" si="239"/>
        <v>0</v>
      </c>
      <c r="F459" s="3277"/>
      <c r="G459" s="3278">
        <f t="shared" si="240"/>
        <v>0</v>
      </c>
      <c r="H459" s="3279">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6">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1371">
        <f t="shared" si="243"/>
        <v>0</v>
      </c>
      <c r="AW459" s="1371">
        <f t="shared" si="244"/>
        <v>0</v>
      </c>
      <c r="AX459" s="1371">
        <f t="shared" si="245"/>
        <v>0</v>
      </c>
      <c r="AY459" s="3321">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8">
        <f t="shared" si="267"/>
        <v>0</v>
      </c>
    </row>
    <row r="460" spans="1:72">
      <c r="A460" s="3273"/>
      <c r="B460" s="3274"/>
      <c r="C460" s="3274"/>
      <c r="D460" s="3275"/>
      <c r="E460" s="3276">
        <f t="shared" si="239"/>
        <v>0</v>
      </c>
      <c r="F460" s="3277"/>
      <c r="G460" s="3278">
        <f t="shared" si="240"/>
        <v>0</v>
      </c>
      <c r="H460" s="3279">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6">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1371">
        <f t="shared" si="243"/>
        <v>0</v>
      </c>
      <c r="AW460" s="1371">
        <f t="shared" si="244"/>
        <v>0</v>
      </c>
      <c r="AX460" s="1371">
        <f t="shared" si="245"/>
        <v>0</v>
      </c>
      <c r="AY460" s="3321">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8">
        <f t="shared" si="267"/>
        <v>0</v>
      </c>
    </row>
    <row r="461" spans="1:72">
      <c r="A461" s="3273"/>
      <c r="B461" s="3274"/>
      <c r="C461" s="3274"/>
      <c r="D461" s="3275"/>
      <c r="E461" s="3276">
        <f t="shared" si="239"/>
        <v>0</v>
      </c>
      <c r="F461" s="3277"/>
      <c r="G461" s="3278">
        <f t="shared" si="240"/>
        <v>0</v>
      </c>
      <c r="H461" s="3279">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6">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1371">
        <f t="shared" si="243"/>
        <v>0</v>
      </c>
      <c r="AW461" s="1371">
        <f t="shared" si="244"/>
        <v>0</v>
      </c>
      <c r="AX461" s="1371">
        <f t="shared" si="245"/>
        <v>0</v>
      </c>
      <c r="AY461" s="3321">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8">
        <f t="shared" si="267"/>
        <v>0</v>
      </c>
    </row>
    <row r="462" spans="1:72">
      <c r="A462" s="3273"/>
      <c r="B462" s="3274"/>
      <c r="C462" s="3274"/>
      <c r="D462" s="3275"/>
      <c r="E462" s="3276">
        <f t="shared" si="239"/>
        <v>0</v>
      </c>
      <c r="F462" s="3277"/>
      <c r="G462" s="3278">
        <f t="shared" si="240"/>
        <v>0</v>
      </c>
      <c r="H462" s="3279">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6">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1371">
        <f t="shared" si="243"/>
        <v>0</v>
      </c>
      <c r="AW462" s="1371">
        <f t="shared" si="244"/>
        <v>0</v>
      </c>
      <c r="AX462" s="1371">
        <f t="shared" si="245"/>
        <v>0</v>
      </c>
      <c r="AY462" s="3321">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8">
        <f t="shared" si="267"/>
        <v>0</v>
      </c>
    </row>
    <row r="463" spans="1:72">
      <c r="A463" s="3273"/>
      <c r="B463" s="3274"/>
      <c r="C463" s="3274"/>
      <c r="D463" s="3275"/>
      <c r="E463" s="3276">
        <f t="shared" si="239"/>
        <v>0</v>
      </c>
      <c r="F463" s="3277"/>
      <c r="G463" s="3278">
        <f t="shared" si="240"/>
        <v>0</v>
      </c>
      <c r="H463" s="3279">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6">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1371">
        <f t="shared" si="243"/>
        <v>0</v>
      </c>
      <c r="AW463" s="1371">
        <f t="shared" si="244"/>
        <v>0</v>
      </c>
      <c r="AX463" s="1371">
        <f t="shared" si="245"/>
        <v>0</v>
      </c>
      <c r="AY463" s="3321">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8">
        <f t="shared" si="267"/>
        <v>0</v>
      </c>
    </row>
    <row r="464" spans="1:72">
      <c r="A464" s="3273"/>
      <c r="B464" s="3274"/>
      <c r="C464" s="3274"/>
      <c r="D464" s="3275"/>
      <c r="E464" s="3276">
        <f t="shared" si="239"/>
        <v>0</v>
      </c>
      <c r="F464" s="3277"/>
      <c r="G464" s="3278">
        <f t="shared" si="240"/>
        <v>0</v>
      </c>
      <c r="H464" s="3279">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6">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1371">
        <f t="shared" si="243"/>
        <v>0</v>
      </c>
      <c r="AW464" s="1371">
        <f t="shared" si="244"/>
        <v>0</v>
      </c>
      <c r="AX464" s="1371">
        <f t="shared" si="245"/>
        <v>0</v>
      </c>
      <c r="AY464" s="3321">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8">
        <f t="shared" si="267"/>
        <v>0</v>
      </c>
    </row>
    <row r="465" spans="1:72">
      <c r="A465" s="3273"/>
      <c r="B465" s="3274"/>
      <c r="C465" s="3274"/>
      <c r="D465" s="3275"/>
      <c r="E465" s="3276">
        <f t="shared" si="239"/>
        <v>0</v>
      </c>
      <c r="F465" s="3277"/>
      <c r="G465" s="3278">
        <f t="shared" si="240"/>
        <v>0</v>
      </c>
      <c r="H465" s="3279">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6">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1371">
        <f t="shared" si="243"/>
        <v>0</v>
      </c>
      <c r="AW465" s="1371">
        <f t="shared" si="244"/>
        <v>0</v>
      </c>
      <c r="AX465" s="1371">
        <f t="shared" si="245"/>
        <v>0</v>
      </c>
      <c r="AY465" s="3321">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8">
        <f t="shared" si="267"/>
        <v>0</v>
      </c>
    </row>
    <row r="466" spans="1:72">
      <c r="A466" s="3273"/>
      <c r="B466" s="3274"/>
      <c r="C466" s="3274"/>
      <c r="D466" s="3275"/>
      <c r="E466" s="3276">
        <f t="shared" si="239"/>
        <v>0</v>
      </c>
      <c r="F466" s="3277"/>
      <c r="G466" s="3278">
        <f t="shared" si="240"/>
        <v>0</v>
      </c>
      <c r="H466" s="3279">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6">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1371">
        <f t="shared" si="243"/>
        <v>0</v>
      </c>
      <c r="AW466" s="1371">
        <f t="shared" si="244"/>
        <v>0</v>
      </c>
      <c r="AX466" s="1371">
        <f t="shared" si="245"/>
        <v>0</v>
      </c>
      <c r="AY466" s="3321">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8">
        <f t="shared" si="267"/>
        <v>0</v>
      </c>
    </row>
    <row r="467" spans="1:72">
      <c r="A467" s="3273"/>
      <c r="B467" s="3274"/>
      <c r="C467" s="3274"/>
      <c r="D467" s="3275"/>
      <c r="E467" s="3276">
        <f t="shared" si="239"/>
        <v>0</v>
      </c>
      <c r="F467" s="3277"/>
      <c r="G467" s="3278">
        <f t="shared" si="240"/>
        <v>0</v>
      </c>
      <c r="H467" s="3279">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6">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1371">
        <f t="shared" si="243"/>
        <v>0</v>
      </c>
      <c r="AW467" s="1371">
        <f t="shared" si="244"/>
        <v>0</v>
      </c>
      <c r="AX467" s="1371">
        <f t="shared" si="245"/>
        <v>0</v>
      </c>
      <c r="AY467" s="3321">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8">
        <f t="shared" si="267"/>
        <v>0</v>
      </c>
    </row>
    <row r="468" spans="1:72">
      <c r="A468" s="3273"/>
      <c r="B468" s="3274"/>
      <c r="C468" s="3274"/>
      <c r="D468" s="3275"/>
      <c r="E468" s="3276">
        <f t="shared" si="239"/>
        <v>0</v>
      </c>
      <c r="F468" s="3277"/>
      <c r="G468" s="3278">
        <f t="shared" si="240"/>
        <v>0</v>
      </c>
      <c r="H468" s="3279">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6">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1371">
        <f t="shared" si="243"/>
        <v>0</v>
      </c>
      <c r="AW468" s="1371">
        <f t="shared" si="244"/>
        <v>0</v>
      </c>
      <c r="AX468" s="1371">
        <f t="shared" si="245"/>
        <v>0</v>
      </c>
      <c r="AY468" s="3321">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8">
        <f t="shared" si="267"/>
        <v>0</v>
      </c>
    </row>
    <row r="469" spans="1:72">
      <c r="A469" s="3273"/>
      <c r="B469" s="3274"/>
      <c r="C469" s="3274"/>
      <c r="D469" s="3275"/>
      <c r="E469" s="3276">
        <f t="shared" si="239"/>
        <v>0</v>
      </c>
      <c r="F469" s="3277"/>
      <c r="G469" s="3278">
        <f t="shared" si="240"/>
        <v>0</v>
      </c>
      <c r="H469" s="3279">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6">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1371">
        <f t="shared" si="243"/>
        <v>0</v>
      </c>
      <c r="AW469" s="1371">
        <f t="shared" si="244"/>
        <v>0</v>
      </c>
      <c r="AX469" s="1371">
        <f t="shared" si="245"/>
        <v>0</v>
      </c>
      <c r="AY469" s="3321">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8">
        <f t="shared" si="267"/>
        <v>0</v>
      </c>
    </row>
    <row r="470" spans="1:72">
      <c r="A470" s="3273"/>
      <c r="B470" s="3274"/>
      <c r="C470" s="3274"/>
      <c r="D470" s="3275"/>
      <c r="E470" s="3276">
        <f t="shared" si="239"/>
        <v>0</v>
      </c>
      <c r="F470" s="3277"/>
      <c r="G470" s="3278">
        <f t="shared" si="240"/>
        <v>0</v>
      </c>
      <c r="H470" s="3279">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6">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1371">
        <f t="shared" si="243"/>
        <v>0</v>
      </c>
      <c r="AW470" s="1371">
        <f t="shared" si="244"/>
        <v>0</v>
      </c>
      <c r="AX470" s="1371">
        <f t="shared" si="245"/>
        <v>0</v>
      </c>
      <c r="AY470" s="3321">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8">
        <f t="shared" si="267"/>
        <v>0</v>
      </c>
    </row>
    <row r="471" spans="1:72">
      <c r="A471" s="3273"/>
      <c r="B471" s="3274"/>
      <c r="C471" s="3274"/>
      <c r="D471" s="3275"/>
      <c r="E471" s="3276">
        <f t="shared" si="239"/>
        <v>0</v>
      </c>
      <c r="F471" s="3277"/>
      <c r="G471" s="3278">
        <f t="shared" si="240"/>
        <v>0</v>
      </c>
      <c r="H471" s="3279">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6">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1371">
        <f t="shared" si="243"/>
        <v>0</v>
      </c>
      <c r="AW471" s="1371">
        <f t="shared" si="244"/>
        <v>0</v>
      </c>
      <c r="AX471" s="1371">
        <f t="shared" si="245"/>
        <v>0</v>
      </c>
      <c r="AY471" s="3321">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8">
        <f t="shared" si="267"/>
        <v>0</v>
      </c>
    </row>
    <row r="472" spans="1:72">
      <c r="A472" s="3273"/>
      <c r="B472" s="3274"/>
      <c r="C472" s="3274"/>
      <c r="D472" s="3275"/>
      <c r="E472" s="3276">
        <f t="shared" si="239"/>
        <v>0</v>
      </c>
      <c r="F472" s="3277"/>
      <c r="G472" s="3278">
        <f t="shared" si="240"/>
        <v>0</v>
      </c>
      <c r="H472" s="3279">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6">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1371">
        <f t="shared" si="243"/>
        <v>0</v>
      </c>
      <c r="AW472" s="1371">
        <f t="shared" si="244"/>
        <v>0</v>
      </c>
      <c r="AX472" s="1371">
        <f t="shared" si="245"/>
        <v>0</v>
      </c>
      <c r="AY472" s="3321">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8">
        <f t="shared" si="267"/>
        <v>0</v>
      </c>
    </row>
    <row r="473" spans="1:72">
      <c r="A473" s="3273"/>
      <c r="B473" s="3274"/>
      <c r="C473" s="3274"/>
      <c r="D473" s="3275"/>
      <c r="E473" s="3276">
        <f t="shared" si="239"/>
        <v>0</v>
      </c>
      <c r="F473" s="3277"/>
      <c r="G473" s="3278">
        <f t="shared" si="240"/>
        <v>0</v>
      </c>
      <c r="H473" s="3279">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6">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1371">
        <f t="shared" si="243"/>
        <v>0</v>
      </c>
      <c r="AW473" s="1371">
        <f t="shared" si="244"/>
        <v>0</v>
      </c>
      <c r="AX473" s="1371">
        <f t="shared" si="245"/>
        <v>0</v>
      </c>
      <c r="AY473" s="3321">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8">
        <f t="shared" si="267"/>
        <v>0</v>
      </c>
    </row>
    <row r="474" spans="1:72">
      <c r="A474" s="3273"/>
      <c r="B474" s="3274"/>
      <c r="C474" s="3274"/>
      <c r="D474" s="3275"/>
      <c r="E474" s="3276">
        <f t="shared" si="239"/>
        <v>0</v>
      </c>
      <c r="F474" s="3277"/>
      <c r="G474" s="3278">
        <f t="shared" si="240"/>
        <v>0</v>
      </c>
      <c r="H474" s="3279">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6">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1371">
        <f t="shared" si="243"/>
        <v>0</v>
      </c>
      <c r="AW474" s="1371">
        <f t="shared" si="244"/>
        <v>0</v>
      </c>
      <c r="AX474" s="1371">
        <f t="shared" si="245"/>
        <v>0</v>
      </c>
      <c r="AY474" s="3321">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8">
        <f t="shared" si="267"/>
        <v>0</v>
      </c>
    </row>
    <row r="475" spans="1:72">
      <c r="A475" s="3273"/>
      <c r="B475" s="3274"/>
      <c r="C475" s="3274"/>
      <c r="D475" s="3275"/>
      <c r="E475" s="3276">
        <f t="shared" si="239"/>
        <v>0</v>
      </c>
      <c r="F475" s="3277"/>
      <c r="G475" s="3278">
        <f t="shared" si="240"/>
        <v>0</v>
      </c>
      <c r="H475" s="3279">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6">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1371">
        <f t="shared" si="243"/>
        <v>0</v>
      </c>
      <c r="AW475" s="1371">
        <f t="shared" si="244"/>
        <v>0</v>
      </c>
      <c r="AX475" s="1371">
        <f t="shared" si="245"/>
        <v>0</v>
      </c>
      <c r="AY475" s="3321">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8">
        <f t="shared" si="267"/>
        <v>0</v>
      </c>
    </row>
    <row r="476" spans="1:72">
      <c r="A476" s="3273"/>
      <c r="B476" s="3274"/>
      <c r="C476" s="3274"/>
      <c r="D476" s="3275"/>
      <c r="E476" s="3276">
        <f t="shared" si="239"/>
        <v>0</v>
      </c>
      <c r="F476" s="3277"/>
      <c r="G476" s="3278">
        <f t="shared" si="240"/>
        <v>0</v>
      </c>
      <c r="H476" s="3279">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6">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1371">
        <f t="shared" si="243"/>
        <v>0</v>
      </c>
      <c r="AW476" s="1371">
        <f t="shared" si="244"/>
        <v>0</v>
      </c>
      <c r="AX476" s="1371">
        <f t="shared" si="245"/>
        <v>0</v>
      </c>
      <c r="AY476" s="3321">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8">
        <f t="shared" si="267"/>
        <v>0</v>
      </c>
    </row>
    <row r="477" spans="1:72">
      <c r="A477" s="3273"/>
      <c r="B477" s="3274"/>
      <c r="C477" s="3274"/>
      <c r="D477" s="3275"/>
      <c r="E477" s="3276">
        <f t="shared" si="239"/>
        <v>0</v>
      </c>
      <c r="F477" s="3277"/>
      <c r="G477" s="3278">
        <f t="shared" si="240"/>
        <v>0</v>
      </c>
      <c r="H477" s="3279">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6">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1371">
        <f t="shared" si="243"/>
        <v>0</v>
      </c>
      <c r="AW477" s="1371">
        <f t="shared" si="244"/>
        <v>0</v>
      </c>
      <c r="AX477" s="1371">
        <f t="shared" si="245"/>
        <v>0</v>
      </c>
      <c r="AY477" s="3321">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8">
        <f t="shared" si="267"/>
        <v>0</v>
      </c>
    </row>
    <row r="478" spans="1:72">
      <c r="A478" s="3273"/>
      <c r="B478" s="3274"/>
      <c r="C478" s="3274"/>
      <c r="D478" s="3275"/>
      <c r="E478" s="3276">
        <f t="shared" si="239"/>
        <v>0</v>
      </c>
      <c r="F478" s="3277"/>
      <c r="G478" s="3278">
        <f t="shared" si="240"/>
        <v>0</v>
      </c>
      <c r="H478" s="3279">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6">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1371">
        <f t="shared" si="243"/>
        <v>0</v>
      </c>
      <c r="AW478" s="1371">
        <f t="shared" si="244"/>
        <v>0</v>
      </c>
      <c r="AX478" s="1371">
        <f t="shared" si="245"/>
        <v>0</v>
      </c>
      <c r="AY478" s="3321">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8">
        <f t="shared" si="267"/>
        <v>0</v>
      </c>
    </row>
    <row r="479" spans="1:72">
      <c r="A479" s="3273"/>
      <c r="B479" s="3274"/>
      <c r="C479" s="3274"/>
      <c r="D479" s="3275"/>
      <c r="E479" s="3276">
        <f t="shared" si="239"/>
        <v>0</v>
      </c>
      <c r="F479" s="3277"/>
      <c r="G479" s="3278">
        <f t="shared" si="240"/>
        <v>0</v>
      </c>
      <c r="H479" s="3279">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6">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1371">
        <f t="shared" si="243"/>
        <v>0</v>
      </c>
      <c r="AW479" s="1371">
        <f t="shared" si="244"/>
        <v>0</v>
      </c>
      <c r="AX479" s="1371">
        <f t="shared" si="245"/>
        <v>0</v>
      </c>
      <c r="AY479" s="3321">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8">
        <f t="shared" si="267"/>
        <v>0</v>
      </c>
    </row>
    <row r="480" spans="1:72">
      <c r="A480" s="3273"/>
      <c r="B480" s="3274"/>
      <c r="C480" s="3274"/>
      <c r="D480" s="3275"/>
      <c r="E480" s="3276">
        <f t="shared" si="239"/>
        <v>0</v>
      </c>
      <c r="F480" s="3277"/>
      <c r="G480" s="3278">
        <f t="shared" si="240"/>
        <v>0</v>
      </c>
      <c r="H480" s="3279">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6">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1371">
        <f t="shared" si="243"/>
        <v>0</v>
      </c>
      <c r="AW480" s="1371">
        <f t="shared" si="244"/>
        <v>0</v>
      </c>
      <c r="AX480" s="1371">
        <f t="shared" si="245"/>
        <v>0</v>
      </c>
      <c r="AY480" s="3321">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8">
        <f t="shared" si="267"/>
        <v>0</v>
      </c>
    </row>
    <row r="481" spans="1:72">
      <c r="A481" s="3273"/>
      <c r="B481" s="3274"/>
      <c r="C481" s="3274"/>
      <c r="D481" s="3275"/>
      <c r="E481" s="3276">
        <f t="shared" si="239"/>
        <v>0</v>
      </c>
      <c r="F481" s="3277"/>
      <c r="G481" s="3278">
        <f t="shared" si="240"/>
        <v>0</v>
      </c>
      <c r="H481" s="3279">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6">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1371">
        <f t="shared" si="243"/>
        <v>0</v>
      </c>
      <c r="AW481" s="1371">
        <f t="shared" si="244"/>
        <v>0</v>
      </c>
      <c r="AX481" s="1371">
        <f t="shared" si="245"/>
        <v>0</v>
      </c>
      <c r="AY481" s="3321">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8">
        <f t="shared" si="267"/>
        <v>0</v>
      </c>
    </row>
    <row r="482" spans="1:72">
      <c r="A482" s="3273"/>
      <c r="B482" s="3274"/>
      <c r="C482" s="3274"/>
      <c r="D482" s="3275"/>
      <c r="E482" s="3276">
        <f t="shared" si="239"/>
        <v>0</v>
      </c>
      <c r="F482" s="3277"/>
      <c r="G482" s="3278">
        <f t="shared" si="240"/>
        <v>0</v>
      </c>
      <c r="H482" s="3279">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6">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1371">
        <f t="shared" si="243"/>
        <v>0</v>
      </c>
      <c r="AW482" s="1371">
        <f t="shared" si="244"/>
        <v>0</v>
      </c>
      <c r="AX482" s="1371">
        <f t="shared" si="245"/>
        <v>0</v>
      </c>
      <c r="AY482" s="3321">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8">
        <f t="shared" si="267"/>
        <v>0</v>
      </c>
    </row>
    <row r="483" spans="1:72">
      <c r="A483" s="3273"/>
      <c r="B483" s="3274"/>
      <c r="C483" s="3274"/>
      <c r="D483" s="3275"/>
      <c r="E483" s="3276">
        <f t="shared" si="239"/>
        <v>0</v>
      </c>
      <c r="F483" s="3277"/>
      <c r="G483" s="3278">
        <f t="shared" si="240"/>
        <v>0</v>
      </c>
      <c r="H483" s="3279">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6">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1371">
        <f t="shared" si="243"/>
        <v>0</v>
      </c>
      <c r="AW483" s="1371">
        <f t="shared" si="244"/>
        <v>0</v>
      </c>
      <c r="AX483" s="1371">
        <f t="shared" si="245"/>
        <v>0</v>
      </c>
      <c r="AY483" s="3321">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8">
        <f t="shared" si="267"/>
        <v>0</v>
      </c>
    </row>
    <row r="484" spans="1:72">
      <c r="A484" s="3273"/>
      <c r="B484" s="3274"/>
      <c r="C484" s="3274"/>
      <c r="D484" s="3275"/>
      <c r="E484" s="3276">
        <f t="shared" si="239"/>
        <v>0</v>
      </c>
      <c r="F484" s="3277"/>
      <c r="G484" s="3278">
        <f t="shared" si="240"/>
        <v>0</v>
      </c>
      <c r="H484" s="3279">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6">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1371">
        <f t="shared" si="243"/>
        <v>0</v>
      </c>
      <c r="AW484" s="1371">
        <f t="shared" si="244"/>
        <v>0</v>
      </c>
      <c r="AX484" s="1371">
        <f t="shared" si="245"/>
        <v>0</v>
      </c>
      <c r="AY484" s="3321">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8">
        <f t="shared" si="267"/>
        <v>0</v>
      </c>
    </row>
    <row r="485" spans="1:72">
      <c r="A485" s="3273"/>
      <c r="B485" s="3274"/>
      <c r="C485" s="3274"/>
      <c r="D485" s="3275"/>
      <c r="E485" s="3276">
        <f t="shared" si="239"/>
        <v>0</v>
      </c>
      <c r="F485" s="3277"/>
      <c r="G485" s="3278">
        <f t="shared" si="240"/>
        <v>0</v>
      </c>
      <c r="H485" s="3279">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6">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1371">
        <f t="shared" si="243"/>
        <v>0</v>
      </c>
      <c r="AW485" s="1371">
        <f t="shared" si="244"/>
        <v>0</v>
      </c>
      <c r="AX485" s="1371">
        <f t="shared" si="245"/>
        <v>0</v>
      </c>
      <c r="AY485" s="3321">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8">
        <f t="shared" si="267"/>
        <v>0</v>
      </c>
    </row>
    <row r="486" spans="1:72">
      <c r="A486" s="3273"/>
      <c r="B486" s="3274"/>
      <c r="C486" s="3274"/>
      <c r="D486" s="3275"/>
      <c r="E486" s="3276">
        <f t="shared" si="239"/>
        <v>0</v>
      </c>
      <c r="F486" s="3277"/>
      <c r="G486" s="3278">
        <f t="shared" si="240"/>
        <v>0</v>
      </c>
      <c r="H486" s="3279">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6">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1371">
        <f t="shared" si="243"/>
        <v>0</v>
      </c>
      <c r="AW486" s="1371">
        <f t="shared" si="244"/>
        <v>0</v>
      </c>
      <c r="AX486" s="1371">
        <f t="shared" si="245"/>
        <v>0</v>
      </c>
      <c r="AY486" s="3321">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8">
        <f t="shared" si="267"/>
        <v>0</v>
      </c>
    </row>
    <row r="487" spans="1:72">
      <c r="A487" s="3273"/>
      <c r="B487" s="3274"/>
      <c r="C487" s="3274"/>
      <c r="D487" s="3275"/>
      <c r="E487" s="3276">
        <f t="shared" si="239"/>
        <v>0</v>
      </c>
      <c r="F487" s="3277"/>
      <c r="G487" s="3278">
        <f t="shared" si="240"/>
        <v>0</v>
      </c>
      <c r="H487" s="3279">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6">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1371">
        <f t="shared" si="243"/>
        <v>0</v>
      </c>
      <c r="AW487" s="1371">
        <f t="shared" si="244"/>
        <v>0</v>
      </c>
      <c r="AX487" s="1371">
        <f t="shared" si="245"/>
        <v>0</v>
      </c>
      <c r="AY487" s="3321">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8">
        <f t="shared" si="267"/>
        <v>0</v>
      </c>
    </row>
    <row r="488" spans="1:72">
      <c r="A488" s="3273"/>
      <c r="B488" s="3274"/>
      <c r="C488" s="3274"/>
      <c r="D488" s="3275"/>
      <c r="E488" s="3276">
        <f t="shared" si="239"/>
        <v>0</v>
      </c>
      <c r="F488" s="3277"/>
      <c r="G488" s="3278">
        <f t="shared" si="240"/>
        <v>0</v>
      </c>
      <c r="H488" s="3279">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6">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1371">
        <f t="shared" si="243"/>
        <v>0</v>
      </c>
      <c r="AW488" s="1371">
        <f t="shared" si="244"/>
        <v>0</v>
      </c>
      <c r="AX488" s="1371">
        <f t="shared" si="245"/>
        <v>0</v>
      </c>
      <c r="AY488" s="3321">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8">
        <f t="shared" si="267"/>
        <v>0</v>
      </c>
    </row>
    <row r="489" spans="1:72">
      <c r="A489" s="3273"/>
      <c r="B489" s="3274"/>
      <c r="C489" s="3274"/>
      <c r="D489" s="3275"/>
      <c r="E489" s="3276">
        <f t="shared" si="239"/>
        <v>0</v>
      </c>
      <c r="F489" s="3277"/>
      <c r="G489" s="3278">
        <f t="shared" si="240"/>
        <v>0</v>
      </c>
      <c r="H489" s="3279">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6">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1371">
        <f t="shared" si="243"/>
        <v>0</v>
      </c>
      <c r="AW489" s="1371">
        <f t="shared" si="244"/>
        <v>0</v>
      </c>
      <c r="AX489" s="1371">
        <f t="shared" si="245"/>
        <v>0</v>
      </c>
      <c r="AY489" s="3321">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8">
        <f t="shared" si="267"/>
        <v>0</v>
      </c>
    </row>
    <row r="490" spans="1:72">
      <c r="A490" s="3273"/>
      <c r="B490" s="3273"/>
      <c r="C490" s="3273"/>
      <c r="D490" s="3275"/>
      <c r="E490" s="3276">
        <f t="shared" si="239"/>
        <v>0</v>
      </c>
      <c r="F490" s="3329"/>
      <c r="G490" s="3278">
        <f t="shared" ref="G490:G521" si="268">H490+AC490+AT490</f>
        <v>0</v>
      </c>
      <c r="H490" s="3279">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6">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1371">
        <f t="shared" si="243"/>
        <v>0</v>
      </c>
      <c r="AW490" s="1371">
        <f t="shared" si="244"/>
        <v>0</v>
      </c>
      <c r="AX490" s="1371">
        <f t="shared" si="245"/>
        <v>0</v>
      </c>
      <c r="AY490" s="3321">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8">
        <f t="shared" ref="BT490:BT521" si="292">IF($D490="是",AR490-AS490,0)</f>
        <v>0</v>
      </c>
    </row>
    <row r="491" spans="1:72">
      <c r="A491" s="3273"/>
      <c r="B491" s="3273"/>
      <c r="C491" s="3273"/>
      <c r="D491" s="3275"/>
      <c r="E491" s="3276">
        <f t="shared" si="239"/>
        <v>0</v>
      </c>
      <c r="F491" s="3329"/>
      <c r="G491" s="3278">
        <f t="shared" si="268"/>
        <v>0</v>
      </c>
      <c r="H491" s="3279">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6">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1371">
        <f t="shared" si="243"/>
        <v>0</v>
      </c>
      <c r="AW491" s="1371">
        <f t="shared" si="244"/>
        <v>0</v>
      </c>
      <c r="AX491" s="1371">
        <f t="shared" si="245"/>
        <v>0</v>
      </c>
      <c r="AY491" s="3321">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8">
        <f t="shared" si="292"/>
        <v>0</v>
      </c>
    </row>
    <row r="492" spans="1:72">
      <c r="A492" s="3273"/>
      <c r="B492" s="3273"/>
      <c r="C492" s="3273"/>
      <c r="D492" s="3275"/>
      <c r="E492" s="3276">
        <f t="shared" si="239"/>
        <v>0</v>
      </c>
      <c r="F492" s="3329"/>
      <c r="G492" s="3278">
        <f t="shared" si="268"/>
        <v>0</v>
      </c>
      <c r="H492" s="3279">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6">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1371">
        <f t="shared" si="243"/>
        <v>0</v>
      </c>
      <c r="AW492" s="1371">
        <f t="shared" si="244"/>
        <v>0</v>
      </c>
      <c r="AX492" s="1371">
        <f t="shared" si="245"/>
        <v>0</v>
      </c>
      <c r="AY492" s="3321">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8">
        <f t="shared" si="292"/>
        <v>0</v>
      </c>
    </row>
    <row r="493" spans="1:72">
      <c r="A493" s="3273"/>
      <c r="B493" s="3274"/>
      <c r="C493" s="3274"/>
      <c r="D493" s="3275"/>
      <c r="E493" s="3276">
        <f t="shared" ref="E493:E519" si="293">IF($C$3="是",ROUND($A$3*G493/$B$3,2),ROUND($A$3*(G493-AT493)/$B$3,2))</f>
        <v>0</v>
      </c>
      <c r="F493" s="3277"/>
      <c r="G493" s="3278">
        <f t="shared" si="268"/>
        <v>0</v>
      </c>
      <c r="H493" s="3279">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6">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1371">
        <f t="shared" ref="AV493:AV520" si="294">A493</f>
        <v>0</v>
      </c>
      <c r="AW493" s="1371">
        <f t="shared" ref="AW493:AW520" si="295">B493</f>
        <v>0</v>
      </c>
      <c r="AX493" s="1371">
        <f t="shared" ref="AX493:AX520" si="296">C493</f>
        <v>0</v>
      </c>
      <c r="AY493" s="3321">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8">
        <f t="shared" si="292"/>
        <v>0</v>
      </c>
    </row>
    <row r="494" spans="1:72">
      <c r="A494" s="3273"/>
      <c r="B494" s="3274"/>
      <c r="C494" s="3274"/>
      <c r="D494" s="3275"/>
      <c r="E494" s="3276">
        <f t="shared" si="293"/>
        <v>0</v>
      </c>
      <c r="F494" s="3277"/>
      <c r="G494" s="3278">
        <f t="shared" si="268"/>
        <v>0</v>
      </c>
      <c r="H494" s="3279">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6">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1371">
        <f t="shared" si="294"/>
        <v>0</v>
      </c>
      <c r="AW494" s="1371">
        <f t="shared" si="295"/>
        <v>0</v>
      </c>
      <c r="AX494" s="1371">
        <f t="shared" si="296"/>
        <v>0</v>
      </c>
      <c r="AY494" s="3321">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8">
        <f t="shared" si="292"/>
        <v>0</v>
      </c>
    </row>
    <row r="495" spans="1:72">
      <c r="A495" s="3273"/>
      <c r="B495" s="3274"/>
      <c r="C495" s="3274"/>
      <c r="D495" s="3275"/>
      <c r="E495" s="3276">
        <f t="shared" si="293"/>
        <v>0</v>
      </c>
      <c r="F495" s="3277"/>
      <c r="G495" s="3278">
        <f t="shared" si="268"/>
        <v>0</v>
      </c>
      <c r="H495" s="3279">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6">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1371">
        <f t="shared" si="294"/>
        <v>0</v>
      </c>
      <c r="AW495" s="1371">
        <f t="shared" si="295"/>
        <v>0</v>
      </c>
      <c r="AX495" s="1371">
        <f t="shared" si="296"/>
        <v>0</v>
      </c>
      <c r="AY495" s="3321">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8">
        <f t="shared" si="292"/>
        <v>0</v>
      </c>
    </row>
    <row r="496" spans="1:72">
      <c r="A496" s="3273"/>
      <c r="B496" s="3274"/>
      <c r="C496" s="3274"/>
      <c r="D496" s="3275"/>
      <c r="E496" s="3276">
        <f t="shared" si="293"/>
        <v>0</v>
      </c>
      <c r="F496" s="3277"/>
      <c r="G496" s="3278">
        <f t="shared" si="268"/>
        <v>0</v>
      </c>
      <c r="H496" s="3279">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6">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1371">
        <f t="shared" si="294"/>
        <v>0</v>
      </c>
      <c r="AW496" s="1371">
        <f t="shared" si="295"/>
        <v>0</v>
      </c>
      <c r="AX496" s="1371">
        <f t="shared" si="296"/>
        <v>0</v>
      </c>
      <c r="AY496" s="3321">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8">
        <f t="shared" si="292"/>
        <v>0</v>
      </c>
    </row>
    <row r="497" spans="1:72">
      <c r="A497" s="3273"/>
      <c r="B497" s="3274"/>
      <c r="C497" s="3274"/>
      <c r="D497" s="3275"/>
      <c r="E497" s="3276">
        <f t="shared" si="293"/>
        <v>0</v>
      </c>
      <c r="F497" s="3277"/>
      <c r="G497" s="3278">
        <f t="shared" si="268"/>
        <v>0</v>
      </c>
      <c r="H497" s="3279">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6">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1371">
        <f t="shared" si="294"/>
        <v>0</v>
      </c>
      <c r="AW497" s="1371">
        <f t="shared" si="295"/>
        <v>0</v>
      </c>
      <c r="AX497" s="1371">
        <f t="shared" si="296"/>
        <v>0</v>
      </c>
      <c r="AY497" s="3321">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8">
        <f t="shared" si="292"/>
        <v>0</v>
      </c>
    </row>
    <row r="498" spans="1:72">
      <c r="A498" s="3273"/>
      <c r="B498" s="3274"/>
      <c r="C498" s="3274"/>
      <c r="D498" s="3275"/>
      <c r="E498" s="3276">
        <f t="shared" si="293"/>
        <v>0</v>
      </c>
      <c r="F498" s="3277"/>
      <c r="G498" s="3278">
        <f t="shared" si="268"/>
        <v>0</v>
      </c>
      <c r="H498" s="3279">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6">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1371">
        <f t="shared" si="294"/>
        <v>0</v>
      </c>
      <c r="AW498" s="1371">
        <f t="shared" si="295"/>
        <v>0</v>
      </c>
      <c r="AX498" s="1371">
        <f t="shared" si="296"/>
        <v>0</v>
      </c>
      <c r="AY498" s="3321">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8">
        <f t="shared" si="292"/>
        <v>0</v>
      </c>
    </row>
    <row r="499" spans="1:72">
      <c r="A499" s="3273"/>
      <c r="B499" s="3274"/>
      <c r="C499" s="3274"/>
      <c r="D499" s="3275"/>
      <c r="E499" s="3276">
        <f t="shared" si="293"/>
        <v>0</v>
      </c>
      <c r="F499" s="3277"/>
      <c r="G499" s="3278">
        <f t="shared" si="268"/>
        <v>0</v>
      </c>
      <c r="H499" s="3279">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6">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1371">
        <f t="shared" si="294"/>
        <v>0</v>
      </c>
      <c r="AW499" s="1371">
        <f t="shared" si="295"/>
        <v>0</v>
      </c>
      <c r="AX499" s="1371">
        <f t="shared" si="296"/>
        <v>0</v>
      </c>
      <c r="AY499" s="3321">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8">
        <f t="shared" si="292"/>
        <v>0</v>
      </c>
    </row>
    <row r="500" spans="1:72">
      <c r="A500" s="3273"/>
      <c r="B500" s="3274"/>
      <c r="C500" s="3274"/>
      <c r="D500" s="3275"/>
      <c r="E500" s="3276">
        <f t="shared" si="293"/>
        <v>0</v>
      </c>
      <c r="F500" s="3277"/>
      <c r="G500" s="3278">
        <f t="shared" si="268"/>
        <v>0</v>
      </c>
      <c r="H500" s="3279">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6">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1371">
        <f t="shared" si="294"/>
        <v>0</v>
      </c>
      <c r="AW500" s="1371">
        <f t="shared" si="295"/>
        <v>0</v>
      </c>
      <c r="AX500" s="1371">
        <f t="shared" si="296"/>
        <v>0</v>
      </c>
      <c r="AY500" s="3321">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8">
        <f t="shared" si="292"/>
        <v>0</v>
      </c>
    </row>
    <row r="501" spans="1:72">
      <c r="A501" s="3273"/>
      <c r="B501" s="3274"/>
      <c r="C501" s="3274"/>
      <c r="D501" s="3275"/>
      <c r="E501" s="3276">
        <f t="shared" si="293"/>
        <v>0</v>
      </c>
      <c r="F501" s="3277"/>
      <c r="G501" s="3278">
        <f t="shared" si="268"/>
        <v>0</v>
      </c>
      <c r="H501" s="3279">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6">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1371">
        <f t="shared" si="294"/>
        <v>0</v>
      </c>
      <c r="AW501" s="1371">
        <f t="shared" si="295"/>
        <v>0</v>
      </c>
      <c r="AX501" s="1371">
        <f t="shared" si="296"/>
        <v>0</v>
      </c>
      <c r="AY501" s="3321">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8">
        <f t="shared" si="292"/>
        <v>0</v>
      </c>
    </row>
    <row r="502" spans="1:72">
      <c r="A502" s="3273"/>
      <c r="B502" s="3274"/>
      <c r="C502" s="3274"/>
      <c r="D502" s="3275"/>
      <c r="E502" s="3276">
        <f t="shared" si="293"/>
        <v>0</v>
      </c>
      <c r="F502" s="3277"/>
      <c r="G502" s="3278">
        <f t="shared" si="268"/>
        <v>0</v>
      </c>
      <c r="H502" s="3279">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6">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1371">
        <f t="shared" si="294"/>
        <v>0</v>
      </c>
      <c r="AW502" s="1371">
        <f t="shared" si="295"/>
        <v>0</v>
      </c>
      <c r="AX502" s="1371">
        <f t="shared" si="296"/>
        <v>0</v>
      </c>
      <c r="AY502" s="3321">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8">
        <f t="shared" si="292"/>
        <v>0</v>
      </c>
    </row>
    <row r="503" spans="1:72">
      <c r="A503" s="3273"/>
      <c r="B503" s="3274"/>
      <c r="C503" s="3274"/>
      <c r="D503" s="3275"/>
      <c r="E503" s="3276">
        <f t="shared" si="293"/>
        <v>0</v>
      </c>
      <c r="F503" s="3277"/>
      <c r="G503" s="3278">
        <f t="shared" si="268"/>
        <v>0</v>
      </c>
      <c r="H503" s="3279">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6">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1371">
        <f t="shared" si="294"/>
        <v>0</v>
      </c>
      <c r="AW503" s="1371">
        <f t="shared" si="295"/>
        <v>0</v>
      </c>
      <c r="AX503" s="1371">
        <f t="shared" si="296"/>
        <v>0</v>
      </c>
      <c r="AY503" s="3321">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8">
        <f t="shared" si="292"/>
        <v>0</v>
      </c>
    </row>
    <row r="504" spans="1:72">
      <c r="A504" s="3273"/>
      <c r="B504" s="3274"/>
      <c r="C504" s="3274"/>
      <c r="D504" s="3275"/>
      <c r="E504" s="3276">
        <f t="shared" si="293"/>
        <v>0</v>
      </c>
      <c r="F504" s="3277"/>
      <c r="G504" s="3278">
        <f t="shared" si="268"/>
        <v>0</v>
      </c>
      <c r="H504" s="3279">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6">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1371">
        <f t="shared" si="294"/>
        <v>0</v>
      </c>
      <c r="AW504" s="1371">
        <f t="shared" si="295"/>
        <v>0</v>
      </c>
      <c r="AX504" s="1371">
        <f t="shared" si="296"/>
        <v>0</v>
      </c>
      <c r="AY504" s="3321">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8">
        <f t="shared" si="292"/>
        <v>0</v>
      </c>
    </row>
    <row r="505" spans="1:72">
      <c r="A505" s="3273"/>
      <c r="B505" s="3274"/>
      <c r="C505" s="3274"/>
      <c r="D505" s="3275"/>
      <c r="E505" s="3276">
        <f t="shared" si="293"/>
        <v>0</v>
      </c>
      <c r="F505" s="3277"/>
      <c r="G505" s="3278">
        <f t="shared" si="268"/>
        <v>0</v>
      </c>
      <c r="H505" s="3279">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6">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1371">
        <f t="shared" si="294"/>
        <v>0</v>
      </c>
      <c r="AW505" s="1371">
        <f t="shared" si="295"/>
        <v>0</v>
      </c>
      <c r="AX505" s="1371">
        <f t="shared" si="296"/>
        <v>0</v>
      </c>
      <c r="AY505" s="3321">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8">
        <f t="shared" si="292"/>
        <v>0</v>
      </c>
    </row>
    <row r="506" spans="1:72">
      <c r="A506" s="3273"/>
      <c r="B506" s="3274"/>
      <c r="C506" s="3274"/>
      <c r="D506" s="3275"/>
      <c r="E506" s="3276">
        <f t="shared" si="293"/>
        <v>0</v>
      </c>
      <c r="F506" s="3277"/>
      <c r="G506" s="3278">
        <f t="shared" si="268"/>
        <v>0</v>
      </c>
      <c r="H506" s="3279">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6">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1371">
        <f t="shared" si="294"/>
        <v>0</v>
      </c>
      <c r="AW506" s="1371">
        <f t="shared" si="295"/>
        <v>0</v>
      </c>
      <c r="AX506" s="1371">
        <f t="shared" si="296"/>
        <v>0</v>
      </c>
      <c r="AY506" s="3321">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8">
        <f t="shared" si="292"/>
        <v>0</v>
      </c>
    </row>
    <row r="507" spans="1:72">
      <c r="A507" s="3273"/>
      <c r="B507" s="3274"/>
      <c r="C507" s="3274"/>
      <c r="D507" s="3275"/>
      <c r="E507" s="3276">
        <f t="shared" si="293"/>
        <v>0</v>
      </c>
      <c r="F507" s="3277"/>
      <c r="G507" s="3278">
        <f t="shared" si="268"/>
        <v>0</v>
      </c>
      <c r="H507" s="3279">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6">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1371">
        <f t="shared" si="294"/>
        <v>0</v>
      </c>
      <c r="AW507" s="1371">
        <f t="shared" si="295"/>
        <v>0</v>
      </c>
      <c r="AX507" s="1371">
        <f t="shared" si="296"/>
        <v>0</v>
      </c>
      <c r="AY507" s="3321">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8">
        <f t="shared" si="292"/>
        <v>0</v>
      </c>
    </row>
    <row r="508" spans="1:72">
      <c r="A508" s="3273"/>
      <c r="B508" s="3274"/>
      <c r="C508" s="3274"/>
      <c r="D508" s="3275"/>
      <c r="E508" s="3276">
        <f t="shared" si="293"/>
        <v>0</v>
      </c>
      <c r="F508" s="3277"/>
      <c r="G508" s="3278">
        <f t="shared" si="268"/>
        <v>0</v>
      </c>
      <c r="H508" s="3279">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6">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1371">
        <f t="shared" si="294"/>
        <v>0</v>
      </c>
      <c r="AW508" s="1371">
        <f t="shared" si="295"/>
        <v>0</v>
      </c>
      <c r="AX508" s="1371">
        <f t="shared" si="296"/>
        <v>0</v>
      </c>
      <c r="AY508" s="3321">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8">
        <f t="shared" si="292"/>
        <v>0</v>
      </c>
    </row>
    <row r="509" spans="1:72">
      <c r="A509" s="3273"/>
      <c r="B509" s="3274"/>
      <c r="C509" s="3274"/>
      <c r="D509" s="3275"/>
      <c r="E509" s="3276">
        <f t="shared" si="293"/>
        <v>0</v>
      </c>
      <c r="F509" s="3277"/>
      <c r="G509" s="3278">
        <f t="shared" si="268"/>
        <v>0</v>
      </c>
      <c r="H509" s="3279">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6">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1371">
        <f t="shared" si="294"/>
        <v>0</v>
      </c>
      <c r="AW509" s="1371">
        <f t="shared" si="295"/>
        <v>0</v>
      </c>
      <c r="AX509" s="1371">
        <f t="shared" si="296"/>
        <v>0</v>
      </c>
      <c r="AY509" s="3321">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8">
        <f t="shared" si="292"/>
        <v>0</v>
      </c>
    </row>
    <row r="510" spans="1:72">
      <c r="A510" s="3273"/>
      <c r="B510" s="3274"/>
      <c r="C510" s="3274"/>
      <c r="D510" s="3275"/>
      <c r="E510" s="3276">
        <f t="shared" si="293"/>
        <v>0</v>
      </c>
      <c r="F510" s="3277"/>
      <c r="G510" s="3278">
        <f t="shared" si="268"/>
        <v>0</v>
      </c>
      <c r="H510" s="3279">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6">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1371">
        <f t="shared" si="294"/>
        <v>0</v>
      </c>
      <c r="AW510" s="1371">
        <f t="shared" si="295"/>
        <v>0</v>
      </c>
      <c r="AX510" s="1371">
        <f t="shared" si="296"/>
        <v>0</v>
      </c>
      <c r="AY510" s="3321">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8">
        <f t="shared" si="292"/>
        <v>0</v>
      </c>
    </row>
    <row r="511" spans="1:72">
      <c r="A511" s="3273"/>
      <c r="B511" s="3274"/>
      <c r="C511" s="3274"/>
      <c r="D511" s="3275"/>
      <c r="E511" s="3276">
        <f t="shared" si="293"/>
        <v>0</v>
      </c>
      <c r="F511" s="3277"/>
      <c r="G511" s="3278">
        <f t="shared" si="268"/>
        <v>0</v>
      </c>
      <c r="H511" s="3279">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6">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1371">
        <f t="shared" si="294"/>
        <v>0</v>
      </c>
      <c r="AW511" s="1371">
        <f t="shared" si="295"/>
        <v>0</v>
      </c>
      <c r="AX511" s="1371">
        <f t="shared" si="296"/>
        <v>0</v>
      </c>
      <c r="AY511" s="3321">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8">
        <f t="shared" si="292"/>
        <v>0</v>
      </c>
    </row>
    <row r="512" spans="1:72">
      <c r="A512" s="3273"/>
      <c r="B512" s="3274"/>
      <c r="C512" s="3274"/>
      <c r="D512" s="3275"/>
      <c r="E512" s="3276">
        <f t="shared" si="293"/>
        <v>0</v>
      </c>
      <c r="F512" s="3277"/>
      <c r="G512" s="3278">
        <f t="shared" si="268"/>
        <v>0</v>
      </c>
      <c r="H512" s="3279">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6">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1371">
        <f t="shared" si="294"/>
        <v>0</v>
      </c>
      <c r="AW512" s="1371">
        <f t="shared" si="295"/>
        <v>0</v>
      </c>
      <c r="AX512" s="1371">
        <f t="shared" si="296"/>
        <v>0</v>
      </c>
      <c r="AY512" s="3321">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8">
        <f t="shared" si="292"/>
        <v>0</v>
      </c>
    </row>
    <row r="513" spans="1:72">
      <c r="A513" s="3273"/>
      <c r="B513" s="3274"/>
      <c r="C513" s="3274"/>
      <c r="D513" s="3275"/>
      <c r="E513" s="3276">
        <f t="shared" si="293"/>
        <v>0</v>
      </c>
      <c r="F513" s="3277"/>
      <c r="G513" s="3278">
        <f t="shared" si="268"/>
        <v>0</v>
      </c>
      <c r="H513" s="3279">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6">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1371">
        <f t="shared" si="294"/>
        <v>0</v>
      </c>
      <c r="AW513" s="1371">
        <f t="shared" si="295"/>
        <v>0</v>
      </c>
      <c r="AX513" s="1371">
        <f t="shared" si="296"/>
        <v>0</v>
      </c>
      <c r="AY513" s="3321">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8">
        <f t="shared" si="292"/>
        <v>0</v>
      </c>
    </row>
    <row r="514" spans="1:72">
      <c r="A514" s="3273"/>
      <c r="B514" s="3274"/>
      <c r="C514" s="3274"/>
      <c r="D514" s="3275"/>
      <c r="E514" s="3276">
        <f t="shared" si="293"/>
        <v>0</v>
      </c>
      <c r="F514" s="3277"/>
      <c r="G514" s="3278">
        <f t="shared" si="268"/>
        <v>0</v>
      </c>
      <c r="H514" s="3279">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6">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1371">
        <f t="shared" si="294"/>
        <v>0</v>
      </c>
      <c r="AW514" s="1371">
        <f t="shared" si="295"/>
        <v>0</v>
      </c>
      <c r="AX514" s="1371">
        <f t="shared" si="296"/>
        <v>0</v>
      </c>
      <c r="AY514" s="3321">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8">
        <f t="shared" si="292"/>
        <v>0</v>
      </c>
    </row>
    <row r="515" spans="1:72">
      <c r="A515" s="3273"/>
      <c r="B515" s="3274"/>
      <c r="C515" s="3274"/>
      <c r="D515" s="3275"/>
      <c r="E515" s="3276">
        <f t="shared" si="293"/>
        <v>0</v>
      </c>
      <c r="F515" s="3277"/>
      <c r="G515" s="3278">
        <f t="shared" si="268"/>
        <v>0</v>
      </c>
      <c r="H515" s="3279">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6">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1371">
        <f t="shared" si="294"/>
        <v>0</v>
      </c>
      <c r="AW515" s="1371">
        <f t="shared" si="295"/>
        <v>0</v>
      </c>
      <c r="AX515" s="1371">
        <f t="shared" si="296"/>
        <v>0</v>
      </c>
      <c r="AY515" s="3321">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8">
        <f t="shared" si="292"/>
        <v>0</v>
      </c>
    </row>
    <row r="516" spans="1:72">
      <c r="A516" s="3273"/>
      <c r="B516" s="3274"/>
      <c r="C516" s="3274"/>
      <c r="D516" s="3275"/>
      <c r="E516" s="3276">
        <f t="shared" si="293"/>
        <v>0</v>
      </c>
      <c r="F516" s="3277"/>
      <c r="G516" s="3278">
        <f t="shared" si="268"/>
        <v>0</v>
      </c>
      <c r="H516" s="3279">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6">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1371">
        <f t="shared" si="294"/>
        <v>0</v>
      </c>
      <c r="AW516" s="1371">
        <f t="shared" si="295"/>
        <v>0</v>
      </c>
      <c r="AX516" s="1371">
        <f t="shared" si="296"/>
        <v>0</v>
      </c>
      <c r="AY516" s="3321">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8">
        <f t="shared" si="292"/>
        <v>0</v>
      </c>
    </row>
    <row r="517" spans="1:72">
      <c r="A517" s="3273"/>
      <c r="B517" s="3274"/>
      <c r="C517" s="3274"/>
      <c r="D517" s="3275"/>
      <c r="E517" s="3276">
        <f t="shared" si="293"/>
        <v>0</v>
      </c>
      <c r="F517" s="3277"/>
      <c r="G517" s="3278">
        <f t="shared" si="268"/>
        <v>0</v>
      </c>
      <c r="H517" s="3279">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6">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1371">
        <f t="shared" si="294"/>
        <v>0</v>
      </c>
      <c r="AW517" s="1371">
        <f t="shared" si="295"/>
        <v>0</v>
      </c>
      <c r="AX517" s="1371">
        <f t="shared" si="296"/>
        <v>0</v>
      </c>
      <c r="AY517" s="3321">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8">
        <f t="shared" si="292"/>
        <v>0</v>
      </c>
    </row>
    <row r="518" spans="1:72">
      <c r="A518" s="3273"/>
      <c r="B518" s="3274"/>
      <c r="C518" s="3274"/>
      <c r="D518" s="3275"/>
      <c r="E518" s="3276">
        <f t="shared" si="293"/>
        <v>0</v>
      </c>
      <c r="F518" s="3277"/>
      <c r="G518" s="3278">
        <f t="shared" si="268"/>
        <v>0</v>
      </c>
      <c r="H518" s="3279">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6">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1371">
        <f t="shared" si="294"/>
        <v>0</v>
      </c>
      <c r="AW518" s="1371">
        <f t="shared" si="295"/>
        <v>0</v>
      </c>
      <c r="AX518" s="1371">
        <f t="shared" si="296"/>
        <v>0</v>
      </c>
      <c r="AY518" s="3321">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8">
        <f t="shared" si="292"/>
        <v>0</v>
      </c>
    </row>
    <row r="519" spans="1:72">
      <c r="A519" s="3273"/>
      <c r="B519" s="3274"/>
      <c r="C519" s="3274"/>
      <c r="D519" s="3275"/>
      <c r="E519" s="3276">
        <f t="shared" si="293"/>
        <v>0</v>
      </c>
      <c r="F519" s="3277"/>
      <c r="G519" s="3278">
        <f t="shared" si="268"/>
        <v>0</v>
      </c>
      <c r="H519" s="3279">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6">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1371">
        <f t="shared" si="294"/>
        <v>0</v>
      </c>
      <c r="AW519" s="1371">
        <f t="shared" si="295"/>
        <v>0</v>
      </c>
      <c r="AX519" s="1371">
        <f t="shared" si="296"/>
        <v>0</v>
      </c>
      <c r="AY519" s="3321">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8">
        <f t="shared" si="292"/>
        <v>0</v>
      </c>
    </row>
    <row r="520" spans="1:72">
      <c r="A520" s="3273"/>
      <c r="B520" s="3274"/>
      <c r="C520" s="3274"/>
      <c r="D520" s="3275"/>
      <c r="E520" s="3276">
        <f t="shared" ref="E520:E551" si="297">IF($C$3="是",ROUND($A$3*G520/$B$3,2),ROUND($A$3*(G520-AT520)/$B$3,2))</f>
        <v>0</v>
      </c>
      <c r="F520" s="3277"/>
      <c r="G520" s="3278">
        <f t="shared" si="268"/>
        <v>0</v>
      </c>
      <c r="H520" s="3279">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6">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1371">
        <f t="shared" si="294"/>
        <v>0</v>
      </c>
      <c r="AW520" s="1371">
        <f t="shared" si="295"/>
        <v>0</v>
      </c>
      <c r="AX520" s="1371">
        <f t="shared" si="296"/>
        <v>0</v>
      </c>
      <c r="AY520" s="3321">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8">
        <f t="shared" si="292"/>
        <v>0</v>
      </c>
    </row>
    <row r="521" spans="1:72">
      <c r="A521" s="3273"/>
      <c r="B521" s="3274"/>
      <c r="C521" s="3274"/>
      <c r="D521" s="3275"/>
      <c r="E521" s="3276">
        <f t="shared" si="297"/>
        <v>0</v>
      </c>
      <c r="F521" s="3277"/>
      <c r="G521" s="3278">
        <f t="shared" si="268"/>
        <v>0</v>
      </c>
      <c r="H521" s="3279">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6">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1371">
        <f t="shared" ref="AV521:AV552" si="298">A521</f>
        <v>0</v>
      </c>
      <c r="AW521" s="1371">
        <f t="shared" ref="AW521:AW552" si="299">B521</f>
        <v>0</v>
      </c>
      <c r="AX521" s="1371">
        <f t="shared" ref="AX521:AX552" si="300">C521</f>
        <v>0</v>
      </c>
      <c r="AY521" s="3321">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8">
        <f t="shared" si="292"/>
        <v>0</v>
      </c>
    </row>
    <row r="522" spans="1:72">
      <c r="A522" s="3273"/>
      <c r="B522" s="3274"/>
      <c r="C522" s="3274"/>
      <c r="D522" s="3275"/>
      <c r="E522" s="3276">
        <f t="shared" si="297"/>
        <v>0</v>
      </c>
      <c r="F522" s="3277"/>
      <c r="G522" s="3278">
        <f t="shared" ref="G522:G552" si="301">H522+AC522+AT522</f>
        <v>0</v>
      </c>
      <c r="H522" s="3279">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6">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1371">
        <f t="shared" si="298"/>
        <v>0</v>
      </c>
      <c r="AW522" s="1371">
        <f t="shared" si="299"/>
        <v>0</v>
      </c>
      <c r="AX522" s="1371">
        <f t="shared" si="300"/>
        <v>0</v>
      </c>
      <c r="AY522" s="3321">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8">
        <f t="shared" ref="BT522:BT552" si="325">IF($D522="是",AR522-AS522,0)</f>
        <v>0</v>
      </c>
    </row>
    <row r="523" spans="1:72">
      <c r="A523" s="3273"/>
      <c r="B523" s="3274"/>
      <c r="C523" s="3274"/>
      <c r="D523" s="3275"/>
      <c r="E523" s="3276">
        <f t="shared" si="297"/>
        <v>0</v>
      </c>
      <c r="F523" s="3277"/>
      <c r="G523" s="3278">
        <f t="shared" si="301"/>
        <v>0</v>
      </c>
      <c r="H523" s="3279">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6">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1371">
        <f t="shared" si="298"/>
        <v>0</v>
      </c>
      <c r="AW523" s="1371">
        <f t="shared" si="299"/>
        <v>0</v>
      </c>
      <c r="AX523" s="1371">
        <f t="shared" si="300"/>
        <v>0</v>
      </c>
      <c r="AY523" s="3321">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8">
        <f t="shared" si="325"/>
        <v>0</v>
      </c>
    </row>
    <row r="524" spans="1:72">
      <c r="A524" s="3273"/>
      <c r="B524" s="3274"/>
      <c r="C524" s="3274"/>
      <c r="D524" s="3275"/>
      <c r="E524" s="3276">
        <f t="shared" si="297"/>
        <v>0</v>
      </c>
      <c r="F524" s="3277"/>
      <c r="G524" s="3278">
        <f t="shared" si="301"/>
        <v>0</v>
      </c>
      <c r="H524" s="3279">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6">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1371">
        <f t="shared" si="298"/>
        <v>0</v>
      </c>
      <c r="AW524" s="1371">
        <f t="shared" si="299"/>
        <v>0</v>
      </c>
      <c r="AX524" s="1371">
        <f t="shared" si="300"/>
        <v>0</v>
      </c>
      <c r="AY524" s="3321">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8">
        <f t="shared" si="325"/>
        <v>0</v>
      </c>
    </row>
    <row r="525" spans="1:72">
      <c r="A525" s="3273"/>
      <c r="B525" s="3274"/>
      <c r="C525" s="3274"/>
      <c r="D525" s="3275"/>
      <c r="E525" s="3276">
        <f t="shared" si="297"/>
        <v>0</v>
      </c>
      <c r="F525" s="3277"/>
      <c r="G525" s="3278">
        <f t="shared" si="301"/>
        <v>0</v>
      </c>
      <c r="H525" s="3279">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6">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1371">
        <f t="shared" si="298"/>
        <v>0</v>
      </c>
      <c r="AW525" s="1371">
        <f t="shared" si="299"/>
        <v>0</v>
      </c>
      <c r="AX525" s="1371">
        <f t="shared" si="300"/>
        <v>0</v>
      </c>
      <c r="AY525" s="3321">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8">
        <f t="shared" si="325"/>
        <v>0</v>
      </c>
    </row>
    <row r="526" spans="1:72">
      <c r="A526" s="3273"/>
      <c r="B526" s="3274"/>
      <c r="C526" s="3274"/>
      <c r="D526" s="3275"/>
      <c r="E526" s="3276">
        <f t="shared" si="297"/>
        <v>0</v>
      </c>
      <c r="F526" s="3277"/>
      <c r="G526" s="3278">
        <f t="shared" si="301"/>
        <v>0</v>
      </c>
      <c r="H526" s="3279">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6">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1371">
        <f t="shared" si="298"/>
        <v>0</v>
      </c>
      <c r="AW526" s="1371">
        <f t="shared" si="299"/>
        <v>0</v>
      </c>
      <c r="AX526" s="1371">
        <f t="shared" si="300"/>
        <v>0</v>
      </c>
      <c r="AY526" s="3321">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8">
        <f t="shared" si="325"/>
        <v>0</v>
      </c>
    </row>
    <row r="527" spans="1:72">
      <c r="A527" s="3273"/>
      <c r="B527" s="3274"/>
      <c r="C527" s="3274"/>
      <c r="D527" s="3275"/>
      <c r="E527" s="3276">
        <f t="shared" si="297"/>
        <v>0</v>
      </c>
      <c r="F527" s="3277"/>
      <c r="G527" s="3278">
        <f t="shared" si="301"/>
        <v>0</v>
      </c>
      <c r="H527" s="3279">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6">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1371">
        <f t="shared" si="298"/>
        <v>0</v>
      </c>
      <c r="AW527" s="1371">
        <f t="shared" si="299"/>
        <v>0</v>
      </c>
      <c r="AX527" s="1371">
        <f t="shared" si="300"/>
        <v>0</v>
      </c>
      <c r="AY527" s="3321">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8">
        <f t="shared" si="325"/>
        <v>0</v>
      </c>
    </row>
    <row r="528" spans="1:72">
      <c r="A528" s="3273"/>
      <c r="B528" s="3274"/>
      <c r="C528" s="3274"/>
      <c r="D528" s="3275"/>
      <c r="E528" s="3276">
        <f t="shared" si="297"/>
        <v>0</v>
      </c>
      <c r="F528" s="3277"/>
      <c r="G528" s="3278">
        <f t="shared" si="301"/>
        <v>0</v>
      </c>
      <c r="H528" s="3279">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6">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1371">
        <f t="shared" si="298"/>
        <v>0</v>
      </c>
      <c r="AW528" s="1371">
        <f t="shared" si="299"/>
        <v>0</v>
      </c>
      <c r="AX528" s="1371">
        <f t="shared" si="300"/>
        <v>0</v>
      </c>
      <c r="AY528" s="3321">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8">
        <f t="shared" si="325"/>
        <v>0</v>
      </c>
    </row>
    <row r="529" spans="1:72">
      <c r="A529" s="3273"/>
      <c r="B529" s="3274"/>
      <c r="C529" s="3274"/>
      <c r="D529" s="3275"/>
      <c r="E529" s="3276">
        <f t="shared" si="297"/>
        <v>0</v>
      </c>
      <c r="F529" s="3277"/>
      <c r="G529" s="3278">
        <f t="shared" si="301"/>
        <v>0</v>
      </c>
      <c r="H529" s="3279">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6">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1371">
        <f t="shared" si="298"/>
        <v>0</v>
      </c>
      <c r="AW529" s="1371">
        <f t="shared" si="299"/>
        <v>0</v>
      </c>
      <c r="AX529" s="1371">
        <f t="shared" si="300"/>
        <v>0</v>
      </c>
      <c r="AY529" s="3321">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8">
        <f t="shared" si="325"/>
        <v>0</v>
      </c>
    </row>
    <row r="530" spans="1:72">
      <c r="A530" s="3273"/>
      <c r="B530" s="3274"/>
      <c r="C530" s="3274"/>
      <c r="D530" s="3275"/>
      <c r="E530" s="3276">
        <f t="shared" si="297"/>
        <v>0</v>
      </c>
      <c r="F530" s="3277"/>
      <c r="G530" s="3278">
        <f t="shared" si="301"/>
        <v>0</v>
      </c>
      <c r="H530" s="3279">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6">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1371">
        <f t="shared" si="298"/>
        <v>0</v>
      </c>
      <c r="AW530" s="1371">
        <f t="shared" si="299"/>
        <v>0</v>
      </c>
      <c r="AX530" s="1371">
        <f t="shared" si="300"/>
        <v>0</v>
      </c>
      <c r="AY530" s="3321">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8">
        <f t="shared" si="325"/>
        <v>0</v>
      </c>
    </row>
    <row r="531" spans="1:72">
      <c r="A531" s="3273"/>
      <c r="B531" s="3274"/>
      <c r="C531" s="3274"/>
      <c r="D531" s="3275"/>
      <c r="E531" s="3276">
        <f t="shared" si="297"/>
        <v>0</v>
      </c>
      <c r="F531" s="3277"/>
      <c r="G531" s="3278">
        <f t="shared" si="301"/>
        <v>0</v>
      </c>
      <c r="H531" s="3279">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6">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1371">
        <f t="shared" si="298"/>
        <v>0</v>
      </c>
      <c r="AW531" s="1371">
        <f t="shared" si="299"/>
        <v>0</v>
      </c>
      <c r="AX531" s="1371">
        <f t="shared" si="300"/>
        <v>0</v>
      </c>
      <c r="AY531" s="3321">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8">
        <f t="shared" si="325"/>
        <v>0</v>
      </c>
    </row>
    <row r="532" spans="1:72">
      <c r="A532" s="3273"/>
      <c r="B532" s="3274"/>
      <c r="C532" s="3274"/>
      <c r="D532" s="3275"/>
      <c r="E532" s="3276">
        <f t="shared" si="297"/>
        <v>0</v>
      </c>
      <c r="F532" s="3277"/>
      <c r="G532" s="3278">
        <f t="shared" si="301"/>
        <v>0</v>
      </c>
      <c r="H532" s="3279">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6">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1371">
        <f t="shared" si="298"/>
        <v>0</v>
      </c>
      <c r="AW532" s="1371">
        <f t="shared" si="299"/>
        <v>0</v>
      </c>
      <c r="AX532" s="1371">
        <f t="shared" si="300"/>
        <v>0</v>
      </c>
      <c r="AY532" s="3321">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8">
        <f t="shared" si="325"/>
        <v>0</v>
      </c>
    </row>
    <row r="533" spans="1:72">
      <c r="A533" s="3273"/>
      <c r="B533" s="3274"/>
      <c r="C533" s="3274"/>
      <c r="D533" s="3275"/>
      <c r="E533" s="3276">
        <f t="shared" si="297"/>
        <v>0</v>
      </c>
      <c r="F533" s="3277"/>
      <c r="G533" s="3278">
        <f t="shared" si="301"/>
        <v>0</v>
      </c>
      <c r="H533" s="3279">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6">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1371">
        <f t="shared" si="298"/>
        <v>0</v>
      </c>
      <c r="AW533" s="1371">
        <f t="shared" si="299"/>
        <v>0</v>
      </c>
      <c r="AX533" s="1371">
        <f t="shared" si="300"/>
        <v>0</v>
      </c>
      <c r="AY533" s="3321">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8">
        <f t="shared" si="325"/>
        <v>0</v>
      </c>
    </row>
    <row r="534" spans="1:72">
      <c r="A534" s="3273"/>
      <c r="B534" s="3274"/>
      <c r="C534" s="3274"/>
      <c r="D534" s="3275"/>
      <c r="E534" s="3276">
        <f t="shared" si="297"/>
        <v>0</v>
      </c>
      <c r="F534" s="3277"/>
      <c r="G534" s="3278">
        <f t="shared" si="301"/>
        <v>0</v>
      </c>
      <c r="H534" s="3279">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6">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1371">
        <f t="shared" si="298"/>
        <v>0</v>
      </c>
      <c r="AW534" s="1371">
        <f t="shared" si="299"/>
        <v>0</v>
      </c>
      <c r="AX534" s="1371">
        <f t="shared" si="300"/>
        <v>0</v>
      </c>
      <c r="AY534" s="3321">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8">
        <f t="shared" si="325"/>
        <v>0</v>
      </c>
    </row>
    <row r="535" spans="1:72">
      <c r="A535" s="3273"/>
      <c r="B535" s="3274"/>
      <c r="C535" s="3274"/>
      <c r="D535" s="3275"/>
      <c r="E535" s="3276">
        <f t="shared" si="297"/>
        <v>0</v>
      </c>
      <c r="F535" s="3277"/>
      <c r="G535" s="3278">
        <f t="shared" si="301"/>
        <v>0</v>
      </c>
      <c r="H535" s="3279">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6">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1371">
        <f t="shared" si="298"/>
        <v>0</v>
      </c>
      <c r="AW535" s="1371">
        <f t="shared" si="299"/>
        <v>0</v>
      </c>
      <c r="AX535" s="1371">
        <f t="shared" si="300"/>
        <v>0</v>
      </c>
      <c r="AY535" s="3321">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8">
        <f t="shared" si="325"/>
        <v>0</v>
      </c>
    </row>
    <row r="536" spans="1:72">
      <c r="A536" s="3273"/>
      <c r="B536" s="3274"/>
      <c r="C536" s="3274"/>
      <c r="D536" s="3275"/>
      <c r="E536" s="3276">
        <f t="shared" si="297"/>
        <v>0</v>
      </c>
      <c r="F536" s="3277"/>
      <c r="G536" s="3278">
        <f t="shared" si="301"/>
        <v>0</v>
      </c>
      <c r="H536" s="3279">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6">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1371">
        <f t="shared" si="298"/>
        <v>0</v>
      </c>
      <c r="AW536" s="1371">
        <f t="shared" si="299"/>
        <v>0</v>
      </c>
      <c r="AX536" s="1371">
        <f t="shared" si="300"/>
        <v>0</v>
      </c>
      <c r="AY536" s="3321">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8">
        <f t="shared" si="325"/>
        <v>0</v>
      </c>
    </row>
    <row r="537" spans="1:72">
      <c r="A537" s="3273"/>
      <c r="B537" s="3274"/>
      <c r="C537" s="3274"/>
      <c r="D537" s="3275"/>
      <c r="E537" s="3276">
        <f t="shared" si="297"/>
        <v>0</v>
      </c>
      <c r="F537" s="3277"/>
      <c r="G537" s="3278">
        <f t="shared" si="301"/>
        <v>0</v>
      </c>
      <c r="H537" s="3279">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6">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1371">
        <f t="shared" si="298"/>
        <v>0</v>
      </c>
      <c r="AW537" s="1371">
        <f t="shared" si="299"/>
        <v>0</v>
      </c>
      <c r="AX537" s="1371">
        <f t="shared" si="300"/>
        <v>0</v>
      </c>
      <c r="AY537" s="3321">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8">
        <f t="shared" si="325"/>
        <v>0</v>
      </c>
    </row>
    <row r="538" spans="1:72">
      <c r="A538" s="3273"/>
      <c r="B538" s="3274"/>
      <c r="C538" s="3274"/>
      <c r="D538" s="3275"/>
      <c r="E538" s="3276">
        <f t="shared" si="297"/>
        <v>0</v>
      </c>
      <c r="F538" s="3277"/>
      <c r="G538" s="3278">
        <f t="shared" si="301"/>
        <v>0</v>
      </c>
      <c r="H538" s="3279">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6">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1371">
        <f t="shared" si="298"/>
        <v>0</v>
      </c>
      <c r="AW538" s="1371">
        <f t="shared" si="299"/>
        <v>0</v>
      </c>
      <c r="AX538" s="1371">
        <f t="shared" si="300"/>
        <v>0</v>
      </c>
      <c r="AY538" s="3321">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8">
        <f t="shared" si="325"/>
        <v>0</v>
      </c>
    </row>
    <row r="539" spans="1:72">
      <c r="A539" s="3273"/>
      <c r="B539" s="3274"/>
      <c r="C539" s="3274"/>
      <c r="D539" s="3275"/>
      <c r="E539" s="3276">
        <f t="shared" si="297"/>
        <v>0</v>
      </c>
      <c r="F539" s="3277"/>
      <c r="G539" s="3278">
        <f t="shared" si="301"/>
        <v>0</v>
      </c>
      <c r="H539" s="3279">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6">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1371">
        <f t="shared" si="298"/>
        <v>0</v>
      </c>
      <c r="AW539" s="1371">
        <f t="shared" si="299"/>
        <v>0</v>
      </c>
      <c r="AX539" s="1371">
        <f t="shared" si="300"/>
        <v>0</v>
      </c>
      <c r="AY539" s="3321">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8">
        <f t="shared" si="325"/>
        <v>0</v>
      </c>
    </row>
    <row r="540" spans="1:72">
      <c r="A540" s="3273"/>
      <c r="B540" s="3274"/>
      <c r="C540" s="3274"/>
      <c r="D540" s="3275"/>
      <c r="E540" s="3276">
        <f t="shared" si="297"/>
        <v>0</v>
      </c>
      <c r="F540" s="3277"/>
      <c r="G540" s="3278">
        <f t="shared" si="301"/>
        <v>0</v>
      </c>
      <c r="H540" s="3279">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6">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1371">
        <f t="shared" si="298"/>
        <v>0</v>
      </c>
      <c r="AW540" s="1371">
        <f t="shared" si="299"/>
        <v>0</v>
      </c>
      <c r="AX540" s="1371">
        <f t="shared" si="300"/>
        <v>0</v>
      </c>
      <c r="AY540" s="3321">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8">
        <f t="shared" si="325"/>
        <v>0</v>
      </c>
    </row>
    <row r="541" spans="1:72">
      <c r="A541" s="3273"/>
      <c r="B541" s="3274"/>
      <c r="C541" s="3274"/>
      <c r="D541" s="3275"/>
      <c r="E541" s="3276">
        <f t="shared" si="297"/>
        <v>0</v>
      </c>
      <c r="F541" s="3277"/>
      <c r="G541" s="3278">
        <f t="shared" si="301"/>
        <v>0</v>
      </c>
      <c r="H541" s="3279">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6">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1371">
        <f t="shared" si="298"/>
        <v>0</v>
      </c>
      <c r="AW541" s="1371">
        <f t="shared" si="299"/>
        <v>0</v>
      </c>
      <c r="AX541" s="1371">
        <f t="shared" si="300"/>
        <v>0</v>
      </c>
      <c r="AY541" s="3321">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8">
        <f t="shared" si="325"/>
        <v>0</v>
      </c>
    </row>
    <row r="542" spans="1:72">
      <c r="A542" s="3273"/>
      <c r="B542" s="3274"/>
      <c r="C542" s="3274"/>
      <c r="D542" s="3275"/>
      <c r="E542" s="3276">
        <f t="shared" si="297"/>
        <v>0</v>
      </c>
      <c r="F542" s="3277"/>
      <c r="G542" s="3278">
        <f t="shared" si="301"/>
        <v>0</v>
      </c>
      <c r="H542" s="3279">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6">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1371">
        <f t="shared" si="298"/>
        <v>0</v>
      </c>
      <c r="AW542" s="1371">
        <f t="shared" si="299"/>
        <v>0</v>
      </c>
      <c r="AX542" s="1371">
        <f t="shared" si="300"/>
        <v>0</v>
      </c>
      <c r="AY542" s="3321">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8">
        <f t="shared" si="325"/>
        <v>0</v>
      </c>
    </row>
    <row r="543" spans="1:72">
      <c r="A543" s="3273"/>
      <c r="B543" s="3274"/>
      <c r="C543" s="3274"/>
      <c r="D543" s="3275"/>
      <c r="E543" s="3276">
        <f t="shared" si="297"/>
        <v>0</v>
      </c>
      <c r="F543" s="3277"/>
      <c r="G543" s="3278">
        <f t="shared" si="301"/>
        <v>0</v>
      </c>
      <c r="H543" s="3279">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6">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1371">
        <f t="shared" si="298"/>
        <v>0</v>
      </c>
      <c r="AW543" s="1371">
        <f t="shared" si="299"/>
        <v>0</v>
      </c>
      <c r="AX543" s="1371">
        <f t="shared" si="300"/>
        <v>0</v>
      </c>
      <c r="AY543" s="3321">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8">
        <f t="shared" si="325"/>
        <v>0</v>
      </c>
    </row>
    <row r="544" spans="1:72">
      <c r="A544" s="3273"/>
      <c r="B544" s="3274"/>
      <c r="C544" s="3274"/>
      <c r="D544" s="3275"/>
      <c r="E544" s="3276">
        <f t="shared" si="297"/>
        <v>0</v>
      </c>
      <c r="F544" s="3277"/>
      <c r="G544" s="3278">
        <f t="shared" si="301"/>
        <v>0</v>
      </c>
      <c r="H544" s="3279">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6">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1371">
        <f t="shared" si="298"/>
        <v>0</v>
      </c>
      <c r="AW544" s="1371">
        <f t="shared" si="299"/>
        <v>0</v>
      </c>
      <c r="AX544" s="1371">
        <f t="shared" si="300"/>
        <v>0</v>
      </c>
      <c r="AY544" s="3321">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8">
        <f t="shared" si="325"/>
        <v>0</v>
      </c>
    </row>
    <row r="545" spans="1:72">
      <c r="A545" s="3273"/>
      <c r="B545" s="3274"/>
      <c r="C545" s="3274"/>
      <c r="D545" s="3275"/>
      <c r="E545" s="3276">
        <f t="shared" si="297"/>
        <v>0</v>
      </c>
      <c r="F545" s="3277"/>
      <c r="G545" s="3278">
        <f t="shared" si="301"/>
        <v>0</v>
      </c>
      <c r="H545" s="3279">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6">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1371">
        <f t="shared" si="298"/>
        <v>0</v>
      </c>
      <c r="AW545" s="1371">
        <f t="shared" si="299"/>
        <v>0</v>
      </c>
      <c r="AX545" s="1371">
        <f t="shared" si="300"/>
        <v>0</v>
      </c>
      <c r="AY545" s="3321">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8">
        <f t="shared" si="325"/>
        <v>0</v>
      </c>
    </row>
    <row r="546" spans="1:72">
      <c r="A546" s="3273"/>
      <c r="B546" s="3274"/>
      <c r="C546" s="3274"/>
      <c r="D546" s="3275"/>
      <c r="E546" s="3276">
        <f t="shared" si="297"/>
        <v>0</v>
      </c>
      <c r="F546" s="3277"/>
      <c r="G546" s="3278">
        <f t="shared" si="301"/>
        <v>0</v>
      </c>
      <c r="H546" s="3279">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6">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1371">
        <f t="shared" si="298"/>
        <v>0</v>
      </c>
      <c r="AW546" s="1371">
        <f t="shared" si="299"/>
        <v>0</v>
      </c>
      <c r="AX546" s="1371">
        <f t="shared" si="300"/>
        <v>0</v>
      </c>
      <c r="AY546" s="3321">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8">
        <f t="shared" si="325"/>
        <v>0</v>
      </c>
    </row>
    <row r="547" spans="1:72">
      <c r="A547" s="3273"/>
      <c r="B547" s="3274"/>
      <c r="C547" s="3274"/>
      <c r="D547" s="3275"/>
      <c r="E547" s="3276">
        <f t="shared" si="297"/>
        <v>0</v>
      </c>
      <c r="F547" s="3277"/>
      <c r="G547" s="3278">
        <f t="shared" si="301"/>
        <v>0</v>
      </c>
      <c r="H547" s="3279">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6">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1371">
        <f t="shared" si="298"/>
        <v>0</v>
      </c>
      <c r="AW547" s="1371">
        <f t="shared" si="299"/>
        <v>0</v>
      </c>
      <c r="AX547" s="1371">
        <f t="shared" si="300"/>
        <v>0</v>
      </c>
      <c r="AY547" s="3321">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8">
        <f t="shared" si="325"/>
        <v>0</v>
      </c>
    </row>
    <row r="548" spans="1:72">
      <c r="A548" s="3273"/>
      <c r="B548" s="3274"/>
      <c r="C548" s="3274"/>
      <c r="D548" s="3275"/>
      <c r="E548" s="3276">
        <f t="shared" si="297"/>
        <v>0</v>
      </c>
      <c r="F548" s="3277"/>
      <c r="G548" s="3278">
        <f t="shared" si="301"/>
        <v>0</v>
      </c>
      <c r="H548" s="3279">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6">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1371">
        <f t="shared" si="298"/>
        <v>0</v>
      </c>
      <c r="AW548" s="1371">
        <f t="shared" si="299"/>
        <v>0</v>
      </c>
      <c r="AX548" s="1371">
        <f t="shared" si="300"/>
        <v>0</v>
      </c>
      <c r="AY548" s="3321">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8">
        <f t="shared" si="325"/>
        <v>0</v>
      </c>
    </row>
    <row r="549" spans="1:72">
      <c r="A549" s="3273"/>
      <c r="B549" s="3274"/>
      <c r="C549" s="3274"/>
      <c r="D549" s="3275"/>
      <c r="E549" s="3276">
        <f t="shared" si="297"/>
        <v>0</v>
      </c>
      <c r="F549" s="3277"/>
      <c r="G549" s="3278">
        <f t="shared" si="301"/>
        <v>0</v>
      </c>
      <c r="H549" s="3279">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6">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1371">
        <f t="shared" si="298"/>
        <v>0</v>
      </c>
      <c r="AW549" s="1371">
        <f t="shared" si="299"/>
        <v>0</v>
      </c>
      <c r="AX549" s="1371">
        <f t="shared" si="300"/>
        <v>0</v>
      </c>
      <c r="AY549" s="3321">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8">
        <f t="shared" si="325"/>
        <v>0</v>
      </c>
    </row>
    <row r="550" spans="1:72">
      <c r="A550" s="3273"/>
      <c r="B550" s="3274"/>
      <c r="C550" s="3274"/>
      <c r="D550" s="3275"/>
      <c r="E550" s="3276">
        <f t="shared" si="297"/>
        <v>0</v>
      </c>
      <c r="F550" s="3277"/>
      <c r="G550" s="3278">
        <f t="shared" si="301"/>
        <v>0</v>
      </c>
      <c r="H550" s="3279">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6">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1371">
        <f t="shared" si="298"/>
        <v>0</v>
      </c>
      <c r="AW550" s="1371">
        <f t="shared" si="299"/>
        <v>0</v>
      </c>
      <c r="AX550" s="1371">
        <f t="shared" si="300"/>
        <v>0</v>
      </c>
      <c r="AY550" s="3321">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8">
        <f t="shared" si="325"/>
        <v>0</v>
      </c>
    </row>
    <row r="551" spans="1:72">
      <c r="A551" s="3273"/>
      <c r="B551" s="3274"/>
      <c r="C551" s="3274"/>
      <c r="D551" s="3275"/>
      <c r="E551" s="3276">
        <f t="shared" si="297"/>
        <v>0</v>
      </c>
      <c r="F551" s="3277"/>
      <c r="G551" s="3278">
        <f t="shared" si="301"/>
        <v>0</v>
      </c>
      <c r="H551" s="3279">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6">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1371">
        <f t="shared" si="298"/>
        <v>0</v>
      </c>
      <c r="AW551" s="1371">
        <f t="shared" si="299"/>
        <v>0</v>
      </c>
      <c r="AX551" s="1371">
        <f t="shared" si="300"/>
        <v>0</v>
      </c>
      <c r="AY551" s="3321">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8">
        <f t="shared" si="325"/>
        <v>0</v>
      </c>
    </row>
    <row r="552" spans="1:72">
      <c r="A552" s="3273"/>
      <c r="B552" s="3274"/>
      <c r="C552" s="3274"/>
      <c r="D552" s="3275"/>
      <c r="E552" s="3276">
        <f t="shared" ref="E552:E587" si="326">IF($C$3="是",ROUND($A$3*G552/$B$3,2),ROUND($A$3*(G552-AT552)/$B$3,2))</f>
        <v>0</v>
      </c>
      <c r="F552" s="3277"/>
      <c r="G552" s="3278">
        <f t="shared" si="301"/>
        <v>0</v>
      </c>
      <c r="H552" s="3279">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6">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1371">
        <f t="shared" si="298"/>
        <v>0</v>
      </c>
      <c r="AW552" s="1371">
        <f t="shared" si="299"/>
        <v>0</v>
      </c>
      <c r="AX552" s="1371">
        <f t="shared" si="300"/>
        <v>0</v>
      </c>
      <c r="AY552" s="3321">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8">
        <f t="shared" si="325"/>
        <v>0</v>
      </c>
    </row>
    <row r="553" spans="1:72">
      <c r="A553" s="3273"/>
      <c r="B553" s="3274"/>
      <c r="C553" s="3274"/>
      <c r="D553" s="3275"/>
      <c r="E553" s="3276">
        <f t="shared" si="326"/>
        <v>0</v>
      </c>
      <c r="F553" s="3277"/>
      <c r="G553" s="3278">
        <f t="shared" ref="G553:G587" si="327">H553+AC553+AT553</f>
        <v>0</v>
      </c>
      <c r="H553" s="3279">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6">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1371">
        <f t="shared" ref="AV553:AV587" si="330">A553</f>
        <v>0</v>
      </c>
      <c r="AW553" s="1371">
        <f t="shared" ref="AW553:AW587" si="331">B553</f>
        <v>0</v>
      </c>
      <c r="AX553" s="1371">
        <f t="shared" ref="AX553:AX587" si="332">C553</f>
        <v>0</v>
      </c>
      <c r="AY553" s="3321">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8">
        <f t="shared" ref="BT553:BT587" si="354">IF($D553="是",AR553-AS553,0)</f>
        <v>0</v>
      </c>
    </row>
    <row r="554" spans="1:72">
      <c r="A554" s="3273"/>
      <c r="B554" s="3274"/>
      <c r="C554" s="3274"/>
      <c r="D554" s="3275"/>
      <c r="E554" s="3276">
        <f t="shared" si="326"/>
        <v>0</v>
      </c>
      <c r="F554" s="3277"/>
      <c r="G554" s="3278">
        <f t="shared" si="327"/>
        <v>0</v>
      </c>
      <c r="H554" s="3279">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6">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1371">
        <f t="shared" si="330"/>
        <v>0</v>
      </c>
      <c r="AW554" s="1371">
        <f t="shared" si="331"/>
        <v>0</v>
      </c>
      <c r="AX554" s="1371">
        <f t="shared" si="332"/>
        <v>0</v>
      </c>
      <c r="AY554" s="3321">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8">
        <f t="shared" si="354"/>
        <v>0</v>
      </c>
    </row>
    <row r="555" spans="1:72">
      <c r="A555" s="3273"/>
      <c r="B555" s="3274"/>
      <c r="C555" s="3274"/>
      <c r="D555" s="3275"/>
      <c r="E555" s="3276">
        <f t="shared" si="326"/>
        <v>0</v>
      </c>
      <c r="F555" s="3277"/>
      <c r="G555" s="3278">
        <f t="shared" si="327"/>
        <v>0</v>
      </c>
      <c r="H555" s="3279">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6">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1371">
        <f t="shared" si="330"/>
        <v>0</v>
      </c>
      <c r="AW555" s="1371">
        <f t="shared" si="331"/>
        <v>0</v>
      </c>
      <c r="AX555" s="1371">
        <f t="shared" si="332"/>
        <v>0</v>
      </c>
      <c r="AY555" s="3321">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8">
        <f t="shared" si="354"/>
        <v>0</v>
      </c>
    </row>
    <row r="556" spans="1:72">
      <c r="A556" s="3273"/>
      <c r="B556" s="3274"/>
      <c r="C556" s="3274"/>
      <c r="D556" s="3275"/>
      <c r="E556" s="3276">
        <f t="shared" si="326"/>
        <v>0</v>
      </c>
      <c r="F556" s="3277"/>
      <c r="G556" s="3278">
        <f t="shared" si="327"/>
        <v>0</v>
      </c>
      <c r="H556" s="3279">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6">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1371">
        <f t="shared" si="330"/>
        <v>0</v>
      </c>
      <c r="AW556" s="1371">
        <f t="shared" si="331"/>
        <v>0</v>
      </c>
      <c r="AX556" s="1371">
        <f t="shared" si="332"/>
        <v>0</v>
      </c>
      <c r="AY556" s="3321">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8">
        <f t="shared" si="354"/>
        <v>0</v>
      </c>
    </row>
    <row r="557" spans="1:72">
      <c r="A557" s="3273"/>
      <c r="B557" s="3274"/>
      <c r="C557" s="3274"/>
      <c r="D557" s="3275"/>
      <c r="E557" s="3276">
        <f t="shared" si="326"/>
        <v>0</v>
      </c>
      <c r="F557" s="3277"/>
      <c r="G557" s="3278">
        <f t="shared" si="327"/>
        <v>0</v>
      </c>
      <c r="H557" s="3279">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6">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1371">
        <f t="shared" si="330"/>
        <v>0</v>
      </c>
      <c r="AW557" s="1371">
        <f t="shared" si="331"/>
        <v>0</v>
      </c>
      <c r="AX557" s="1371">
        <f t="shared" si="332"/>
        <v>0</v>
      </c>
      <c r="AY557" s="3321">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8">
        <f t="shared" si="354"/>
        <v>0</v>
      </c>
    </row>
    <row r="558" spans="1:72">
      <c r="A558" s="3273"/>
      <c r="B558" s="3274"/>
      <c r="C558" s="3274"/>
      <c r="D558" s="3275"/>
      <c r="E558" s="3276">
        <f t="shared" si="326"/>
        <v>0</v>
      </c>
      <c r="F558" s="3277"/>
      <c r="G558" s="3278">
        <f t="shared" si="327"/>
        <v>0</v>
      </c>
      <c r="H558" s="3279">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6">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1371">
        <f t="shared" si="330"/>
        <v>0</v>
      </c>
      <c r="AW558" s="1371">
        <f t="shared" si="331"/>
        <v>0</v>
      </c>
      <c r="AX558" s="1371">
        <f t="shared" si="332"/>
        <v>0</v>
      </c>
      <c r="AY558" s="3321">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8">
        <f t="shared" si="354"/>
        <v>0</v>
      </c>
    </row>
    <row r="559" spans="1:72">
      <c r="A559" s="3273"/>
      <c r="B559" s="3274"/>
      <c r="C559" s="3274"/>
      <c r="D559" s="3275"/>
      <c r="E559" s="3276">
        <f t="shared" si="326"/>
        <v>0</v>
      </c>
      <c r="F559" s="3277"/>
      <c r="G559" s="3278">
        <f t="shared" si="327"/>
        <v>0</v>
      </c>
      <c r="H559" s="3279">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6">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1371">
        <f t="shared" si="330"/>
        <v>0</v>
      </c>
      <c r="AW559" s="1371">
        <f t="shared" si="331"/>
        <v>0</v>
      </c>
      <c r="AX559" s="1371">
        <f t="shared" si="332"/>
        <v>0</v>
      </c>
      <c r="AY559" s="3321">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8">
        <f t="shared" si="354"/>
        <v>0</v>
      </c>
    </row>
    <row r="560" spans="1:72">
      <c r="A560" s="3273"/>
      <c r="B560" s="3274"/>
      <c r="C560" s="3274"/>
      <c r="D560" s="3275"/>
      <c r="E560" s="3276">
        <f t="shared" si="326"/>
        <v>0</v>
      </c>
      <c r="F560" s="3277"/>
      <c r="G560" s="3278">
        <f t="shared" si="327"/>
        <v>0</v>
      </c>
      <c r="H560" s="3279">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6">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1371">
        <f t="shared" si="330"/>
        <v>0</v>
      </c>
      <c r="AW560" s="1371">
        <f t="shared" si="331"/>
        <v>0</v>
      </c>
      <c r="AX560" s="1371">
        <f t="shared" si="332"/>
        <v>0</v>
      </c>
      <c r="AY560" s="3321">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8">
        <f t="shared" si="354"/>
        <v>0</v>
      </c>
    </row>
    <row r="561" spans="1:72">
      <c r="A561" s="3273"/>
      <c r="B561" s="3274"/>
      <c r="C561" s="3274"/>
      <c r="D561" s="3275"/>
      <c r="E561" s="3276">
        <f t="shared" si="326"/>
        <v>0</v>
      </c>
      <c r="F561" s="3277"/>
      <c r="G561" s="3278">
        <f t="shared" si="327"/>
        <v>0</v>
      </c>
      <c r="H561" s="3279">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6">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1371">
        <f t="shared" si="330"/>
        <v>0</v>
      </c>
      <c r="AW561" s="1371">
        <f t="shared" si="331"/>
        <v>0</v>
      </c>
      <c r="AX561" s="1371">
        <f t="shared" si="332"/>
        <v>0</v>
      </c>
      <c r="AY561" s="3321">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8">
        <f t="shared" si="354"/>
        <v>0</v>
      </c>
    </row>
    <row r="562" spans="1:72">
      <c r="A562" s="3273"/>
      <c r="B562" s="3274"/>
      <c r="C562" s="3274"/>
      <c r="D562" s="3275"/>
      <c r="E562" s="3276">
        <f t="shared" si="326"/>
        <v>0</v>
      </c>
      <c r="F562" s="3277"/>
      <c r="G562" s="3278">
        <f t="shared" si="327"/>
        <v>0</v>
      </c>
      <c r="H562" s="3279">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6">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1371">
        <f t="shared" si="330"/>
        <v>0</v>
      </c>
      <c r="AW562" s="1371">
        <f t="shared" si="331"/>
        <v>0</v>
      </c>
      <c r="AX562" s="1371">
        <f t="shared" si="332"/>
        <v>0</v>
      </c>
      <c r="AY562" s="3321">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8">
        <f t="shared" si="354"/>
        <v>0</v>
      </c>
    </row>
    <row r="563" spans="1:72">
      <c r="A563" s="3273"/>
      <c r="B563" s="3274"/>
      <c r="C563" s="3274"/>
      <c r="D563" s="3275"/>
      <c r="E563" s="3276">
        <f t="shared" si="326"/>
        <v>0</v>
      </c>
      <c r="F563" s="3277"/>
      <c r="G563" s="3278">
        <f t="shared" si="327"/>
        <v>0</v>
      </c>
      <c r="H563" s="3279">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6">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1371">
        <f t="shared" si="330"/>
        <v>0</v>
      </c>
      <c r="AW563" s="1371">
        <f t="shared" si="331"/>
        <v>0</v>
      </c>
      <c r="AX563" s="1371">
        <f t="shared" si="332"/>
        <v>0</v>
      </c>
      <c r="AY563" s="3321">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8">
        <f t="shared" si="354"/>
        <v>0</v>
      </c>
    </row>
    <row r="564" spans="1:72">
      <c r="A564" s="3273"/>
      <c r="B564" s="3274"/>
      <c r="C564" s="3274"/>
      <c r="D564" s="3275"/>
      <c r="E564" s="3276">
        <f t="shared" si="326"/>
        <v>0</v>
      </c>
      <c r="F564" s="3277"/>
      <c r="G564" s="3278">
        <f t="shared" si="327"/>
        <v>0</v>
      </c>
      <c r="H564" s="3279">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6">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1371">
        <f t="shared" si="330"/>
        <v>0</v>
      </c>
      <c r="AW564" s="1371">
        <f t="shared" si="331"/>
        <v>0</v>
      </c>
      <c r="AX564" s="1371">
        <f t="shared" si="332"/>
        <v>0</v>
      </c>
      <c r="AY564" s="3321">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8">
        <f t="shared" si="354"/>
        <v>0</v>
      </c>
    </row>
    <row r="565" spans="1:72">
      <c r="A565" s="3273"/>
      <c r="B565" s="3274"/>
      <c r="C565" s="3274"/>
      <c r="D565" s="3275"/>
      <c r="E565" s="3276">
        <f t="shared" si="326"/>
        <v>0</v>
      </c>
      <c r="F565" s="3277"/>
      <c r="G565" s="3278">
        <f t="shared" si="327"/>
        <v>0</v>
      </c>
      <c r="H565" s="3279">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6">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1371">
        <f t="shared" si="330"/>
        <v>0</v>
      </c>
      <c r="AW565" s="1371">
        <f t="shared" si="331"/>
        <v>0</v>
      </c>
      <c r="AX565" s="1371">
        <f t="shared" si="332"/>
        <v>0</v>
      </c>
      <c r="AY565" s="3321">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8">
        <f t="shared" si="354"/>
        <v>0</v>
      </c>
    </row>
    <row r="566" spans="1:72">
      <c r="A566" s="3273"/>
      <c r="B566" s="3274"/>
      <c r="C566" s="3274"/>
      <c r="D566" s="3275"/>
      <c r="E566" s="3276">
        <f t="shared" si="326"/>
        <v>0</v>
      </c>
      <c r="F566" s="3277"/>
      <c r="G566" s="3278">
        <f t="shared" si="327"/>
        <v>0</v>
      </c>
      <c r="H566" s="3279">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6">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1371">
        <f t="shared" si="330"/>
        <v>0</v>
      </c>
      <c r="AW566" s="1371">
        <f t="shared" si="331"/>
        <v>0</v>
      </c>
      <c r="AX566" s="1371">
        <f t="shared" si="332"/>
        <v>0</v>
      </c>
      <c r="AY566" s="3321">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8">
        <f t="shared" si="354"/>
        <v>0</v>
      </c>
    </row>
    <row r="567" spans="1:72">
      <c r="A567" s="3273"/>
      <c r="B567" s="3274"/>
      <c r="C567" s="3274"/>
      <c r="D567" s="3275"/>
      <c r="E567" s="3276">
        <f t="shared" si="326"/>
        <v>0</v>
      </c>
      <c r="F567" s="3277"/>
      <c r="G567" s="3278">
        <f t="shared" si="327"/>
        <v>0</v>
      </c>
      <c r="H567" s="3279">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6">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1371">
        <f t="shared" si="330"/>
        <v>0</v>
      </c>
      <c r="AW567" s="1371">
        <f t="shared" si="331"/>
        <v>0</v>
      </c>
      <c r="AX567" s="1371">
        <f t="shared" si="332"/>
        <v>0</v>
      </c>
      <c r="AY567" s="3321">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8">
        <f t="shared" si="354"/>
        <v>0</v>
      </c>
    </row>
    <row r="568" spans="1:72">
      <c r="A568" s="3273"/>
      <c r="B568" s="3274"/>
      <c r="C568" s="3274"/>
      <c r="D568" s="3275"/>
      <c r="E568" s="3276">
        <f t="shared" si="326"/>
        <v>0</v>
      </c>
      <c r="F568" s="3277"/>
      <c r="G568" s="3278">
        <f t="shared" si="327"/>
        <v>0</v>
      </c>
      <c r="H568" s="3279">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6">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1371">
        <f t="shared" si="330"/>
        <v>0</v>
      </c>
      <c r="AW568" s="1371">
        <f t="shared" si="331"/>
        <v>0</v>
      </c>
      <c r="AX568" s="1371">
        <f t="shared" si="332"/>
        <v>0</v>
      </c>
      <c r="AY568" s="3321">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8">
        <f t="shared" si="354"/>
        <v>0</v>
      </c>
    </row>
    <row r="569" spans="1:72">
      <c r="A569" s="3273"/>
      <c r="B569" s="3274"/>
      <c r="C569" s="3274"/>
      <c r="D569" s="3275"/>
      <c r="E569" s="3276">
        <f t="shared" si="326"/>
        <v>0</v>
      </c>
      <c r="F569" s="3277"/>
      <c r="G569" s="3278">
        <f t="shared" si="327"/>
        <v>0</v>
      </c>
      <c r="H569" s="3279">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6">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1371">
        <f t="shared" si="330"/>
        <v>0</v>
      </c>
      <c r="AW569" s="1371">
        <f t="shared" si="331"/>
        <v>0</v>
      </c>
      <c r="AX569" s="1371">
        <f t="shared" si="332"/>
        <v>0</v>
      </c>
      <c r="AY569" s="3321">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8">
        <f t="shared" si="354"/>
        <v>0</v>
      </c>
    </row>
    <row r="570" spans="1:72">
      <c r="A570" s="3273"/>
      <c r="B570" s="3274"/>
      <c r="C570" s="3274"/>
      <c r="D570" s="3275"/>
      <c r="E570" s="3276">
        <f t="shared" si="326"/>
        <v>0</v>
      </c>
      <c r="F570" s="3277"/>
      <c r="G570" s="3278">
        <f t="shared" si="327"/>
        <v>0</v>
      </c>
      <c r="H570" s="3279">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6">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1371">
        <f t="shared" si="330"/>
        <v>0</v>
      </c>
      <c r="AW570" s="1371">
        <f t="shared" si="331"/>
        <v>0</v>
      </c>
      <c r="AX570" s="1371">
        <f t="shared" si="332"/>
        <v>0</v>
      </c>
      <c r="AY570" s="3321">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8">
        <f t="shared" si="354"/>
        <v>0</v>
      </c>
    </row>
    <row r="571" spans="1:72">
      <c r="A571" s="3273"/>
      <c r="B571" s="3274"/>
      <c r="C571" s="3274"/>
      <c r="D571" s="3275"/>
      <c r="E571" s="3276">
        <f t="shared" si="326"/>
        <v>0</v>
      </c>
      <c r="F571" s="3277"/>
      <c r="G571" s="3278">
        <f t="shared" si="327"/>
        <v>0</v>
      </c>
      <c r="H571" s="3279">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6">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1371">
        <f t="shared" si="330"/>
        <v>0</v>
      </c>
      <c r="AW571" s="1371">
        <f t="shared" si="331"/>
        <v>0</v>
      </c>
      <c r="AX571" s="1371">
        <f t="shared" si="332"/>
        <v>0</v>
      </c>
      <c r="AY571" s="3321">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8">
        <f t="shared" si="354"/>
        <v>0</v>
      </c>
    </row>
    <row r="572" spans="1:72">
      <c r="A572" s="3273"/>
      <c r="B572" s="3274"/>
      <c r="C572" s="3274"/>
      <c r="D572" s="3275"/>
      <c r="E572" s="3276">
        <f t="shared" si="326"/>
        <v>0</v>
      </c>
      <c r="F572" s="3277"/>
      <c r="G572" s="3278">
        <f t="shared" si="327"/>
        <v>0</v>
      </c>
      <c r="H572" s="3279">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6">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1371">
        <f t="shared" si="330"/>
        <v>0</v>
      </c>
      <c r="AW572" s="1371">
        <f t="shared" si="331"/>
        <v>0</v>
      </c>
      <c r="AX572" s="1371">
        <f t="shared" si="332"/>
        <v>0</v>
      </c>
      <c r="AY572" s="3321">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8">
        <f t="shared" si="354"/>
        <v>0</v>
      </c>
    </row>
    <row r="573" spans="1:72">
      <c r="A573" s="3273"/>
      <c r="B573" s="3274"/>
      <c r="C573" s="3274"/>
      <c r="D573" s="3275"/>
      <c r="E573" s="3276">
        <f t="shared" si="326"/>
        <v>0</v>
      </c>
      <c r="F573" s="3277"/>
      <c r="G573" s="3278">
        <f t="shared" si="327"/>
        <v>0</v>
      </c>
      <c r="H573" s="3279">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6">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1371">
        <f t="shared" si="330"/>
        <v>0</v>
      </c>
      <c r="AW573" s="1371">
        <f t="shared" si="331"/>
        <v>0</v>
      </c>
      <c r="AX573" s="1371">
        <f t="shared" si="332"/>
        <v>0</v>
      </c>
      <c r="AY573" s="3321">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8">
        <f t="shared" si="354"/>
        <v>0</v>
      </c>
    </row>
    <row r="574" spans="1:72">
      <c r="A574" s="3273"/>
      <c r="B574" s="3274"/>
      <c r="C574" s="3274"/>
      <c r="D574" s="3275"/>
      <c r="E574" s="3276">
        <f t="shared" si="326"/>
        <v>0</v>
      </c>
      <c r="F574" s="3277"/>
      <c r="G574" s="3278">
        <f t="shared" si="327"/>
        <v>0</v>
      </c>
      <c r="H574" s="3279">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6">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1371">
        <f t="shared" si="330"/>
        <v>0</v>
      </c>
      <c r="AW574" s="1371">
        <f t="shared" si="331"/>
        <v>0</v>
      </c>
      <c r="AX574" s="1371">
        <f t="shared" si="332"/>
        <v>0</v>
      </c>
      <c r="AY574" s="3321">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8">
        <f t="shared" si="354"/>
        <v>0</v>
      </c>
    </row>
    <row r="575" spans="1:72">
      <c r="A575" s="3273"/>
      <c r="B575" s="3274"/>
      <c r="C575" s="3274"/>
      <c r="D575" s="3275"/>
      <c r="E575" s="3276">
        <f t="shared" si="326"/>
        <v>0</v>
      </c>
      <c r="F575" s="3277"/>
      <c r="G575" s="3278">
        <f t="shared" si="327"/>
        <v>0</v>
      </c>
      <c r="H575" s="3279">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6">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1371">
        <f t="shared" si="330"/>
        <v>0</v>
      </c>
      <c r="AW575" s="1371">
        <f t="shared" si="331"/>
        <v>0</v>
      </c>
      <c r="AX575" s="1371">
        <f t="shared" si="332"/>
        <v>0</v>
      </c>
      <c r="AY575" s="3321">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8">
        <f t="shared" si="354"/>
        <v>0</v>
      </c>
    </row>
    <row r="576" spans="1:72">
      <c r="A576" s="3273"/>
      <c r="B576" s="3274"/>
      <c r="C576" s="3274"/>
      <c r="D576" s="3275"/>
      <c r="E576" s="3276">
        <f t="shared" si="326"/>
        <v>0</v>
      </c>
      <c r="F576" s="3277"/>
      <c r="G576" s="3278">
        <f t="shared" si="327"/>
        <v>0</v>
      </c>
      <c r="H576" s="3279">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6">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1371">
        <f t="shared" si="330"/>
        <v>0</v>
      </c>
      <c r="AW576" s="1371">
        <f t="shared" si="331"/>
        <v>0</v>
      </c>
      <c r="AX576" s="1371">
        <f t="shared" si="332"/>
        <v>0</v>
      </c>
      <c r="AY576" s="3321">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8">
        <f t="shared" si="354"/>
        <v>0</v>
      </c>
    </row>
    <row r="577" spans="1:72">
      <c r="A577" s="3273"/>
      <c r="B577" s="3274"/>
      <c r="C577" s="3274"/>
      <c r="D577" s="3275"/>
      <c r="E577" s="3276">
        <f t="shared" si="326"/>
        <v>0</v>
      </c>
      <c r="F577" s="3277"/>
      <c r="G577" s="3278">
        <f t="shared" si="327"/>
        <v>0</v>
      </c>
      <c r="H577" s="3279">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6">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1371">
        <f t="shared" si="330"/>
        <v>0</v>
      </c>
      <c r="AW577" s="1371">
        <f t="shared" si="331"/>
        <v>0</v>
      </c>
      <c r="AX577" s="1371">
        <f t="shared" si="332"/>
        <v>0</v>
      </c>
      <c r="AY577" s="3321">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8">
        <f t="shared" si="354"/>
        <v>0</v>
      </c>
    </row>
    <row r="578" spans="1:72">
      <c r="A578" s="3273"/>
      <c r="B578" s="3274"/>
      <c r="C578" s="3274"/>
      <c r="D578" s="3275"/>
      <c r="E578" s="3276">
        <f t="shared" si="326"/>
        <v>0</v>
      </c>
      <c r="F578" s="3277"/>
      <c r="G578" s="3278">
        <f t="shared" si="327"/>
        <v>0</v>
      </c>
      <c r="H578" s="3279">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6">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1371">
        <f t="shared" si="330"/>
        <v>0</v>
      </c>
      <c r="AW578" s="1371">
        <f t="shared" si="331"/>
        <v>0</v>
      </c>
      <c r="AX578" s="1371">
        <f t="shared" si="332"/>
        <v>0</v>
      </c>
      <c r="AY578" s="3321">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8">
        <f t="shared" si="354"/>
        <v>0</v>
      </c>
    </row>
    <row r="579" spans="1:72">
      <c r="A579" s="3273"/>
      <c r="B579" s="3274"/>
      <c r="C579" s="3274"/>
      <c r="D579" s="3275"/>
      <c r="E579" s="3276">
        <f t="shared" si="326"/>
        <v>0</v>
      </c>
      <c r="F579" s="3277"/>
      <c r="G579" s="3278">
        <f t="shared" si="327"/>
        <v>0</v>
      </c>
      <c r="H579" s="3279">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6">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1371">
        <f t="shared" si="330"/>
        <v>0</v>
      </c>
      <c r="AW579" s="1371">
        <f t="shared" si="331"/>
        <v>0</v>
      </c>
      <c r="AX579" s="1371">
        <f t="shared" si="332"/>
        <v>0</v>
      </c>
      <c r="AY579" s="3321">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8">
        <f t="shared" si="354"/>
        <v>0</v>
      </c>
    </row>
    <row r="580" spans="1:72">
      <c r="A580" s="3273"/>
      <c r="B580" s="3274"/>
      <c r="C580" s="3274"/>
      <c r="D580" s="3275"/>
      <c r="E580" s="3276">
        <f t="shared" si="326"/>
        <v>0</v>
      </c>
      <c r="F580" s="3277"/>
      <c r="G580" s="3278">
        <f t="shared" si="327"/>
        <v>0</v>
      </c>
      <c r="H580" s="3279">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6">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1371">
        <f t="shared" si="330"/>
        <v>0</v>
      </c>
      <c r="AW580" s="1371">
        <f t="shared" si="331"/>
        <v>0</v>
      </c>
      <c r="AX580" s="1371">
        <f t="shared" si="332"/>
        <v>0</v>
      </c>
      <c r="AY580" s="3321">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8">
        <f t="shared" si="354"/>
        <v>0</v>
      </c>
    </row>
    <row r="581" spans="1:72">
      <c r="A581" s="3273"/>
      <c r="B581" s="3274"/>
      <c r="C581" s="3274"/>
      <c r="D581" s="3275"/>
      <c r="E581" s="3276">
        <f t="shared" si="326"/>
        <v>0</v>
      </c>
      <c r="F581" s="3277"/>
      <c r="G581" s="3278">
        <f t="shared" si="327"/>
        <v>0</v>
      </c>
      <c r="H581" s="3279">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6">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1371">
        <f t="shared" si="330"/>
        <v>0</v>
      </c>
      <c r="AW581" s="1371">
        <f t="shared" si="331"/>
        <v>0</v>
      </c>
      <c r="AX581" s="1371">
        <f t="shared" si="332"/>
        <v>0</v>
      </c>
      <c r="AY581" s="3321">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8">
        <f t="shared" si="354"/>
        <v>0</v>
      </c>
    </row>
    <row r="582" spans="1:72">
      <c r="A582" s="3273"/>
      <c r="B582" s="3274"/>
      <c r="C582" s="3274"/>
      <c r="D582" s="3275"/>
      <c r="E582" s="3276">
        <f t="shared" si="326"/>
        <v>0</v>
      </c>
      <c r="F582" s="3277"/>
      <c r="G582" s="3278">
        <f t="shared" si="327"/>
        <v>0</v>
      </c>
      <c r="H582" s="3279">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6">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1371">
        <f t="shared" si="330"/>
        <v>0</v>
      </c>
      <c r="AW582" s="1371">
        <f t="shared" si="331"/>
        <v>0</v>
      </c>
      <c r="AX582" s="1371">
        <f t="shared" si="332"/>
        <v>0</v>
      </c>
      <c r="AY582" s="3321">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8">
        <f t="shared" si="354"/>
        <v>0</v>
      </c>
    </row>
    <row r="583" spans="1:72">
      <c r="A583" s="3273"/>
      <c r="B583" s="3274"/>
      <c r="C583" s="3274"/>
      <c r="D583" s="3275"/>
      <c r="E583" s="3276">
        <f t="shared" si="326"/>
        <v>0</v>
      </c>
      <c r="F583" s="3277"/>
      <c r="G583" s="3278">
        <f t="shared" si="327"/>
        <v>0</v>
      </c>
      <c r="H583" s="3279">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6">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1371">
        <f t="shared" si="330"/>
        <v>0</v>
      </c>
      <c r="AW583" s="1371">
        <f t="shared" si="331"/>
        <v>0</v>
      </c>
      <c r="AX583" s="1371">
        <f t="shared" si="332"/>
        <v>0</v>
      </c>
      <c r="AY583" s="3321">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8">
        <f t="shared" si="354"/>
        <v>0</v>
      </c>
    </row>
    <row r="584" spans="1:72">
      <c r="A584" s="3273"/>
      <c r="B584" s="3274"/>
      <c r="C584" s="3274"/>
      <c r="D584" s="3275"/>
      <c r="E584" s="3276">
        <f t="shared" si="326"/>
        <v>0</v>
      </c>
      <c r="F584" s="3277"/>
      <c r="G584" s="3278">
        <f t="shared" si="327"/>
        <v>0</v>
      </c>
      <c r="H584" s="3279">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6">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1371">
        <f t="shared" si="330"/>
        <v>0</v>
      </c>
      <c r="AW584" s="1371">
        <f t="shared" si="331"/>
        <v>0</v>
      </c>
      <c r="AX584" s="1371">
        <f t="shared" si="332"/>
        <v>0</v>
      </c>
      <c r="AY584" s="3321">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8">
        <f t="shared" si="354"/>
        <v>0</v>
      </c>
    </row>
    <row r="585" spans="1:72">
      <c r="A585" s="3273"/>
      <c r="B585" s="3273"/>
      <c r="C585" s="3273"/>
      <c r="D585" s="3275"/>
      <c r="E585" s="3276">
        <f t="shared" si="326"/>
        <v>0</v>
      </c>
      <c r="F585" s="3329"/>
      <c r="G585" s="3278">
        <f t="shared" si="327"/>
        <v>0</v>
      </c>
      <c r="H585" s="3279">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6">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1371">
        <f t="shared" si="330"/>
        <v>0</v>
      </c>
      <c r="AW585" s="1371">
        <f t="shared" si="331"/>
        <v>0</v>
      </c>
      <c r="AX585" s="1371">
        <f t="shared" si="332"/>
        <v>0</v>
      </c>
      <c r="AY585" s="3321">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8">
        <f t="shared" si="354"/>
        <v>0</v>
      </c>
    </row>
    <row r="586" spans="1:72">
      <c r="A586" s="3273"/>
      <c r="B586" s="3273"/>
      <c r="C586" s="3273"/>
      <c r="D586" s="3275"/>
      <c r="E586" s="3276">
        <f t="shared" si="326"/>
        <v>0</v>
      </c>
      <c r="F586" s="3329"/>
      <c r="G586" s="3278">
        <f t="shared" si="327"/>
        <v>0</v>
      </c>
      <c r="H586" s="3279">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6">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1371">
        <f t="shared" si="330"/>
        <v>0</v>
      </c>
      <c r="AW586" s="1371">
        <f t="shared" si="331"/>
        <v>0</v>
      </c>
      <c r="AX586" s="1371">
        <f t="shared" si="332"/>
        <v>0</v>
      </c>
      <c r="AY586" s="3321">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8">
        <f t="shared" si="354"/>
        <v>0</v>
      </c>
    </row>
    <row r="587" spans="1:72">
      <c r="A587" s="3273"/>
      <c r="B587" s="3273"/>
      <c r="C587" s="3273"/>
      <c r="D587" s="3275"/>
      <c r="E587" s="3276">
        <f t="shared" si="326"/>
        <v>0</v>
      </c>
      <c r="F587" s="3329"/>
      <c r="G587" s="3278">
        <f t="shared" si="327"/>
        <v>0</v>
      </c>
      <c r="H587" s="3279">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6">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1371">
        <f t="shared" si="330"/>
        <v>0</v>
      </c>
      <c r="AW587" s="1371">
        <f t="shared" si="331"/>
        <v>0</v>
      </c>
      <c r="AX587" s="1371">
        <f t="shared" si="332"/>
        <v>0</v>
      </c>
      <c r="AY587" s="3321">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8">
        <f t="shared" si="354"/>
        <v>0</v>
      </c>
    </row>
    <row r="588" s="3240"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1" customFormat="1" spans="3:4">
      <c r="C589" s="3334"/>
      <c r="D589" s="3334"/>
    </row>
    <row r="590" s="3241"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42" customWidth="1"/>
    <col min="2" max="2" width="10.2545454545455" style="3142" customWidth="1"/>
    <col min="3" max="3" width="18.5" style="3142" customWidth="1"/>
    <col min="4" max="4" width="11.6272727272727" style="3142" customWidth="1"/>
    <col min="5" max="5" width="13.3727272727273" style="3142" customWidth="1"/>
    <col min="6" max="8" width="11.5" style="3142" customWidth="1"/>
    <col min="9" max="9" width="11.1272727272727" style="3142" customWidth="1"/>
    <col min="10" max="10" width="3.12727272727273" style="3143" customWidth="1"/>
    <col min="11" max="16" width="10" style="3142" customWidth="1"/>
    <col min="17" max="17" width="2.62727272727273" style="3142" customWidth="1"/>
    <col min="18" max="18" width="9.37272727272727" style="3142" customWidth="1"/>
    <col min="19" max="19" width="10.5" style="3142" customWidth="1"/>
    <col min="20" max="16384" width="9.25454545454545" style="3142"/>
  </cols>
  <sheetData>
    <row r="1" ht="18.25" spans="1:16">
      <c r="A1" s="2500" t="s">
        <v>568</v>
      </c>
      <c r="B1" s="2587"/>
      <c r="C1" s="2587"/>
      <c r="D1" s="2587"/>
      <c r="E1" s="2587"/>
      <c r="F1" s="2587"/>
      <c r="G1" s="2587"/>
      <c r="H1" s="2587"/>
      <c r="I1" s="2587"/>
      <c r="J1" s="2587"/>
      <c r="K1" s="2587"/>
      <c r="L1" s="2587"/>
      <c r="M1" s="2587"/>
      <c r="N1" s="2587"/>
      <c r="O1" s="2587"/>
      <c r="P1" s="2587"/>
    </row>
    <row r="2" spans="1:16">
      <c r="A2" s="2394" t="s">
        <v>569</v>
      </c>
      <c r="B2" s="2394"/>
      <c r="C2" s="2394"/>
      <c r="D2" s="2394" t="s">
        <v>570</v>
      </c>
      <c r="E2" s="3144" t="s">
        <v>571</v>
      </c>
      <c r="F2" s="3145"/>
      <c r="G2" s="3146"/>
      <c r="H2" s="3147"/>
      <c r="I2" s="2765" t="s">
        <v>572</v>
      </c>
      <c r="J2" s="3145"/>
      <c r="K2" s="3145"/>
      <c r="L2" s="3145"/>
      <c r="M2" s="3145"/>
      <c r="N2" s="1502"/>
      <c r="O2" s="3145"/>
      <c r="P2" s="3145"/>
    </row>
    <row r="3" ht="14.75" spans="1:16">
      <c r="A3" s="3148" t="s">
        <v>573</v>
      </c>
      <c r="B3" s="3148"/>
      <c r="C3" s="3148"/>
      <c r="D3" s="3149">
        <f>'数据-基础表'!AY6</f>
        <v>11805</v>
      </c>
      <c r="E3" s="3149">
        <f>'数据-基础表'!AZ5</f>
        <v>54377.37</v>
      </c>
      <c r="F3" s="3145"/>
      <c r="G3" s="3150"/>
      <c r="H3" s="2534" t="s">
        <v>574</v>
      </c>
      <c r="I3" s="3213">
        <f>ROUND('数据-基础表'!B3/'数据-基础表'!A3,2)</f>
        <v>4.61</v>
      </c>
      <c r="J3" s="3145"/>
      <c r="K3" s="3145"/>
      <c r="L3" s="3145"/>
      <c r="M3" s="3145"/>
      <c r="N3" s="1502"/>
      <c r="O3" s="3145"/>
      <c r="P3" s="3145"/>
    </row>
    <row r="4" spans="1:16">
      <c r="A4" s="2763"/>
      <c r="B4" s="2764"/>
      <c r="C4" s="3151"/>
      <c r="D4" s="3152" t="s">
        <v>570</v>
      </c>
      <c r="E4" s="3153" t="s">
        <v>571</v>
      </c>
      <c r="F4" s="3145"/>
      <c r="G4" s="3154" t="s">
        <v>575</v>
      </c>
      <c r="H4" s="2534" t="s">
        <v>576</v>
      </c>
      <c r="I4" s="3213">
        <f>ROUND(SUMIF('数据-基础表'!I9:AS9,"地上",'数据-基础表'!I5:AS5)/'数据-基础表'!A3,2)</f>
        <v>3.06</v>
      </c>
      <c r="J4" s="3145"/>
      <c r="K4" s="3145"/>
      <c r="L4" s="3145"/>
      <c r="M4" s="3145"/>
      <c r="N4" s="1502"/>
      <c r="O4" s="3145"/>
      <c r="P4" s="3145"/>
    </row>
    <row r="5" spans="1:16">
      <c r="A5" s="3155" t="s">
        <v>577</v>
      </c>
      <c r="B5" s="1387" t="s">
        <v>578</v>
      </c>
      <c r="C5" s="1387"/>
      <c r="D5" s="3156">
        <f>ROUND($D$3*E5/$E$3,2)</f>
        <v>0</v>
      </c>
      <c r="E5" s="3157">
        <f>SUMIF('数据-基础表'!$11:$11,"住宅",'数据-基础表'!$5:$5)</f>
        <v>0</v>
      </c>
      <c r="F5" s="3145"/>
      <c r="G5" s="3150"/>
      <c r="H5" s="2534" t="s">
        <v>574</v>
      </c>
      <c r="I5" s="3213">
        <f>ROUND(E31/D31,2)</f>
        <v>4.61</v>
      </c>
      <c r="J5" s="3145"/>
      <c r="K5" s="3145"/>
      <c r="L5" s="3145"/>
      <c r="M5" s="3145"/>
      <c r="N5" s="3145"/>
      <c r="O5" s="3145"/>
      <c r="P5" s="3145"/>
    </row>
    <row r="6" ht="14.75" spans="1:16">
      <c r="A6" s="3158"/>
      <c r="B6" s="1387" t="s">
        <v>579</v>
      </c>
      <c r="C6" s="1387"/>
      <c r="D6" s="3156">
        <f>ROUND($D$3*E6/$E$3,2)</f>
        <v>11805</v>
      </c>
      <c r="E6" s="3157">
        <f>E3-E5</f>
        <v>54377.37</v>
      </c>
      <c r="F6" s="3145"/>
      <c r="G6" s="3159" t="s">
        <v>580</v>
      </c>
      <c r="H6" s="3160" t="s">
        <v>576</v>
      </c>
      <c r="I6" s="3214">
        <f>ROUND(F31/D31,2)</f>
        <v>3.06</v>
      </c>
      <c r="J6" s="3145"/>
      <c r="K6" s="3145"/>
      <c r="L6" s="3145"/>
      <c r="M6" s="3145"/>
      <c r="N6" s="3145"/>
      <c r="O6" s="3145"/>
      <c r="P6" s="3145"/>
    </row>
    <row r="7" ht="14.75" spans="1:16">
      <c r="A7" s="3161"/>
      <c r="B7" s="3162"/>
      <c r="C7" s="3163"/>
      <c r="D7" s="3152" t="s">
        <v>570</v>
      </c>
      <c r="E7" s="3164" t="s">
        <v>581</v>
      </c>
      <c r="F7" s="3145"/>
      <c r="G7" s="3165" t="s">
        <v>582</v>
      </c>
      <c r="H7" s="3166"/>
      <c r="I7" s="3215">
        <v>3.82</v>
      </c>
      <c r="J7" s="3145"/>
      <c r="K7" s="3145"/>
      <c r="L7" s="3145"/>
      <c r="M7" s="3145"/>
      <c r="N7" s="3145"/>
      <c r="O7" s="3145"/>
      <c r="P7" s="3145"/>
    </row>
    <row r="8" spans="1:16">
      <c r="A8" s="3155" t="s">
        <v>583</v>
      </c>
      <c r="B8" s="3167" t="s">
        <v>584</v>
      </c>
      <c r="C8" s="3156" t="s">
        <v>585</v>
      </c>
      <c r="D8" s="3156">
        <f t="shared" ref="D8:D15" si="0">ROUND($D$3*E8/$E$3,2)</f>
        <v>7835.98</v>
      </c>
      <c r="E8" s="3168">
        <f>SUMIF('数据-基础表'!BB10:BK10,"地上",'数据-基础表'!BB5:BK5)</f>
        <v>36094.88</v>
      </c>
      <c r="F8" s="3145"/>
      <c r="G8" s="3169"/>
      <c r="H8" s="3169"/>
      <c r="I8" s="3145"/>
      <c r="J8" s="3145"/>
      <c r="K8" s="3145"/>
      <c r="L8" s="3145"/>
      <c r="M8" s="3145"/>
      <c r="N8" s="3145"/>
      <c r="O8" s="3145"/>
      <c r="P8" s="3145"/>
    </row>
    <row r="9" spans="1:16">
      <c r="A9" s="3170"/>
      <c r="B9" s="3171"/>
      <c r="C9" s="3156" t="s">
        <v>586</v>
      </c>
      <c r="D9" s="3156">
        <f t="shared" si="0"/>
        <v>0</v>
      </c>
      <c r="E9" s="3172">
        <v>0</v>
      </c>
      <c r="F9" s="3145"/>
      <c r="G9" s="3169"/>
      <c r="H9" s="3169"/>
      <c r="I9" s="3145"/>
      <c r="J9" s="3145"/>
      <c r="K9" s="3145"/>
      <c r="L9" s="3145"/>
      <c r="M9" s="3145"/>
      <c r="N9" s="3145"/>
      <c r="O9" s="3145"/>
      <c r="P9" s="3145"/>
    </row>
    <row r="10" spans="1:16">
      <c r="A10" s="3170"/>
      <c r="B10" s="3171"/>
      <c r="C10" s="3156" t="s">
        <v>587</v>
      </c>
      <c r="D10" s="3156">
        <f t="shared" si="0"/>
        <v>0</v>
      </c>
      <c r="E10" s="3168">
        <f>SUMPRODUCT(('数据-基础表'!BB10:BK10="地下")*('数据-基础表'!BB11:BK11="商业")*('数据-基础表'!BB5:BK5))</f>
        <v>0</v>
      </c>
      <c r="F10" s="3145"/>
      <c r="G10" s="3169"/>
      <c r="H10" s="3169"/>
      <c r="I10" s="3145"/>
      <c r="J10" s="3145"/>
      <c r="K10" s="3145"/>
      <c r="L10" s="3145"/>
      <c r="M10" s="3145"/>
      <c r="N10" s="3145"/>
      <c r="O10" s="3145"/>
      <c r="P10" s="3145"/>
    </row>
    <row r="11" spans="1:16">
      <c r="A11" s="3170"/>
      <c r="B11" s="3171"/>
      <c r="C11" s="3156" t="s">
        <v>588</v>
      </c>
      <c r="D11" s="3156">
        <f t="shared" si="0"/>
        <v>0</v>
      </c>
      <c r="E11" s="3168">
        <f>SUMPRODUCT(('数据-基础表'!BB10:BK10="地下")*('数据-基础表'!BB11:BK11="办公")*('数据-基础表'!BB5:BK5))+'数据-基础表'!BP5</f>
        <v>0</v>
      </c>
      <c r="F11" s="3145"/>
      <c r="G11" s="3169"/>
      <c r="H11" s="3169"/>
      <c r="I11" s="3145"/>
      <c r="J11" s="3145"/>
      <c r="K11" s="3145"/>
      <c r="L11" s="3145"/>
      <c r="M11" s="3145"/>
      <c r="N11" s="3145"/>
      <c r="O11" s="3145"/>
      <c r="P11" s="3145"/>
    </row>
    <row r="12" spans="1:16">
      <c r="A12" s="3170"/>
      <c r="B12" s="3171"/>
      <c r="C12" s="3156" t="s">
        <v>589</v>
      </c>
      <c r="D12" s="3156">
        <f t="shared" si="0"/>
        <v>0</v>
      </c>
      <c r="E12" s="3168">
        <f>SUMPRODUCT(('数据-基础表'!BB10:BK10="地下")*('数据-基础表'!BB11:BK11="仓储")*('数据-基础表'!BB5:BK5))</f>
        <v>0</v>
      </c>
      <c r="F12" s="3145"/>
      <c r="G12" s="3169"/>
      <c r="H12" s="3169"/>
      <c r="I12" s="3145"/>
      <c r="J12" s="3145"/>
      <c r="K12" s="3145"/>
      <c r="L12" s="3145"/>
      <c r="M12" s="3145"/>
      <c r="N12" s="3145"/>
      <c r="O12" s="3145"/>
      <c r="P12" s="3145"/>
    </row>
    <row r="13" spans="1:16">
      <c r="A13" s="3170"/>
      <c r="B13" s="3171"/>
      <c r="C13" s="3156" t="s">
        <v>590</v>
      </c>
      <c r="D13" s="3156">
        <f t="shared" si="0"/>
        <v>2096.98</v>
      </c>
      <c r="E13" s="3168">
        <f>SUMPRODUCT(('数据-基础表'!BB10:BK10="地下")*('数据-基础表'!BB11:BK11="车库")*('数据-基础表'!BB5:BK5))</f>
        <v>9659.3</v>
      </c>
      <c r="F13" s="3145"/>
      <c r="G13" s="3169"/>
      <c r="H13" s="3169"/>
      <c r="I13" s="3145"/>
      <c r="J13" s="3145"/>
      <c r="K13" s="3145"/>
      <c r="L13" s="3145"/>
      <c r="M13" s="3145"/>
      <c r="N13" s="3145"/>
      <c r="O13" s="3145"/>
      <c r="P13" s="3145"/>
    </row>
    <row r="14" spans="1:16">
      <c r="A14" s="3170"/>
      <c r="B14" s="3171"/>
      <c r="C14" s="3156" t="s">
        <v>591</v>
      </c>
      <c r="D14" s="3156">
        <f t="shared" si="0"/>
        <v>0</v>
      </c>
      <c r="E14" s="3168">
        <f>SUMPRODUCT(('数据-基础表'!BB10:BK10="地下")*('数据-基础表'!BB11:BK11="车库—商业")*('数据-基础表'!BB5:BK5))</f>
        <v>0</v>
      </c>
      <c r="F14" s="3145"/>
      <c r="G14" s="3169"/>
      <c r="H14" s="3169"/>
      <c r="I14" s="3145"/>
      <c r="J14" s="3145"/>
      <c r="K14" s="3145"/>
      <c r="L14" s="3145"/>
      <c r="M14" s="3145"/>
      <c r="N14" s="3145"/>
      <c r="O14" s="3145"/>
      <c r="P14" s="3145"/>
    </row>
    <row r="15" ht="14.75" spans="1:16">
      <c r="A15" s="3170"/>
      <c r="B15" s="3171"/>
      <c r="C15" s="3156" t="s">
        <v>592</v>
      </c>
      <c r="D15" s="3156">
        <f t="shared" si="0"/>
        <v>0</v>
      </c>
      <c r="E15" s="3168">
        <f>SUMPRODUCT(('数据-基础表'!BB10:BK10="地下")*('数据-基础表'!BB11:BK11="车库—办公")*('数据-基础表'!BB5:BK5))</f>
        <v>0</v>
      </c>
      <c r="F15" s="3145"/>
      <c r="G15" s="3169"/>
      <c r="H15" s="3169"/>
      <c r="I15" s="3145"/>
      <c r="J15" s="3145"/>
      <c r="K15" s="3145"/>
      <c r="L15" s="3145"/>
      <c r="M15" s="3145"/>
      <c r="N15" s="3145"/>
      <c r="O15" s="3145"/>
      <c r="P15" s="3145"/>
    </row>
    <row r="16" ht="14.75" spans="1:16">
      <c r="A16" s="3158"/>
      <c r="B16" s="3171"/>
      <c r="C16" s="3167" t="s">
        <v>593</v>
      </c>
      <c r="D16" s="3167">
        <f>SUM(D8:D15)</f>
        <v>9932.96</v>
      </c>
      <c r="E16" s="3173">
        <f>SUM(E8:E15)</f>
        <v>45754.18</v>
      </c>
      <c r="F16" s="3145"/>
      <c r="G16" s="3169"/>
      <c r="H16" s="3174" t="s">
        <v>594</v>
      </c>
      <c r="I16" s="3216"/>
      <c r="J16" s="2587"/>
      <c r="K16" s="3217" t="s">
        <v>594</v>
      </c>
      <c r="L16" s="3176"/>
      <c r="M16" s="3176"/>
      <c r="N16" s="3176"/>
      <c r="O16" s="3176"/>
      <c r="P16" s="3218"/>
    </row>
    <row r="17" spans="1:19">
      <c r="A17" s="3104" t="s">
        <v>595</v>
      </c>
      <c r="B17" s="3175" t="s">
        <v>596</v>
      </c>
      <c r="C17" s="3103" t="s">
        <v>597</v>
      </c>
      <c r="D17" s="3176" t="s">
        <v>570</v>
      </c>
      <c r="E17" s="3177" t="s">
        <v>571</v>
      </c>
      <c r="F17" s="3178"/>
      <c r="G17" s="3179"/>
      <c r="H17" s="3180" t="s">
        <v>598</v>
      </c>
      <c r="I17" s="3219" t="s">
        <v>599</v>
      </c>
      <c r="J17" s="2587"/>
      <c r="K17" s="3220" t="s">
        <v>600</v>
      </c>
      <c r="L17" s="3221"/>
      <c r="M17" s="3222"/>
      <c r="N17" s="3220" t="s">
        <v>601</v>
      </c>
      <c r="O17" s="3221"/>
      <c r="P17" s="3222"/>
      <c r="R17" s="3235" t="s">
        <v>602</v>
      </c>
      <c r="S17" s="2521"/>
    </row>
    <row r="18" spans="1:19">
      <c r="A18" s="3170"/>
      <c r="B18" s="3181"/>
      <c r="C18" s="3182"/>
      <c r="D18" s="3183"/>
      <c r="E18" s="3184" t="s">
        <v>603</v>
      </c>
      <c r="F18" s="3185" t="s">
        <v>576</v>
      </c>
      <c r="G18" s="3186" t="s">
        <v>604</v>
      </c>
      <c r="H18" s="3109" t="s">
        <v>605</v>
      </c>
      <c r="I18" s="3223" t="s">
        <v>606</v>
      </c>
      <c r="J18" s="2587"/>
      <c r="K18" s="3109" t="s">
        <v>607</v>
      </c>
      <c r="L18" s="2784" t="s">
        <v>608</v>
      </c>
      <c r="M18" s="3213" t="s">
        <v>609</v>
      </c>
      <c r="N18" s="3109" t="s">
        <v>607</v>
      </c>
      <c r="O18" s="2784" t="s">
        <v>608</v>
      </c>
      <c r="P18" s="3213" t="s">
        <v>609</v>
      </c>
      <c r="R18" s="2534" t="s">
        <v>605</v>
      </c>
      <c r="S18" s="2534" t="s">
        <v>606</v>
      </c>
    </row>
    <row r="19" spans="1:19">
      <c r="A19" s="3187"/>
      <c r="B19" s="3167" t="s">
        <v>610</v>
      </c>
      <c r="C19" s="3188" t="s">
        <v>611</v>
      </c>
      <c r="D19" s="3156">
        <f>ROUND($D$3*E19/$E$3,2)</f>
        <v>11805</v>
      </c>
      <c r="E19" s="3189">
        <f t="shared" ref="E19:E26" si="1">SUM(F19:G19)</f>
        <v>54377.37</v>
      </c>
      <c r="F19" s="3190">
        <f>'数据-基础表'!I13</f>
        <v>36094.88</v>
      </c>
      <c r="G19" s="3191">
        <f>'数据-基础表'!K13+'数据-基础表'!M13</f>
        <v>18282.49</v>
      </c>
      <c r="H19" s="3093">
        <f>ROUND($D$3*I19/$E$3,2)</f>
        <v>0</v>
      </c>
      <c r="I19" s="3168">
        <f t="shared" ref="I19:I26" si="2">IF($I$17="自定义",P19,M19)</f>
        <v>0</v>
      </c>
      <c r="J19" s="2587"/>
      <c r="K19" s="3224">
        <f t="shared" ref="K19:K26" si="3">ROUND(E$28*E19/E$27,2)</f>
        <v>0</v>
      </c>
      <c r="L19" s="2534">
        <f t="shared" ref="L19:L26" si="4">ROUND(IF(COUNTIF(C19,"*住宅*")&gt;0,E$29*E19/E$32,0),2)</f>
        <v>0</v>
      </c>
      <c r="M19" s="3225">
        <f>K19+L19</f>
        <v>0</v>
      </c>
      <c r="N19" s="3226"/>
      <c r="O19" s="3227"/>
      <c r="P19" s="3225">
        <f>N19+O19</f>
        <v>0</v>
      </c>
      <c r="R19" s="2534">
        <f t="shared" ref="R19:S26" si="5">D19+H19</f>
        <v>11805</v>
      </c>
      <c r="S19" s="3236">
        <f t="shared" si="5"/>
        <v>54377.37</v>
      </c>
    </row>
    <row r="20" spans="1:19">
      <c r="A20" s="3192"/>
      <c r="B20" s="3167" t="s">
        <v>610</v>
      </c>
      <c r="C20" s="3188"/>
      <c r="D20" s="3156">
        <f t="shared" ref="D20:D26" si="6">ROUND($D$3*E20/$E$3,2)</f>
        <v>0</v>
      </c>
      <c r="E20" s="3189">
        <f t="shared" si="1"/>
        <v>0</v>
      </c>
      <c r="F20" s="3190"/>
      <c r="G20" s="3191"/>
      <c r="H20" s="3093">
        <f t="shared" ref="H20:H26" si="7">ROUND($D$3*I20/$E$3,2)</f>
        <v>0</v>
      </c>
      <c r="I20" s="3168">
        <f t="shared" si="2"/>
        <v>0</v>
      </c>
      <c r="J20" s="2587"/>
      <c r="K20" s="3224">
        <f t="shared" si="3"/>
        <v>0</v>
      </c>
      <c r="L20" s="2534">
        <f t="shared" si="4"/>
        <v>0</v>
      </c>
      <c r="M20" s="3225">
        <f t="shared" ref="M20:M26" si="8">K20+L20</f>
        <v>0</v>
      </c>
      <c r="N20" s="3226"/>
      <c r="O20" s="3227"/>
      <c r="P20" s="3225">
        <f t="shared" ref="P20:P26" si="9">N20+O20</f>
        <v>0</v>
      </c>
      <c r="R20" s="2534">
        <f t="shared" si="5"/>
        <v>0</v>
      </c>
      <c r="S20" s="3236">
        <f t="shared" si="5"/>
        <v>0</v>
      </c>
    </row>
    <row r="21" spans="1:19">
      <c r="A21" s="3192"/>
      <c r="B21" s="3167" t="s">
        <v>610</v>
      </c>
      <c r="C21" s="3188"/>
      <c r="D21" s="3156">
        <f t="shared" si="6"/>
        <v>0</v>
      </c>
      <c r="E21" s="3189">
        <f t="shared" si="1"/>
        <v>0</v>
      </c>
      <c r="F21" s="3190"/>
      <c r="G21" s="3191"/>
      <c r="H21" s="3093">
        <f t="shared" si="7"/>
        <v>0</v>
      </c>
      <c r="I21" s="3168">
        <f t="shared" si="2"/>
        <v>0</v>
      </c>
      <c r="J21" s="2587"/>
      <c r="K21" s="3224">
        <f t="shared" si="3"/>
        <v>0</v>
      </c>
      <c r="L21" s="2534">
        <f t="shared" si="4"/>
        <v>0</v>
      </c>
      <c r="M21" s="3225">
        <f t="shared" si="8"/>
        <v>0</v>
      </c>
      <c r="N21" s="3226"/>
      <c r="O21" s="3227"/>
      <c r="P21" s="3225">
        <f t="shared" si="9"/>
        <v>0</v>
      </c>
      <c r="R21" s="2534">
        <f t="shared" si="5"/>
        <v>0</v>
      </c>
      <c r="S21" s="3236">
        <f t="shared" si="5"/>
        <v>0</v>
      </c>
    </row>
    <row r="22" spans="1:19">
      <c r="A22" s="3192"/>
      <c r="B22" s="3167" t="s">
        <v>610</v>
      </c>
      <c r="C22" s="3193"/>
      <c r="D22" s="3156">
        <f t="shared" si="6"/>
        <v>0</v>
      </c>
      <c r="E22" s="3189">
        <f t="shared" si="1"/>
        <v>0</v>
      </c>
      <c r="F22" s="3194"/>
      <c r="G22" s="3195"/>
      <c r="H22" s="3093">
        <f t="shared" si="7"/>
        <v>0</v>
      </c>
      <c r="I22" s="3168">
        <f t="shared" si="2"/>
        <v>0</v>
      </c>
      <c r="J22" s="2587"/>
      <c r="K22" s="3224">
        <f t="shared" si="3"/>
        <v>0</v>
      </c>
      <c r="L22" s="2534">
        <f t="shared" si="4"/>
        <v>0</v>
      </c>
      <c r="M22" s="3225">
        <f t="shared" si="8"/>
        <v>0</v>
      </c>
      <c r="N22" s="3226"/>
      <c r="O22" s="3227"/>
      <c r="P22" s="3225">
        <f t="shared" si="9"/>
        <v>0</v>
      </c>
      <c r="R22" s="2534">
        <f t="shared" si="5"/>
        <v>0</v>
      </c>
      <c r="S22" s="3236">
        <f t="shared" si="5"/>
        <v>0</v>
      </c>
    </row>
    <row r="23" spans="1:19">
      <c r="A23" s="3192"/>
      <c r="B23" s="3167" t="s">
        <v>610</v>
      </c>
      <c r="C23" s="3193"/>
      <c r="D23" s="3156">
        <f t="shared" si="6"/>
        <v>0</v>
      </c>
      <c r="E23" s="3189">
        <f t="shared" si="1"/>
        <v>0</v>
      </c>
      <c r="F23" s="3194"/>
      <c r="G23" s="3195"/>
      <c r="H23" s="3093">
        <f t="shared" si="7"/>
        <v>0</v>
      </c>
      <c r="I23" s="3168">
        <f t="shared" si="2"/>
        <v>0</v>
      </c>
      <c r="J23" s="2587"/>
      <c r="K23" s="3224">
        <f t="shared" si="3"/>
        <v>0</v>
      </c>
      <c r="L23" s="2534">
        <f t="shared" si="4"/>
        <v>0</v>
      </c>
      <c r="M23" s="3225">
        <f t="shared" si="8"/>
        <v>0</v>
      </c>
      <c r="N23" s="3226"/>
      <c r="O23" s="3227"/>
      <c r="P23" s="3225">
        <f t="shared" si="9"/>
        <v>0</v>
      </c>
      <c r="R23" s="2534">
        <f t="shared" si="5"/>
        <v>0</v>
      </c>
      <c r="S23" s="3236">
        <f t="shared" si="5"/>
        <v>0</v>
      </c>
    </row>
    <row r="24" spans="1:19">
      <c r="A24" s="3192"/>
      <c r="B24" s="3167" t="s">
        <v>610</v>
      </c>
      <c r="C24" s="3193"/>
      <c r="D24" s="3156">
        <f t="shared" si="6"/>
        <v>0</v>
      </c>
      <c r="E24" s="3189">
        <f t="shared" si="1"/>
        <v>0</v>
      </c>
      <c r="F24" s="3194"/>
      <c r="G24" s="3195"/>
      <c r="H24" s="3093">
        <f t="shared" si="7"/>
        <v>0</v>
      </c>
      <c r="I24" s="3168">
        <f t="shared" si="2"/>
        <v>0</v>
      </c>
      <c r="J24" s="2587"/>
      <c r="K24" s="3224">
        <f t="shared" si="3"/>
        <v>0</v>
      </c>
      <c r="L24" s="2534">
        <f t="shared" si="4"/>
        <v>0</v>
      </c>
      <c r="M24" s="3225">
        <f t="shared" si="8"/>
        <v>0</v>
      </c>
      <c r="N24" s="3226"/>
      <c r="O24" s="3227"/>
      <c r="P24" s="3225">
        <f t="shared" si="9"/>
        <v>0</v>
      </c>
      <c r="R24" s="2534">
        <f t="shared" si="5"/>
        <v>0</v>
      </c>
      <c r="S24" s="3236">
        <f t="shared" si="5"/>
        <v>0</v>
      </c>
    </row>
    <row r="25" spans="1:19">
      <c r="A25" s="3192"/>
      <c r="B25" s="3167" t="s">
        <v>610</v>
      </c>
      <c r="C25" s="3193"/>
      <c r="D25" s="3156">
        <f t="shared" si="6"/>
        <v>0</v>
      </c>
      <c r="E25" s="3189">
        <f t="shared" si="1"/>
        <v>0</v>
      </c>
      <c r="F25" s="3194"/>
      <c r="G25" s="3195"/>
      <c r="H25" s="3155">
        <f t="shared" si="7"/>
        <v>0</v>
      </c>
      <c r="I25" s="3168">
        <f t="shared" si="2"/>
        <v>0</v>
      </c>
      <c r="J25" s="2587"/>
      <c r="K25" s="3224">
        <f t="shared" si="3"/>
        <v>0</v>
      </c>
      <c r="L25" s="2534">
        <f t="shared" si="4"/>
        <v>0</v>
      </c>
      <c r="M25" s="3225">
        <f t="shared" si="8"/>
        <v>0</v>
      </c>
      <c r="N25" s="3226"/>
      <c r="O25" s="3227"/>
      <c r="P25" s="3225">
        <f t="shared" si="9"/>
        <v>0</v>
      </c>
      <c r="R25" s="2534">
        <f t="shared" si="5"/>
        <v>0</v>
      </c>
      <c r="S25" s="3236">
        <f t="shared" si="5"/>
        <v>0</v>
      </c>
    </row>
    <row r="26" spans="1:19">
      <c r="A26" s="3192"/>
      <c r="B26" s="3167" t="s">
        <v>610</v>
      </c>
      <c r="C26" s="3196"/>
      <c r="D26" s="3156">
        <f t="shared" si="6"/>
        <v>0</v>
      </c>
      <c r="E26" s="3189">
        <f t="shared" si="1"/>
        <v>0</v>
      </c>
      <c r="F26" s="3194"/>
      <c r="G26" s="3195"/>
      <c r="H26" s="3155">
        <f t="shared" si="7"/>
        <v>0</v>
      </c>
      <c r="I26" s="3168">
        <f t="shared" si="2"/>
        <v>0</v>
      </c>
      <c r="J26" s="2587"/>
      <c r="K26" s="3150">
        <f t="shared" si="3"/>
        <v>0</v>
      </c>
      <c r="L26" s="3160">
        <f t="shared" si="4"/>
        <v>0</v>
      </c>
      <c r="M26" s="3203">
        <f t="shared" si="8"/>
        <v>0</v>
      </c>
      <c r="N26" s="3228"/>
      <c r="O26" s="3229"/>
      <c r="P26" s="3203">
        <f t="shared" si="9"/>
        <v>0</v>
      </c>
      <c r="R26" s="2534">
        <f t="shared" si="5"/>
        <v>0</v>
      </c>
      <c r="S26" s="3236">
        <f t="shared" si="5"/>
        <v>0</v>
      </c>
    </row>
    <row r="27" ht="14.75" spans="1:19">
      <c r="A27" s="3192"/>
      <c r="B27" s="3156"/>
      <c r="C27" s="2770" t="s">
        <v>612</v>
      </c>
      <c r="D27" s="3197">
        <f>SUM(D19:D26)</f>
        <v>11805</v>
      </c>
      <c r="E27" s="3198">
        <f>IF(SUM(E19:E26)='数据-基础表'!BA5,SUM(E19:E26),IF(F27="地上面积有误","面积有误","地下面积有误"))</f>
        <v>54377.37</v>
      </c>
      <c r="F27" s="3197">
        <f>IF(SUM(F19:F26)=E8,SUM(F19:F26),"地上面积有误")</f>
        <v>36094.88</v>
      </c>
      <c r="G27" s="3199">
        <f>SUM(G19:G26)</f>
        <v>18282.49</v>
      </c>
      <c r="H27" s="3200">
        <f>SUM(H19:H26)</f>
        <v>0</v>
      </c>
      <c r="I27" s="3230">
        <f>SUM(I19:I26)</f>
        <v>0</v>
      </c>
      <c r="J27" s="2587"/>
      <c r="K27" s="3231">
        <f>SUM(K19:K26)</f>
        <v>0</v>
      </c>
      <c r="L27" s="3232">
        <f>SUM(L19:L26)</f>
        <v>0</v>
      </c>
      <c r="M27" s="3233">
        <f>SUM(M19:M26)</f>
        <v>0</v>
      </c>
      <c r="N27" s="3231">
        <f t="shared" ref="N27:P27" si="10">SUM(N19:N26)</f>
        <v>0</v>
      </c>
      <c r="O27" s="3232">
        <f t="shared" si="10"/>
        <v>0</v>
      </c>
      <c r="P27" s="3234">
        <f t="shared" si="10"/>
        <v>0</v>
      </c>
      <c r="R27" s="3136">
        <f>IF(SUM(R19:R26)=$D$3,SUM(R19:R26),SUM(R19:R26)&amp;"误差"&amp;ROUND(SUM(R19:R26)-$D$3,2))</f>
        <v>11805</v>
      </c>
      <c r="S27" s="2534">
        <f>IF(SUM(S19:S26)=$E$3,SUM(S19:S26),SUM(S19:S26)&amp;"误差"&amp;ROUND(SUM(S19:S26)-E3,2))</f>
        <v>54377.37</v>
      </c>
    </row>
    <row r="28" spans="1:16">
      <c r="A28" s="3192"/>
      <c r="B28" s="3167" t="s">
        <v>613</v>
      </c>
      <c r="C28" s="3112" t="s">
        <v>614</v>
      </c>
      <c r="D28" s="3156">
        <f>ROUND($D$3*E28/$E$3,2)</f>
        <v>0</v>
      </c>
      <c r="E28" s="3189">
        <f>SUM(F28:G28)</f>
        <v>0</v>
      </c>
      <c r="F28" s="2521">
        <f>'数据-基础表'!BQ5+'数据-基础表'!BS5</f>
        <v>0</v>
      </c>
      <c r="G28" s="3201">
        <f>'数据-基础表'!BR5+'数据-基础表'!BT5</f>
        <v>0</v>
      </c>
      <c r="H28" s="3145"/>
      <c r="I28" s="3145"/>
      <c r="J28" s="3145"/>
      <c r="K28" s="3145"/>
      <c r="L28" s="3145"/>
      <c r="M28" s="3145"/>
      <c r="N28" s="3145"/>
      <c r="O28" s="3145"/>
      <c r="P28" s="3145"/>
    </row>
    <row r="29" spans="1:16">
      <c r="A29" s="3192"/>
      <c r="B29" s="3167" t="s">
        <v>613</v>
      </c>
      <c r="C29" s="2585" t="s">
        <v>615</v>
      </c>
      <c r="D29" s="3156">
        <f>ROUND($D$3*E29/$E$3,2)</f>
        <v>0</v>
      </c>
      <c r="E29" s="3189">
        <f>SUM(F29:G29)</f>
        <v>0</v>
      </c>
      <c r="F29" s="3202">
        <f>'数据-基础表'!BM5+'数据-基础表'!BO5</f>
        <v>0</v>
      </c>
      <c r="G29" s="3203">
        <f>'数据-基础表'!BN5+'数据-基础表'!BP5</f>
        <v>0</v>
      </c>
      <c r="H29" s="3145"/>
      <c r="I29" s="3145"/>
      <c r="J29" s="3145"/>
      <c r="K29" s="3145"/>
      <c r="L29" s="3145"/>
      <c r="M29" s="3145"/>
      <c r="N29" s="3145"/>
      <c r="O29" s="3145"/>
      <c r="P29" s="3145"/>
    </row>
    <row r="30" spans="1:16">
      <c r="A30" s="3192"/>
      <c r="B30" s="3167"/>
      <c r="C30" s="3204" t="s">
        <v>612</v>
      </c>
      <c r="D30" s="3197">
        <f>SUM(D28:D29)</f>
        <v>0</v>
      </c>
      <c r="E30" s="3197">
        <f>SUM(E28:E29)</f>
        <v>0</v>
      </c>
      <c r="F30" s="3197">
        <f>SUM(F28:F29)</f>
        <v>0</v>
      </c>
      <c r="G30" s="3199">
        <f>SUM(G28:G29)</f>
        <v>0</v>
      </c>
      <c r="H30" s="3145"/>
      <c r="I30" s="3145"/>
      <c r="J30" s="3145"/>
      <c r="K30" s="3145"/>
      <c r="L30" s="3145"/>
      <c r="M30" s="3145"/>
      <c r="N30" s="3145"/>
      <c r="O30" s="3145"/>
      <c r="P30" s="3145"/>
    </row>
    <row r="31" ht="14.75" spans="1:16">
      <c r="A31" s="3205"/>
      <c r="B31" s="3206"/>
      <c r="C31" s="2436" t="s">
        <v>616</v>
      </c>
      <c r="D31" s="3207">
        <f>D27+D30</f>
        <v>11805</v>
      </c>
      <c r="E31" s="3207">
        <f>E27+E30</f>
        <v>54377.37</v>
      </c>
      <c r="F31" s="3208">
        <f>F27+F30</f>
        <v>36094.88</v>
      </c>
      <c r="G31" s="3209">
        <f>G27+G30</f>
        <v>18282.49</v>
      </c>
      <c r="H31" s="3145"/>
      <c r="I31" s="3145"/>
      <c r="J31" s="3145"/>
      <c r="K31" s="3145"/>
      <c r="L31" s="3145"/>
      <c r="M31" s="3145"/>
      <c r="N31" s="3145"/>
      <c r="O31" s="3145"/>
      <c r="P31" s="3145"/>
    </row>
    <row r="32" spans="1:16">
      <c r="A32" s="3210"/>
      <c r="B32" s="3210" t="s">
        <v>617</v>
      </c>
      <c r="C32" s="3210"/>
      <c r="D32" s="3210"/>
      <c r="E32" s="3211">
        <f>SUMIF(C19:C26,"*住宅*",E19:E26)</f>
        <v>0</v>
      </c>
      <c r="F32" s="3210"/>
      <c r="G32" s="3210"/>
      <c r="H32" s="3145"/>
      <c r="I32" s="3145"/>
      <c r="J32" s="3145"/>
      <c r="K32" s="3145"/>
      <c r="L32" s="3145"/>
      <c r="M32" s="3145"/>
      <c r="N32" s="3145"/>
      <c r="O32" s="3145"/>
      <c r="P32" s="3145"/>
    </row>
    <row r="33" spans="4:4">
      <c r="D33" s="32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K14" activePane="bottomRight" state="frozen"/>
      <selection/>
      <selection pane="topRight"/>
      <selection pane="bottomLeft"/>
      <selection pane="bottomRight" activeCell="N7" sqref="N7"/>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618</v>
      </c>
      <c r="B1" s="2948"/>
      <c r="C1" s="2181"/>
      <c r="D1" s="2949"/>
      <c r="E1" s="2181"/>
      <c r="F1" s="2181"/>
      <c r="G1" s="2181"/>
      <c r="H1" s="2181"/>
      <c r="I1" s="2181"/>
      <c r="J1" s="2181"/>
      <c r="K1" s="1050"/>
      <c r="L1" s="1050"/>
      <c r="M1" s="2181"/>
      <c r="N1" s="2181"/>
      <c r="O1" s="2181"/>
      <c r="P1" s="2181"/>
      <c r="Q1" s="2181"/>
      <c r="R1" s="2181"/>
      <c r="S1" s="2181"/>
      <c r="T1" s="2181"/>
      <c r="U1" s="2181"/>
      <c r="V1" s="2181"/>
      <c r="W1" s="2181"/>
      <c r="X1" s="2181"/>
      <c r="Y1" s="2181"/>
      <c r="Z1" s="2181"/>
      <c r="AA1" s="2181"/>
      <c r="AB1" s="2181"/>
      <c r="AC1" s="2181"/>
      <c r="AD1" s="2181"/>
      <c r="AE1" s="2181"/>
      <c r="AF1" s="2181"/>
      <c r="AG1" s="2181"/>
      <c r="AH1" s="2181"/>
      <c r="AI1" s="2181"/>
      <c r="AJ1" s="2181"/>
      <c r="AK1" s="2181"/>
      <c r="AL1" s="2181"/>
      <c r="AM1" s="2181"/>
      <c r="AN1" s="2377"/>
      <c r="AO1" s="2377"/>
      <c r="AP1" s="2377"/>
      <c r="AQ1" s="2377"/>
      <c r="AR1" s="2377"/>
    </row>
    <row r="2" s="2939" customFormat="1" ht="14.75" spans="1:67">
      <c r="A2" s="2950" t="s">
        <v>619</v>
      </c>
      <c r="B2" s="2951">
        <f>项目基本情况!D3</f>
        <v>45861</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31" t="s">
        <v>620</v>
      </c>
      <c r="B4" s="2541"/>
      <c r="C4" s="2956"/>
      <c r="D4" s="2957"/>
      <c r="E4" s="2956" t="s">
        <v>621</v>
      </c>
      <c r="F4" s="2956"/>
      <c r="G4" s="2956"/>
      <c r="H4" s="2956"/>
      <c r="I4" s="2956"/>
      <c r="J4" s="3050"/>
      <c r="K4" s="3051"/>
      <c r="L4" s="3052"/>
      <c r="M4" s="2956"/>
      <c r="N4" s="2956" t="s">
        <v>622</v>
      </c>
      <c r="O4" s="2956"/>
      <c r="P4" s="2956"/>
      <c r="Q4" s="2956"/>
      <c r="R4" s="2956"/>
      <c r="S4" s="3050"/>
      <c r="T4" s="3076" t="str">
        <f>'数据-汇总表'!I17</f>
        <v>按面积比例</v>
      </c>
      <c r="U4" s="2541" t="s">
        <v>623</v>
      </c>
      <c r="V4" s="2956"/>
      <c r="W4" s="2956"/>
      <c r="X4" s="2956"/>
      <c r="Y4" s="3050"/>
      <c r="Z4" s="3103" t="s">
        <v>624</v>
      </c>
      <c r="AA4" s="3103"/>
      <c r="AB4" s="3103"/>
      <c r="AC4" s="3103"/>
      <c r="AD4" s="3103"/>
      <c r="AE4" s="3104" t="s">
        <v>625</v>
      </c>
      <c r="AF4" s="3103"/>
      <c r="AG4" s="3116"/>
      <c r="AH4" s="2541"/>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597</v>
      </c>
      <c r="B5" s="2959" t="s">
        <v>596</v>
      </c>
      <c r="C5" s="2960" t="s">
        <v>626</v>
      </c>
      <c r="D5" s="2961" t="s">
        <v>627</v>
      </c>
      <c r="E5" s="2962" t="s">
        <v>628</v>
      </c>
      <c r="F5" s="2963" t="s">
        <v>629</v>
      </c>
      <c r="G5" s="2962" t="s">
        <v>630</v>
      </c>
      <c r="H5" s="2962" t="s">
        <v>631</v>
      </c>
      <c r="I5" s="2962" t="s">
        <v>632</v>
      </c>
      <c r="J5" s="3053" t="s">
        <v>633</v>
      </c>
      <c r="K5" s="3054" t="s">
        <v>606</v>
      </c>
      <c r="L5" s="3055" t="s">
        <v>634</v>
      </c>
      <c r="M5" s="3056" t="s">
        <v>635</v>
      </c>
      <c r="N5" s="3057" t="s">
        <v>636</v>
      </c>
      <c r="O5" s="3055" t="s">
        <v>637</v>
      </c>
      <c r="P5" s="3058" t="s">
        <v>638</v>
      </c>
      <c r="Q5" s="1514" t="s">
        <v>639</v>
      </c>
      <c r="R5" s="3077" t="s">
        <v>640</v>
      </c>
      <c r="S5" s="3078" t="s">
        <v>641</v>
      </c>
      <c r="T5" s="3079" t="s">
        <v>642</v>
      </c>
      <c r="U5" s="3080" t="s">
        <v>643</v>
      </c>
      <c r="V5" s="2962" t="s">
        <v>644</v>
      </c>
      <c r="W5" s="2962" t="s">
        <v>645</v>
      </c>
      <c r="X5" s="1173"/>
      <c r="Y5" s="1648" t="s">
        <v>646</v>
      </c>
      <c r="Z5" s="3105" t="s">
        <v>643</v>
      </c>
      <c r="AA5" s="2962" t="s">
        <v>644</v>
      </c>
      <c r="AB5" s="2962" t="s">
        <v>645</v>
      </c>
      <c r="AC5" s="1173"/>
      <c r="AD5" s="1173" t="s">
        <v>646</v>
      </c>
      <c r="AE5" s="3080" t="s">
        <v>647</v>
      </c>
      <c r="AF5" s="2962" t="s">
        <v>648</v>
      </c>
      <c r="AG5" s="1648" t="s">
        <v>649</v>
      </c>
      <c r="AH5" s="3080" t="s">
        <v>650</v>
      </c>
      <c r="AI5" s="3105" t="s">
        <v>651</v>
      </c>
      <c r="AJ5" s="3105" t="s">
        <v>652</v>
      </c>
      <c r="AK5" s="2962" t="s">
        <v>653</v>
      </c>
      <c r="AL5" s="2962" t="s">
        <v>654</v>
      </c>
      <c r="AM5" s="1648" t="s">
        <v>655</v>
      </c>
      <c r="AN5" s="3117" t="s">
        <v>656</v>
      </c>
      <c r="AO5" s="3135" t="s">
        <v>657</v>
      </c>
      <c r="AP5" s="3136" t="s">
        <v>658</v>
      </c>
      <c r="AQ5" s="3137" t="s">
        <v>659</v>
      </c>
      <c r="AR5" s="3137" t="s">
        <v>660</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在建</v>
      </c>
      <c r="B6" s="2965" t="str">
        <f>IF(A6=0,"","经营性")</f>
        <v>经营性</v>
      </c>
      <c r="C6" s="2966" t="s">
        <v>408</v>
      </c>
      <c r="D6" s="2967">
        <f>SUMIF(项目基本情况!C$12:I$12,C6,项目基本情况!C$14:I$14)</f>
        <v>50</v>
      </c>
      <c r="E6" s="2968">
        <f>IF(B6="","",SUMIF(项目基本情况!C$12:I$12,C6,项目基本情况!C$13:I$13))</f>
        <v>60646</v>
      </c>
      <c r="F6" s="2969">
        <f>SUMIF(项目基本情况!C$12:I$12,C6,项目基本情况!C$15:I$15)</f>
        <v>40.5</v>
      </c>
      <c r="G6" s="2970">
        <f>IF(ISERROR(ROUND(POWER(1+H6,D6-F6)*(POWER(1+H6,F6)-1)/(POWER(1+H6,D6)-1),3)),0,ROUND(POWER(1+H6,D6-F6)*(POWER(1+H6,F6)-1)/(POWER(1+H6,D6)-1),3))</f>
        <v>0.944</v>
      </c>
      <c r="H6" s="2971">
        <v>0.05</v>
      </c>
      <c r="I6" s="2971">
        <v>0.055</v>
      </c>
      <c r="J6" s="2972">
        <v>0.07</v>
      </c>
      <c r="K6" s="3059">
        <f>SUMIF('数据-汇总表'!C$19:C$33,A6,'数据-汇总表'!E$19:E$33)</f>
        <v>54377.37</v>
      </c>
      <c r="L6" s="3060">
        <v>2000</v>
      </c>
      <c r="M6" s="3061">
        <f t="shared" ref="M6:M14" si="0">ROUND(K6*L6/10000,0)</f>
        <v>10875</v>
      </c>
      <c r="N6" s="3062">
        <v>0.7</v>
      </c>
      <c r="O6" s="3061">
        <f>IF($N$5="成新度","——",ROUND(M6*N6,0))</f>
        <v>7613</v>
      </c>
      <c r="P6" s="3063">
        <f>IF($N$5="成新度","——",M6-O6)</f>
        <v>3262</v>
      </c>
      <c r="Q6" s="3081">
        <v>0.05</v>
      </c>
      <c r="R6" s="3082">
        <f ca="1">SUMIF('数据-汇总表'!C$19:C$33,A6,'数据-汇总表'!R$19:R$27)</f>
        <v>11805</v>
      </c>
      <c r="S6" s="3083">
        <f>IF('数据-汇总表'!$I$17="按面积比例",SUMIF('数据-汇总表'!C$19:C$33,A6,'数据-汇总表'!K$19:K$33),SUMIF('数据-汇总表'!C$19:C$33,A6,'数据-汇总表'!N$19:N$33))</f>
        <v>0</v>
      </c>
      <c r="T6" s="3084">
        <f>ROUND($L$14*S6/10000,0)</f>
        <v>0</v>
      </c>
      <c r="U6" s="3085">
        <v>0.5</v>
      </c>
      <c r="V6" s="3086">
        <v>0.015</v>
      </c>
      <c r="W6" s="3086">
        <v>0.1</v>
      </c>
      <c r="X6" s="3087"/>
      <c r="Y6" s="3106">
        <f>N6</f>
        <v>0.7</v>
      </c>
      <c r="Z6" s="3107"/>
      <c r="AA6" s="2972"/>
      <c r="AB6" s="2972"/>
      <c r="AC6" s="3087"/>
      <c r="AD6" s="3108"/>
      <c r="AE6" s="3109">
        <f ca="1">IF(AN6="",0,SUMIF(INDIRECT("'"&amp;AN6&amp;"'"&amp;"!E:E"),$AE$5,INDIRECT("'"&amp;AN6&amp;"'"&amp;"!F:F")))</f>
        <v>40.3</v>
      </c>
      <c r="AF6" s="2516"/>
      <c r="AG6" s="1822">
        <f ca="1">IF(AF6="",0,AE6-AF6)</f>
        <v>0</v>
      </c>
      <c r="AH6" s="3118">
        <f>'数据-基础表'!I13+'数据-基础表'!K13</f>
        <v>44718.07</v>
      </c>
      <c r="AI6" s="3119">
        <v>365</v>
      </c>
      <c r="AJ6" s="3120"/>
      <c r="AK6" s="3121">
        <v>0.003</v>
      </c>
      <c r="AL6" s="3122">
        <v>0.001</v>
      </c>
      <c r="AM6" s="3123">
        <v>0.005</v>
      </c>
      <c r="AN6" s="3124" t="s">
        <v>661</v>
      </c>
      <c r="AO6" s="1387">
        <f ca="1">SUMIF(INDIRECT("'"&amp;AN6&amp;"'"&amp;"!A:A"),"总价",INDIRECT("'"&amp;AN6&amp;"'"&amp;"!B:B"))</f>
        <v>10795</v>
      </c>
      <c r="AP6" s="3138">
        <f>IF(C6="住宅",K6*L6,0)</f>
        <v>0</v>
      </c>
      <c r="AQ6" s="1387">
        <f>ROUND($L$14*$N$14*S6/10000,0)</f>
        <v>0</v>
      </c>
      <c r="AR6" s="138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4"/>
      <c r="M7" s="3061">
        <f t="shared" si="0"/>
        <v>0</v>
      </c>
      <c r="N7" s="3062"/>
      <c r="O7" s="3061">
        <f t="shared" ref="O7:O14" si="3">IF($N$5="成新度","——",ROUND(M7*N7,0))</f>
        <v>0</v>
      </c>
      <c r="P7" s="3063">
        <f t="shared" ref="P7:P14" si="4">IF($N$5="成新度","——",M7-O7)</f>
        <v>0</v>
      </c>
      <c r="Q7" s="3081"/>
      <c r="R7" s="3082">
        <f ca="1">SUMIF('数据-汇总表'!C$19:C$33,A7,'数据-汇总表'!R$19:R$27)</f>
        <v>0</v>
      </c>
      <c r="S7" s="3083">
        <f>IF('数据-汇总表'!$I$17="按面积比例",SUMIF('数据-汇总表'!C$19:C$33,A7,'数据-汇总表'!K$19:K$33),SUMIF('数据-汇总表'!C$19:C$33,A7,'数据-汇总表'!N$19:N$33))</f>
        <v>0</v>
      </c>
      <c r="T7" s="3084">
        <f t="shared" ref="T7:T13" si="5">ROUND($L$14*S7/10000,0)</f>
        <v>0</v>
      </c>
      <c r="U7" s="3085"/>
      <c r="V7" s="3086"/>
      <c r="W7" s="3086"/>
      <c r="X7" s="3087"/>
      <c r="Y7" s="3106"/>
      <c r="Z7" s="3107"/>
      <c r="AA7" s="2972"/>
      <c r="AB7" s="2972"/>
      <c r="AC7" s="3087"/>
      <c r="AD7" s="3108"/>
      <c r="AE7" s="3109">
        <f ca="1" t="shared" ref="AE7:AE13" si="6">IF(AN7="",0,SUMIF(INDIRECT("'"&amp;AN7&amp;"'"&amp;"!E:E"),$AE$5,INDIRECT("'"&amp;AN7&amp;"'"&amp;"!F:F")))</f>
        <v>0</v>
      </c>
      <c r="AF7" s="2516"/>
      <c r="AG7" s="1822">
        <f ca="1" t="shared" ref="AG7:AG13" si="7">IF(AF7="",0,AE7-AF7)</f>
        <v>0</v>
      </c>
      <c r="AH7" s="3118"/>
      <c r="AI7" s="3119"/>
      <c r="AJ7" s="3120"/>
      <c r="AK7" s="3121"/>
      <c r="AL7" s="3122"/>
      <c r="AM7" s="3123"/>
      <c r="AN7" s="3124"/>
      <c r="AO7" s="1387" t="e">
        <f ca="1" t="shared" ref="AO7:AO13" si="8">SUMIF(INDIRECT("'"&amp;AN7&amp;"'"&amp;"!A:A"),"总价",INDIRECT("'"&amp;AN7&amp;"'"&amp;"!B:B"))</f>
        <v>#REF!</v>
      </c>
      <c r="AP7" s="3138">
        <f t="shared" ref="AP7:AP13" si="9">IF(C7="住宅",K7*L7,0)</f>
        <v>0</v>
      </c>
      <c r="AQ7" s="1387">
        <f t="shared" ref="AQ7:AQ13" si="10">ROUND($L$14*$N$14*S7/10000,0)</f>
        <v>0</v>
      </c>
      <c r="AR7" s="138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4"/>
      <c r="M8" s="3061">
        <f t="shared" si="0"/>
        <v>0</v>
      </c>
      <c r="N8" s="3062"/>
      <c r="O8" s="3061">
        <f t="shared" si="3"/>
        <v>0</v>
      </c>
      <c r="P8" s="3063">
        <f t="shared" si="4"/>
        <v>0</v>
      </c>
      <c r="Q8" s="3081"/>
      <c r="R8" s="3082">
        <f ca="1">SUMIF('数据-汇总表'!C$19:C$33,A8,'数据-汇总表'!R$19:R$27)</f>
        <v>0</v>
      </c>
      <c r="S8" s="3083">
        <f>IF('数据-汇总表'!$I$17="按面积比例",SUMIF('数据-汇总表'!C$19:C$33,A8,'数据-汇总表'!K$19:K$33),SUMIF('数据-汇总表'!C$19:C$33,A8,'数据-汇总表'!N$19:N$33))</f>
        <v>0</v>
      </c>
      <c r="T8" s="3084">
        <f t="shared" si="5"/>
        <v>0</v>
      </c>
      <c r="U8" s="3088"/>
      <c r="V8" s="3089"/>
      <c r="W8" s="3089"/>
      <c r="X8" s="3087"/>
      <c r="Y8" s="3106"/>
      <c r="Z8" s="3107"/>
      <c r="AA8" s="2972"/>
      <c r="AB8" s="2972"/>
      <c r="AC8" s="3087"/>
      <c r="AD8" s="3108"/>
      <c r="AE8" s="3109">
        <f ca="1" t="shared" si="6"/>
        <v>0</v>
      </c>
      <c r="AF8" s="2516"/>
      <c r="AG8" s="1822">
        <f ca="1" t="shared" si="7"/>
        <v>0</v>
      </c>
      <c r="AH8" s="3125"/>
      <c r="AI8" s="3119"/>
      <c r="AJ8" s="3120"/>
      <c r="AK8" s="3126"/>
      <c r="AL8" s="3127"/>
      <c r="AM8" s="3128"/>
      <c r="AN8" s="3124"/>
      <c r="AO8" s="1387" t="e">
        <f ca="1" t="shared" si="8"/>
        <v>#REF!</v>
      </c>
      <c r="AP8" s="3138">
        <f t="shared" si="9"/>
        <v>0</v>
      </c>
      <c r="AQ8" s="1387">
        <f t="shared" si="10"/>
        <v>0</v>
      </c>
      <c r="AR8" s="138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4"/>
      <c r="M9" s="3061">
        <f t="shared" si="0"/>
        <v>0</v>
      </c>
      <c r="N9" s="3062"/>
      <c r="O9" s="3061">
        <f t="shared" si="3"/>
        <v>0</v>
      </c>
      <c r="P9" s="3063">
        <f t="shared" si="4"/>
        <v>0</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6"/>
      <c r="Z9" s="3107"/>
      <c r="AA9" s="2972"/>
      <c r="AB9" s="2972"/>
      <c r="AC9" s="3087"/>
      <c r="AD9" s="3108"/>
      <c r="AE9" s="3109">
        <f ca="1" t="shared" si="6"/>
        <v>0</v>
      </c>
      <c r="AF9" s="2516"/>
      <c r="AG9" s="1822">
        <f ca="1" t="shared" si="7"/>
        <v>0</v>
      </c>
      <c r="AH9" s="3118"/>
      <c r="AI9" s="3119"/>
      <c r="AJ9" s="3120"/>
      <c r="AK9" s="3121"/>
      <c r="AL9" s="3122"/>
      <c r="AM9" s="3123"/>
      <c r="AN9" s="3124"/>
      <c r="AO9" s="1387" t="e">
        <f ca="1" t="shared" si="8"/>
        <v>#REF!</v>
      </c>
      <c r="AP9" s="3138">
        <f t="shared" si="9"/>
        <v>0</v>
      </c>
      <c r="AQ9" s="1387">
        <f t="shared" si="10"/>
        <v>0</v>
      </c>
      <c r="AR9" s="138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4"/>
      <c r="M10" s="3061">
        <f t="shared" si="0"/>
        <v>0</v>
      </c>
      <c r="N10" s="3062"/>
      <c r="O10" s="3061">
        <f t="shared" si="3"/>
        <v>0</v>
      </c>
      <c r="P10" s="3063">
        <f t="shared" si="4"/>
        <v>0</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6"/>
      <c r="Z10" s="3107"/>
      <c r="AA10" s="2972"/>
      <c r="AB10" s="2972"/>
      <c r="AC10" s="3087"/>
      <c r="AD10" s="3108"/>
      <c r="AE10" s="3109">
        <f ca="1" t="shared" si="6"/>
        <v>0</v>
      </c>
      <c r="AF10" s="2516"/>
      <c r="AG10" s="1822">
        <f ca="1" t="shared" si="7"/>
        <v>0</v>
      </c>
      <c r="AH10" s="3118"/>
      <c r="AI10" s="3119"/>
      <c r="AJ10" s="3120"/>
      <c r="AK10" s="3121"/>
      <c r="AL10" s="3122"/>
      <c r="AM10" s="3123"/>
      <c r="AN10" s="3124"/>
      <c r="AO10" s="1387" t="e">
        <f ca="1" t="shared" si="8"/>
        <v>#REF!</v>
      </c>
      <c r="AP10" s="3138">
        <f t="shared" si="9"/>
        <v>0</v>
      </c>
      <c r="AQ10" s="1387">
        <f t="shared" si="10"/>
        <v>0</v>
      </c>
      <c r="AR10" s="138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5"/>
      <c r="M11" s="3061">
        <f t="shared" si="0"/>
        <v>0</v>
      </c>
      <c r="N11" s="3062"/>
      <c r="O11" s="3061">
        <f t="shared" si="3"/>
        <v>0</v>
      </c>
      <c r="P11" s="3063">
        <f t="shared" si="4"/>
        <v>0</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2"/>
      <c r="W11" s="2972"/>
      <c r="X11" s="3087"/>
      <c r="Y11" s="3106"/>
      <c r="Z11" s="3110"/>
      <c r="AA11" s="2972"/>
      <c r="AB11" s="2972"/>
      <c r="AC11" s="3087"/>
      <c r="AD11" s="3108"/>
      <c r="AE11" s="3109">
        <f ca="1" t="shared" si="6"/>
        <v>0</v>
      </c>
      <c r="AF11" s="2516"/>
      <c r="AG11" s="1822">
        <f ca="1" t="shared" si="7"/>
        <v>0</v>
      </c>
      <c r="AH11" s="3118"/>
      <c r="AI11" s="3119"/>
      <c r="AJ11" s="3120"/>
      <c r="AK11" s="3129"/>
      <c r="AL11" s="3130"/>
      <c r="AM11" s="3131"/>
      <c r="AN11" s="3124"/>
      <c r="AO11" s="1387" t="e">
        <f ca="1" t="shared" si="8"/>
        <v>#REF!</v>
      </c>
      <c r="AP11" s="3138">
        <f t="shared" si="9"/>
        <v>0</v>
      </c>
      <c r="AQ11" s="1387">
        <f t="shared" si="10"/>
        <v>0</v>
      </c>
      <c r="AR11" s="138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5"/>
      <c r="M12" s="3061">
        <f t="shared" si="0"/>
        <v>0</v>
      </c>
      <c r="N12" s="3062"/>
      <c r="O12" s="3061">
        <f t="shared" si="3"/>
        <v>0</v>
      </c>
      <c r="P12" s="3063">
        <f t="shared" si="4"/>
        <v>0</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2"/>
      <c r="W12" s="2972"/>
      <c r="X12" s="3087"/>
      <c r="Y12" s="3106"/>
      <c r="Z12" s="3110"/>
      <c r="AA12" s="2972"/>
      <c r="AB12" s="2972"/>
      <c r="AC12" s="3087"/>
      <c r="AD12" s="3108"/>
      <c r="AE12" s="3109">
        <f ca="1" t="shared" si="6"/>
        <v>0</v>
      </c>
      <c r="AF12" s="2516"/>
      <c r="AG12" s="1822">
        <f ca="1" t="shared" si="7"/>
        <v>0</v>
      </c>
      <c r="AH12" s="3118"/>
      <c r="AI12" s="3119"/>
      <c r="AJ12" s="3120"/>
      <c r="AK12" s="3129"/>
      <c r="AL12" s="3130"/>
      <c r="AM12" s="3131"/>
      <c r="AN12" s="3124"/>
      <c r="AO12" s="1387" t="e">
        <f ca="1" t="shared" si="8"/>
        <v>#REF!</v>
      </c>
      <c r="AP12" s="3138">
        <f t="shared" si="9"/>
        <v>0</v>
      </c>
      <c r="AQ12" s="1387">
        <f t="shared" si="10"/>
        <v>0</v>
      </c>
      <c r="AR12" s="138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5"/>
      <c r="M13" s="3061">
        <f t="shared" si="0"/>
        <v>0</v>
      </c>
      <c r="N13" s="3066"/>
      <c r="O13" s="3061">
        <f t="shared" si="3"/>
        <v>0</v>
      </c>
      <c r="P13" s="3063">
        <f t="shared" si="4"/>
        <v>0</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6"/>
      <c r="Z13" s="3107"/>
      <c r="AA13" s="2972"/>
      <c r="AB13" s="2972"/>
      <c r="AC13" s="3087"/>
      <c r="AD13" s="3108"/>
      <c r="AE13" s="3109">
        <f ca="1" t="shared" si="6"/>
        <v>0</v>
      </c>
      <c r="AF13" s="2516"/>
      <c r="AG13" s="1822">
        <f ca="1" t="shared" si="7"/>
        <v>0</v>
      </c>
      <c r="AH13" s="3118"/>
      <c r="AI13" s="3119"/>
      <c r="AJ13" s="3120"/>
      <c r="AK13" s="3121"/>
      <c r="AL13" s="3122"/>
      <c r="AM13" s="3123"/>
      <c r="AN13" s="3124"/>
      <c r="AO13" s="1387" t="e">
        <f ca="1" t="shared" si="8"/>
        <v>#REF!</v>
      </c>
      <c r="AP13" s="3138">
        <f t="shared" si="9"/>
        <v>0</v>
      </c>
      <c r="AQ13" s="1387">
        <f t="shared" si="10"/>
        <v>0</v>
      </c>
      <c r="AR13" s="138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614</v>
      </c>
      <c r="B14" s="2965" t="s">
        <v>613</v>
      </c>
      <c r="C14" s="2974" t="s">
        <v>614</v>
      </c>
      <c r="D14" s="2967"/>
      <c r="E14" s="2968"/>
      <c r="F14" s="2969"/>
      <c r="G14" s="2970"/>
      <c r="H14" s="2975"/>
      <c r="I14" s="2975"/>
      <c r="J14" s="2975"/>
      <c r="K14" s="3059">
        <f>SUMIF('数据-汇总表'!C$19:C$33,A14,'数据-汇总表'!E$19:E$33)</f>
        <v>0</v>
      </c>
      <c r="L14" s="3065"/>
      <c r="M14" s="3061">
        <f t="shared" si="0"/>
        <v>0</v>
      </c>
      <c r="N14" s="3066"/>
      <c r="O14" s="3061">
        <f t="shared" si="3"/>
        <v>0</v>
      </c>
      <c r="P14" s="3063">
        <f t="shared" si="4"/>
        <v>0</v>
      </c>
      <c r="Q14" s="3092"/>
      <c r="R14" s="3082"/>
      <c r="S14" s="3083"/>
      <c r="T14" s="3084"/>
      <c r="U14" s="3093"/>
      <c r="V14" s="3094"/>
      <c r="W14" s="3094"/>
      <c r="X14" s="3095"/>
      <c r="Y14" s="3111"/>
      <c r="Z14" s="3112"/>
      <c r="AA14" s="3113"/>
      <c r="AB14" s="3113"/>
      <c r="AC14" s="3087"/>
      <c r="AD14" s="3095"/>
      <c r="AE14" s="3109"/>
      <c r="AF14" s="1387"/>
      <c r="AG14" s="1822"/>
      <c r="AH14" s="3109"/>
      <c r="AI14" s="1370"/>
      <c r="AJ14" s="1386"/>
      <c r="AK14" s="3132"/>
      <c r="AL14" s="3133"/>
      <c r="AM14" s="3134"/>
      <c r="AN14" s="2377"/>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615</v>
      </c>
      <c r="B15" s="2965" t="s">
        <v>613</v>
      </c>
      <c r="C15" s="2974" t="s">
        <v>662</v>
      </c>
      <c r="D15" s="2967"/>
      <c r="E15" s="2968"/>
      <c r="F15" s="2969"/>
      <c r="G15" s="2970"/>
      <c r="H15" s="2975"/>
      <c r="I15" s="2975"/>
      <c r="J15" s="2975"/>
      <c r="K15" s="3059">
        <f>SUMIF('数据-汇总表'!C$19:C$33,A15,'数据-汇总表'!E$19:E$33)</f>
        <v>0</v>
      </c>
      <c r="L15" s="3067"/>
      <c r="M15" s="3061"/>
      <c r="N15" s="3068"/>
      <c r="O15" s="3061"/>
      <c r="P15" s="3063"/>
      <c r="Q15" s="3092"/>
      <c r="R15" s="3082"/>
      <c r="S15" s="3083"/>
      <c r="T15" s="3084"/>
      <c r="U15" s="3093"/>
      <c r="V15" s="3094"/>
      <c r="W15" s="3094"/>
      <c r="X15" s="3095"/>
      <c r="Y15" s="3111"/>
      <c r="Z15" s="3112"/>
      <c r="AA15" s="3113"/>
      <c r="AB15" s="3113"/>
      <c r="AC15" s="3087"/>
      <c r="AD15" s="3095"/>
      <c r="AE15" s="3109"/>
      <c r="AF15" s="1387"/>
      <c r="AG15" s="1822"/>
      <c r="AH15" s="3109"/>
      <c r="AI15" s="1370"/>
      <c r="AJ15" s="1386"/>
      <c r="AK15" s="3132"/>
      <c r="AL15" s="3133"/>
      <c r="AM15" s="3134"/>
      <c r="AN15" s="2377"/>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616</v>
      </c>
      <c r="B16" s="2977"/>
      <c r="C16" s="2434"/>
      <c r="D16" s="2978"/>
      <c r="E16" s="2977"/>
      <c r="F16" s="2977"/>
      <c r="G16" s="2979">
        <f>ROUND(SUMPRODUCT(G6:G13,K6:K13)/SUMPRODUCT((G6:G13&gt;0)*(K6:K13)),3)</f>
        <v>0.944</v>
      </c>
      <c r="H16" s="2980">
        <f>ROUND(SUMPRODUCT(H6:H13,K6:K13)/SUMPRODUCT((H6:H13&gt;0)*(K6:K13)),3)</f>
        <v>0.05</v>
      </c>
      <c r="I16" s="3069"/>
      <c r="J16" s="3069"/>
      <c r="K16" s="3070">
        <f>SUM(K6:K15)</f>
        <v>54377.37</v>
      </c>
      <c r="L16" s="3071">
        <f>ROUND(M16*10000/SUM(K6:K14),0)</f>
        <v>2000</v>
      </c>
      <c r="M16" s="3071">
        <f>SUM(M6:M14)</f>
        <v>10875</v>
      </c>
      <c r="N16" s="3072">
        <f>ROUND(SUMPRODUCT(M6:M14,N6:N14)/M16,3)</f>
        <v>0.7</v>
      </c>
      <c r="O16" s="3071">
        <f>SUM(O6:O14)</f>
        <v>7613</v>
      </c>
      <c r="P16" s="3071">
        <f>SUM(P6:P14)</f>
        <v>3262</v>
      </c>
      <c r="Q16" s="3096">
        <f>ROUND(SUMPRODUCT(Q6:Q13,K6:K13)/SUMPRODUCT((Q6:Q13&gt;0)*(K6:K13)),2)</f>
        <v>0.05</v>
      </c>
      <c r="R16" s="3097">
        <f ca="1">SUM(R6:R13)</f>
        <v>11805</v>
      </c>
      <c r="S16" s="3098">
        <f>SUM(S6:S13)</f>
        <v>0</v>
      </c>
      <c r="T16" s="3099">
        <f>IF(SUMIF(T6:T13,"&lt;9E307")=M14,SUMIF(T6:T13,"&lt;9E307"),"有误，请检查")</f>
        <v>0</v>
      </c>
      <c r="U16" s="3100"/>
      <c r="V16" s="3101"/>
      <c r="W16" s="3101"/>
      <c r="X16" s="3102"/>
      <c r="Y16" s="3114"/>
      <c r="Z16" s="3115"/>
      <c r="AA16" s="3101"/>
      <c r="AB16" s="3101"/>
      <c r="AC16" s="3102"/>
      <c r="AD16" s="3102"/>
      <c r="AE16" s="3100"/>
      <c r="AF16" s="3101"/>
      <c r="AG16" s="3114"/>
      <c r="AH16" s="3100"/>
      <c r="AI16" s="3115"/>
      <c r="AJ16" s="3115"/>
      <c r="AK16" s="3101"/>
      <c r="AL16" s="3101"/>
      <c r="AM16" s="3114"/>
      <c r="AN16" s="2377"/>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4.75" spans="1:63">
      <c r="A17" s="2981"/>
      <c r="B17" s="2982"/>
      <c r="C17" s="2377"/>
      <c r="D17" s="2983"/>
      <c r="E17" s="1502"/>
      <c r="F17" s="1502"/>
      <c r="G17" s="1502"/>
      <c r="H17" s="1502"/>
      <c r="I17" s="1502"/>
      <c r="J17" s="1502"/>
      <c r="K17" s="1502"/>
      <c r="L17" s="1502"/>
      <c r="M17" s="1502"/>
      <c r="N17" s="1502"/>
      <c r="O17" s="1502"/>
      <c r="P17" s="1502"/>
      <c r="Q17" s="1502"/>
      <c r="R17" s="1502"/>
      <c r="S17" s="1502"/>
      <c r="T17" s="1502"/>
      <c r="U17" s="1502"/>
      <c r="V17" s="1502"/>
      <c r="W17" s="1502"/>
      <c r="X17" s="1502"/>
      <c r="Y17" s="1502"/>
      <c r="Z17" s="1502"/>
      <c r="AA17" s="1502"/>
      <c r="AB17" s="1502"/>
      <c r="AC17" s="1502"/>
      <c r="AD17" s="1502"/>
      <c r="AE17" s="1502"/>
      <c r="AF17" s="1502"/>
      <c r="AG17" s="1502"/>
      <c r="AH17" s="1502"/>
      <c r="AI17" s="1502"/>
      <c r="AJ17" s="1502"/>
      <c r="AK17" s="1502"/>
      <c r="AL17" s="1502"/>
      <c r="AM17" s="1502"/>
      <c r="AN17" s="1502"/>
      <c r="AO17" s="1502"/>
      <c r="AP17" s="1502"/>
      <c r="AQ17" s="1502"/>
      <c r="AR17" s="1502"/>
      <c r="AS17" s="1502"/>
      <c r="AT17" s="1502"/>
      <c r="AU17" s="1502"/>
      <c r="AV17" s="1502"/>
      <c r="AW17" s="1502"/>
      <c r="AX17" s="1502"/>
      <c r="AY17" s="1502"/>
      <c r="AZ17" s="1502"/>
      <c r="BA17" s="1502"/>
      <c r="BB17" s="1502"/>
      <c r="BC17" s="1502"/>
      <c r="BD17" s="1502"/>
      <c r="BE17" s="1502"/>
      <c r="BF17" s="1502"/>
      <c r="BG17" s="1502"/>
      <c r="BH17" s="1502"/>
      <c r="BI17" s="1502"/>
      <c r="BJ17" s="1502"/>
      <c r="BK17" s="1502"/>
    </row>
    <row r="18" ht="14.75" spans="1:63">
      <c r="A18" s="1631" t="s">
        <v>663</v>
      </c>
      <c r="B18" s="2984"/>
      <c r="C18" s="2985"/>
      <c r="D18" s="2986"/>
      <c r="E18" s="1502"/>
      <c r="F18" s="1502"/>
      <c r="G18" s="1502"/>
      <c r="H18" s="1502"/>
      <c r="I18" s="1502"/>
      <c r="J18" s="1502"/>
      <c r="K18" s="1502"/>
      <c r="L18" s="1502"/>
      <c r="M18" s="1502"/>
      <c r="N18" s="3073" t="s">
        <v>664</v>
      </c>
      <c r="O18" s="1502"/>
      <c r="P18" s="1502"/>
      <c r="Q18" s="1502"/>
      <c r="R18" s="1502"/>
      <c r="S18" s="1502"/>
      <c r="T18" s="1502"/>
      <c r="U18" s="1502"/>
      <c r="V18" s="1502"/>
      <c r="W18" s="1502"/>
      <c r="X18" s="1502"/>
      <c r="Y18" s="1502"/>
      <c r="Z18" s="1502"/>
      <c r="AA18" s="1502"/>
      <c r="AB18" s="1502"/>
      <c r="AC18" s="1502"/>
      <c r="AD18" s="1502"/>
      <c r="AE18" s="1502"/>
      <c r="AF18" s="1502"/>
      <c r="AG18" s="1502"/>
      <c r="AH18" s="1502"/>
      <c r="AI18" s="1502"/>
      <c r="AJ18" s="1502"/>
      <c r="AK18" s="1502"/>
      <c r="AL18" s="1502"/>
      <c r="AM18" s="1502"/>
      <c r="AN18" s="1502"/>
      <c r="AO18" s="1502"/>
      <c r="AP18" s="1502"/>
      <c r="AQ18" s="1502"/>
      <c r="AR18" s="1502"/>
      <c r="AS18" s="1502"/>
      <c r="AT18" s="1502"/>
      <c r="AU18" s="1502"/>
      <c r="AV18" s="1502"/>
      <c r="AW18" s="1502"/>
      <c r="AX18" s="1502"/>
      <c r="AY18" s="1502"/>
      <c r="AZ18" s="1502"/>
      <c r="BA18" s="1502"/>
      <c r="BB18" s="1502"/>
      <c r="BC18" s="1502"/>
      <c r="BD18" s="1502"/>
      <c r="BE18" s="1502"/>
      <c r="BF18" s="1502"/>
      <c r="BG18" s="1502"/>
      <c r="BH18" s="1502"/>
      <c r="BI18" s="1502"/>
      <c r="BJ18" s="1502"/>
      <c r="BK18" s="1502"/>
    </row>
    <row r="19" ht="14" spans="1:63">
      <c r="A19" s="2987" t="s">
        <v>665</v>
      </c>
      <c r="B19" s="2988">
        <v>0</v>
      </c>
      <c r="C19" s="2989" t="s">
        <v>666</v>
      </c>
      <c r="D19" s="2986"/>
      <c r="E19" s="1502"/>
      <c r="F19" s="1502"/>
      <c r="G19" s="1502"/>
      <c r="H19" s="1502"/>
      <c r="I19" s="1502"/>
      <c r="J19" s="1502"/>
      <c r="K19" s="1502"/>
      <c r="L19" s="1502"/>
      <c r="M19" s="1502"/>
      <c r="N19" s="3073" t="s">
        <v>667</v>
      </c>
      <c r="O19" s="1502"/>
      <c r="P19" s="1502"/>
      <c r="Q19" s="1502"/>
      <c r="R19" s="1502"/>
      <c r="S19" s="1502"/>
      <c r="T19" s="1502"/>
      <c r="U19" s="1502"/>
      <c r="V19" s="1502"/>
      <c r="W19" s="1502"/>
      <c r="X19" s="1502"/>
      <c r="Y19" s="1502"/>
      <c r="Z19" s="1502"/>
      <c r="AA19" s="1502"/>
      <c r="AB19" s="1502"/>
      <c r="AC19" s="1502"/>
      <c r="AD19" s="1502"/>
      <c r="AE19" s="1502"/>
      <c r="AF19" s="1502"/>
      <c r="AG19" s="1502"/>
      <c r="AH19" s="1502"/>
      <c r="AI19" s="1502"/>
      <c r="AJ19" s="1502"/>
      <c r="AK19" s="1502"/>
      <c r="AL19" s="1502"/>
      <c r="AM19" s="1502"/>
      <c r="AN19" s="1502"/>
      <c r="AO19" s="1502"/>
      <c r="AP19" s="1502"/>
      <c r="AQ19" s="1502"/>
      <c r="AR19" s="1502"/>
      <c r="AS19" s="1502"/>
      <c r="AT19" s="1502"/>
      <c r="AU19" s="1502"/>
      <c r="AV19" s="1502"/>
      <c r="AW19" s="1502"/>
      <c r="AX19" s="1502"/>
      <c r="AY19" s="1502"/>
      <c r="AZ19" s="1502"/>
      <c r="BA19" s="1502"/>
      <c r="BB19" s="1502"/>
      <c r="BC19" s="1502"/>
      <c r="BD19" s="1502"/>
      <c r="BE19" s="1502"/>
      <c r="BF19" s="1502"/>
      <c r="BG19" s="1502"/>
      <c r="BH19" s="1502"/>
      <c r="BI19" s="1502"/>
      <c r="BJ19" s="1502"/>
      <c r="BK19" s="1502"/>
    </row>
    <row r="20" ht="14" spans="1:63">
      <c r="A20" s="2990" t="s">
        <v>668</v>
      </c>
      <c r="B20" s="2991">
        <v>1</v>
      </c>
      <c r="C20" s="2992" t="s">
        <v>669</v>
      </c>
      <c r="D20" s="2986"/>
      <c r="E20" s="1502"/>
      <c r="F20" s="1502"/>
      <c r="G20" s="1502"/>
      <c r="H20" s="1502"/>
      <c r="I20" s="1502"/>
      <c r="J20" s="1502"/>
      <c r="K20" s="1502"/>
      <c r="L20" s="1502"/>
      <c r="M20" s="1502"/>
      <c r="N20" s="3073" t="s">
        <v>670</v>
      </c>
      <c r="O20" s="1502"/>
      <c r="P20" s="1502"/>
      <c r="Q20" s="1502"/>
      <c r="R20" s="1502"/>
      <c r="S20" s="1502"/>
      <c r="T20" s="1502"/>
      <c r="U20" s="1502"/>
      <c r="V20" s="1502"/>
      <c r="W20" s="1502"/>
      <c r="X20" s="1502"/>
      <c r="Y20" s="1502"/>
      <c r="Z20" s="1502"/>
      <c r="AA20" s="1502"/>
      <c r="AB20" s="1502"/>
      <c r="AC20" s="1502"/>
      <c r="AD20" s="1502"/>
      <c r="AE20" s="1502"/>
      <c r="AF20" s="1502"/>
      <c r="AG20" s="1502"/>
      <c r="AH20" s="1502"/>
      <c r="AI20" s="1502"/>
      <c r="AJ20" s="1502"/>
      <c r="AK20" s="1502"/>
      <c r="AL20" s="1502"/>
      <c r="AM20" s="1502"/>
      <c r="AN20" s="1502"/>
      <c r="AO20" s="1502"/>
      <c r="AP20" s="1502"/>
      <c r="AQ20" s="1502"/>
      <c r="AR20" s="1502"/>
      <c r="AS20" s="1502"/>
      <c r="AT20" s="1502"/>
      <c r="AU20" s="1502"/>
      <c r="AV20" s="1502"/>
      <c r="AW20" s="1502"/>
      <c r="AX20" s="1502"/>
      <c r="AY20" s="1502"/>
      <c r="AZ20" s="1502"/>
      <c r="BA20" s="1502"/>
      <c r="BB20" s="1502"/>
      <c r="BC20" s="1502"/>
      <c r="BD20" s="1502"/>
      <c r="BE20" s="1502"/>
      <c r="BF20" s="1502"/>
      <c r="BG20" s="1502"/>
      <c r="BH20" s="1502"/>
      <c r="BI20" s="1502"/>
      <c r="BJ20" s="1502"/>
      <c r="BK20" s="1502"/>
    </row>
    <row r="21" ht="14" spans="1:63">
      <c r="A21" s="2993" t="s">
        <v>671</v>
      </c>
      <c r="B21" s="2991">
        <v>0.8</v>
      </c>
      <c r="C21" s="2985"/>
      <c r="D21" s="2986"/>
      <c r="E21" s="1502"/>
      <c r="F21" s="1502"/>
      <c r="G21" s="1502"/>
      <c r="H21" s="1502"/>
      <c r="I21" s="1502"/>
      <c r="J21" s="1502"/>
      <c r="K21" s="1502"/>
      <c r="L21" s="1502"/>
      <c r="M21" s="1502"/>
      <c r="N21" s="1502"/>
      <c r="O21" s="1502"/>
      <c r="P21" s="1502"/>
      <c r="Q21" s="1502"/>
      <c r="R21" s="1502"/>
      <c r="S21" s="1502"/>
      <c r="T21" s="1502"/>
      <c r="U21" s="1502"/>
      <c r="V21" s="1502"/>
      <c r="W21" s="1502"/>
      <c r="X21" s="1502"/>
      <c r="Y21" s="1502"/>
      <c r="Z21" s="1502"/>
      <c r="AA21" s="1502"/>
      <c r="AB21" s="1502"/>
      <c r="AC21" s="1502"/>
      <c r="AD21" s="1502"/>
      <c r="AE21" s="1502"/>
      <c r="AF21" s="1502"/>
      <c r="AG21" s="1502"/>
      <c r="AH21" s="1502"/>
      <c r="AI21" s="1502"/>
      <c r="AJ21" s="1502"/>
      <c r="AK21" s="1502"/>
      <c r="AL21" s="1502"/>
      <c r="AM21" s="1502"/>
      <c r="AN21" s="1502"/>
      <c r="AO21" s="1502"/>
      <c r="AP21" s="1502"/>
      <c r="AQ21" s="1502"/>
      <c r="AR21" s="1502"/>
      <c r="AS21" s="1502"/>
      <c r="AT21" s="1502"/>
      <c r="AU21" s="1502"/>
      <c r="AV21" s="1502"/>
      <c r="AW21" s="1502"/>
      <c r="AX21" s="1502"/>
      <c r="AY21" s="1502"/>
      <c r="AZ21" s="1502"/>
      <c r="BA21" s="1502"/>
      <c r="BB21" s="1502"/>
      <c r="BC21" s="1502"/>
      <c r="BD21" s="1502"/>
      <c r="BE21" s="1502"/>
      <c r="BF21" s="1502"/>
      <c r="BG21" s="1502"/>
      <c r="BH21" s="1502"/>
      <c r="BI21" s="1502"/>
      <c r="BJ21" s="1502"/>
      <c r="BK21" s="1502"/>
    </row>
    <row r="22" ht="14" spans="1:63">
      <c r="A22" s="2990" t="s">
        <v>672</v>
      </c>
      <c r="B22" s="2994">
        <f>B19+B20</f>
        <v>1</v>
      </c>
      <c r="C22" s="2985"/>
      <c r="D22" s="2986"/>
      <c r="E22" s="1502"/>
      <c r="F22" s="1502"/>
      <c r="G22" s="1502"/>
      <c r="H22" s="1502"/>
      <c r="I22" s="1502"/>
      <c r="J22" s="1502"/>
      <c r="K22" s="1502"/>
      <c r="L22" s="1502"/>
      <c r="M22" s="1502"/>
      <c r="N22" s="1502"/>
      <c r="O22" s="1502"/>
      <c r="P22" s="1502"/>
      <c r="Q22" s="1502"/>
      <c r="R22" s="1502"/>
      <c r="S22" s="1502"/>
      <c r="T22" s="1502"/>
      <c r="U22" s="1502"/>
      <c r="V22" s="1502"/>
      <c r="W22" s="1502"/>
      <c r="X22" s="1502"/>
      <c r="Y22" s="1502"/>
      <c r="Z22" s="1502"/>
      <c r="AA22" s="1502"/>
      <c r="AB22" s="1502"/>
      <c r="AC22" s="1502"/>
      <c r="AD22" s="1502"/>
      <c r="AE22" s="1502"/>
      <c r="AF22" s="1502"/>
      <c r="AG22" s="1502"/>
      <c r="AH22" s="1502"/>
      <c r="AI22" s="1502"/>
      <c r="AJ22" s="1502"/>
      <c r="AK22" s="1502"/>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row>
    <row r="23" ht="14" spans="1:63">
      <c r="A23" s="2993" t="s">
        <v>673</v>
      </c>
      <c r="B23" s="2994">
        <f>B19+B21</f>
        <v>0.8</v>
      </c>
      <c r="C23" s="2985"/>
      <c r="D23" s="2986"/>
      <c r="E23" s="1502"/>
      <c r="F23" s="1502"/>
      <c r="G23" s="1502"/>
      <c r="H23" s="1502"/>
      <c r="I23" s="1502"/>
      <c r="J23" s="1502"/>
      <c r="K23" s="1502"/>
      <c r="L23" s="1502"/>
      <c r="M23" s="1502"/>
      <c r="N23" s="1502"/>
      <c r="O23" s="1502"/>
      <c r="P23" s="1502"/>
      <c r="Q23" s="1502"/>
      <c r="R23" s="1502"/>
      <c r="S23" s="1502"/>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c r="AT23" s="1502"/>
      <c r="AU23" s="1502"/>
      <c r="AV23" s="1502"/>
      <c r="AW23" s="1502"/>
      <c r="AX23" s="1502"/>
      <c r="AY23" s="1502"/>
      <c r="AZ23" s="1502"/>
      <c r="BA23" s="1502"/>
      <c r="BB23" s="1502"/>
      <c r="BC23" s="1502"/>
      <c r="BD23" s="1502"/>
      <c r="BE23" s="1502"/>
      <c r="BF23" s="1502"/>
      <c r="BG23" s="1502"/>
      <c r="BH23" s="1502"/>
      <c r="BI23" s="1502"/>
      <c r="BJ23" s="1502"/>
      <c r="BK23" s="1502"/>
    </row>
    <row r="24" ht="14.75" spans="1:63">
      <c r="A24" s="2995" t="s">
        <v>674</v>
      </c>
      <c r="B24" s="2996">
        <f>B20-B21</f>
        <v>0.2</v>
      </c>
      <c r="C24" s="2985"/>
      <c r="D24" s="2986"/>
      <c r="E24" s="1502"/>
      <c r="F24" s="1502"/>
      <c r="G24" s="1502"/>
      <c r="H24" s="1502"/>
      <c r="I24" s="1502"/>
      <c r="J24" s="1502"/>
      <c r="K24" s="1502"/>
      <c r="L24" s="1502"/>
      <c r="M24" s="1502"/>
      <c r="N24" s="1502"/>
      <c r="O24" s="1502"/>
      <c r="P24" s="1502"/>
      <c r="Q24" s="1502"/>
      <c r="R24" s="1502"/>
      <c r="S24" s="1502"/>
      <c r="T24" s="1502"/>
      <c r="U24" s="1502"/>
      <c r="V24" s="1502"/>
      <c r="W24" s="1502"/>
      <c r="X24" s="1502"/>
      <c r="Y24" s="1502"/>
      <c r="Z24" s="1502"/>
      <c r="AA24" s="1502"/>
      <c r="AB24" s="1502"/>
      <c r="AC24" s="1502"/>
      <c r="AD24" s="1502"/>
      <c r="AE24" s="1502"/>
      <c r="AF24" s="1502"/>
      <c r="AG24" s="1502"/>
      <c r="AH24" s="1502"/>
      <c r="AI24" s="1502"/>
      <c r="AJ24" s="1502"/>
      <c r="AK24" s="1502"/>
      <c r="AL24" s="1502"/>
      <c r="AM24" s="1502"/>
      <c r="AN24" s="1502"/>
      <c r="AO24" s="1502"/>
      <c r="AP24" s="1502"/>
      <c r="AQ24" s="1502"/>
      <c r="AR24" s="1502"/>
      <c r="AS24" s="1502"/>
      <c r="AT24" s="1502"/>
      <c r="AU24" s="1502"/>
      <c r="AV24" s="1502"/>
      <c r="AW24" s="1502"/>
      <c r="AX24" s="1502"/>
      <c r="AY24" s="1502"/>
      <c r="AZ24" s="1502"/>
      <c r="BA24" s="1502"/>
      <c r="BB24" s="1502"/>
      <c r="BC24" s="1502"/>
      <c r="BD24" s="1502"/>
      <c r="BE24" s="1502"/>
      <c r="BF24" s="1502"/>
      <c r="BG24" s="1502"/>
      <c r="BH24" s="1502"/>
      <c r="BI24" s="1502"/>
      <c r="BJ24" s="1502"/>
      <c r="BK24" s="1502"/>
    </row>
    <row r="25" ht="14.75" spans="1:63">
      <c r="A25" s="2954"/>
      <c r="B25" s="2955"/>
      <c r="C25" s="2985"/>
      <c r="D25" s="2986"/>
      <c r="E25" s="1502"/>
      <c r="F25" s="1502"/>
      <c r="G25" s="1502"/>
      <c r="H25" s="1502"/>
      <c r="I25" s="1502"/>
      <c r="J25" s="1502"/>
      <c r="K25" s="1502"/>
      <c r="L25" s="1502"/>
      <c r="M25" s="1502"/>
      <c r="N25" s="1502"/>
      <c r="O25" s="1502"/>
      <c r="P25" s="1502"/>
      <c r="Q25" s="1502"/>
      <c r="R25" s="1502"/>
      <c r="S25" s="1502"/>
      <c r="T25" s="1502"/>
      <c r="U25" s="1502"/>
      <c r="V25" s="1502"/>
      <c r="W25" s="1502"/>
      <c r="X25" s="1502"/>
      <c r="Y25" s="1502"/>
      <c r="Z25" s="1502"/>
      <c r="AA25" s="1502"/>
      <c r="AB25" s="1502"/>
      <c r="AC25" s="1502"/>
      <c r="AD25" s="1502"/>
      <c r="AE25" s="1502"/>
      <c r="AF25" s="1502"/>
      <c r="AG25" s="1502"/>
      <c r="AH25" s="1502"/>
      <c r="AI25" s="1502"/>
      <c r="AJ25" s="1502"/>
      <c r="AK25" s="1502"/>
      <c r="AL25" s="1502"/>
      <c r="AM25" s="1502"/>
      <c r="AN25" s="1502"/>
      <c r="AO25" s="1502"/>
      <c r="AP25" s="1502"/>
      <c r="AQ25" s="1502"/>
      <c r="AR25" s="1502"/>
      <c r="AS25" s="1502"/>
      <c r="AT25" s="1502"/>
      <c r="AU25" s="1502"/>
      <c r="AV25" s="1502"/>
      <c r="AW25" s="1502"/>
      <c r="AX25" s="1502"/>
      <c r="AY25" s="1502"/>
      <c r="AZ25" s="1502"/>
      <c r="BA25" s="1502"/>
      <c r="BB25" s="1502"/>
      <c r="BC25" s="1502"/>
      <c r="BD25" s="1502"/>
      <c r="BE25" s="1502"/>
      <c r="BF25" s="1502"/>
      <c r="BG25" s="1502"/>
      <c r="BH25" s="1502"/>
      <c r="BI25" s="1502"/>
      <c r="BJ25" s="1502"/>
      <c r="BK25" s="1502"/>
    </row>
    <row r="26" ht="14.75" spans="1:63">
      <c r="A26" s="2950" t="s">
        <v>675</v>
      </c>
      <c r="B26" s="2997" t="s">
        <v>676</v>
      </c>
      <c r="C26" s="2998" t="s">
        <v>677</v>
      </c>
      <c r="D26" s="2986"/>
      <c r="E26" s="1502"/>
      <c r="F26" s="1502"/>
      <c r="G26" s="1502"/>
      <c r="H26" s="1502"/>
      <c r="I26" s="1502"/>
      <c r="J26" s="1502"/>
      <c r="K26" s="1502"/>
      <c r="L26" s="1502"/>
      <c r="M26" s="1502"/>
      <c r="N26" s="1502"/>
      <c r="O26" s="1502"/>
      <c r="P26" s="1502"/>
      <c r="Q26" s="1502"/>
      <c r="R26" s="1502"/>
      <c r="S26" s="1502"/>
      <c r="T26" s="1502"/>
      <c r="U26" s="1502"/>
      <c r="V26" s="1502"/>
      <c r="W26" s="1502"/>
      <c r="X26" s="1502"/>
      <c r="Y26" s="1502"/>
      <c r="Z26" s="1502"/>
      <c r="AA26" s="1502"/>
      <c r="AB26" s="1502"/>
      <c r="AC26" s="1502"/>
      <c r="AD26" s="1502"/>
      <c r="AE26" s="1502"/>
      <c r="AF26" s="1502"/>
      <c r="AG26" s="1502"/>
      <c r="AH26" s="1502"/>
      <c r="AI26" s="1502"/>
      <c r="AJ26" s="1502"/>
      <c r="AK26" s="1502"/>
      <c r="AL26" s="1502"/>
      <c r="AM26" s="1502"/>
      <c r="AN26" s="1502"/>
      <c r="AO26" s="1502"/>
      <c r="AP26" s="1502"/>
      <c r="AQ26" s="1502"/>
      <c r="AR26" s="1502"/>
      <c r="AS26" s="1502"/>
      <c r="AT26" s="1502"/>
      <c r="AU26" s="1502"/>
      <c r="AV26" s="1502"/>
      <c r="AW26" s="1502"/>
      <c r="AX26" s="1502"/>
      <c r="AY26" s="1502"/>
      <c r="AZ26" s="1502"/>
      <c r="BA26" s="1502"/>
      <c r="BB26" s="1502"/>
      <c r="BC26" s="1502"/>
      <c r="BD26" s="1502"/>
      <c r="BE26" s="1502"/>
      <c r="BF26" s="1502"/>
      <c r="BG26" s="1502"/>
      <c r="BH26" s="1502"/>
      <c r="BI26" s="1502"/>
      <c r="BJ26" s="1502"/>
      <c r="BK26" s="1502"/>
    </row>
    <row r="27" s="2941" customFormat="1" ht="28" spans="1:67">
      <c r="A27" s="2999" t="s">
        <v>678</v>
      </c>
      <c r="B27" s="3000"/>
      <c r="C27" s="3001" t="s">
        <v>679</v>
      </c>
      <c r="D27" s="3002"/>
      <c r="E27" s="1502"/>
      <c r="F27" s="1502"/>
      <c r="G27" s="1502"/>
      <c r="H27" s="1502"/>
      <c r="I27" s="1502"/>
      <c r="J27" s="1502"/>
      <c r="K27" s="1502"/>
      <c r="L27" s="1502"/>
      <c r="M27" s="1502"/>
      <c r="N27" s="1502"/>
      <c r="O27" s="1502"/>
      <c r="P27" s="1502"/>
      <c r="Q27" s="1502"/>
      <c r="R27" s="1502"/>
      <c r="S27" s="1502"/>
      <c r="T27" s="1502"/>
      <c r="U27" s="1502"/>
      <c r="V27" s="1502"/>
      <c r="W27" s="1502"/>
      <c r="X27" s="1502"/>
      <c r="Y27" s="1502"/>
      <c r="Z27" s="1502"/>
      <c r="AA27" s="1502"/>
      <c r="AB27" s="1502"/>
      <c r="AC27" s="1502"/>
      <c r="AD27" s="1502"/>
      <c r="AE27" s="1502"/>
      <c r="AF27" s="1502"/>
      <c r="AG27" s="1502"/>
      <c r="AH27" s="1502"/>
      <c r="AI27" s="1502"/>
      <c r="AJ27" s="1502"/>
      <c r="AK27" s="1502"/>
      <c r="AL27" s="1502"/>
      <c r="AM27" s="1502"/>
      <c r="AN27" s="1502"/>
      <c r="AO27" s="1502"/>
      <c r="AP27" s="1502"/>
      <c r="AQ27" s="1502"/>
      <c r="AR27" s="1502"/>
      <c r="AS27" s="1502"/>
      <c r="AT27" s="1502"/>
      <c r="AU27" s="1502"/>
      <c r="AV27" s="1502"/>
      <c r="AW27" s="1502"/>
      <c r="AX27" s="1502"/>
      <c r="AY27" s="1502"/>
      <c r="AZ27" s="1502"/>
      <c r="BA27" s="1502"/>
      <c r="BB27" s="1502"/>
      <c r="BC27" s="1502"/>
      <c r="BD27" s="1502"/>
      <c r="BE27" s="1502"/>
      <c r="BF27" s="1502"/>
      <c r="BG27" s="1502"/>
      <c r="BH27" s="1502"/>
      <c r="BI27" s="1502"/>
      <c r="BJ27" s="1502"/>
      <c r="BK27" s="1502"/>
      <c r="BL27" s="2365"/>
      <c r="BM27" s="2365"/>
      <c r="BN27" s="2365"/>
      <c r="BO27" s="2365"/>
    </row>
    <row r="28" s="2941" customFormat="1" ht="28" spans="1:67">
      <c r="A28" s="3003" t="s">
        <v>680</v>
      </c>
      <c r="B28" s="3004">
        <v>180</v>
      </c>
      <c r="C28" s="3005"/>
      <c r="D28" s="3002"/>
      <c r="E28" s="1502"/>
      <c r="F28" s="1502"/>
      <c r="G28" s="1502"/>
      <c r="H28" s="1502"/>
      <c r="I28" s="1502"/>
      <c r="J28" s="1502"/>
      <c r="K28" s="1502"/>
      <c r="L28" s="1502"/>
      <c r="M28" s="1502"/>
      <c r="N28" s="1502"/>
      <c r="O28" s="1502"/>
      <c r="P28" s="1502"/>
      <c r="Q28" s="1502"/>
      <c r="R28" s="1502"/>
      <c r="S28" s="1502"/>
      <c r="T28" s="1502"/>
      <c r="U28" s="1502"/>
      <c r="V28" s="1502"/>
      <c r="W28" s="1502"/>
      <c r="X28" s="1502"/>
      <c r="Y28" s="1502"/>
      <c r="Z28" s="1502"/>
      <c r="AA28" s="1502"/>
      <c r="AB28" s="1502"/>
      <c r="AC28" s="1502"/>
      <c r="AD28" s="1502"/>
      <c r="AE28" s="1502"/>
      <c r="AF28" s="1502"/>
      <c r="AG28" s="1502"/>
      <c r="AH28" s="1502"/>
      <c r="AI28" s="1502"/>
      <c r="AJ28" s="1502"/>
      <c r="AK28" s="1502"/>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2365"/>
      <c r="BM28" s="2365"/>
      <c r="BN28" s="2365"/>
      <c r="BO28" s="2365"/>
    </row>
    <row r="29" s="2941" customFormat="1" ht="28.75" spans="1:67">
      <c r="A29" s="3006" t="s">
        <v>681</v>
      </c>
      <c r="B29" s="3007"/>
      <c r="C29" s="3008" t="s">
        <v>682</v>
      </c>
      <c r="D29" s="3002"/>
      <c r="E29" s="1502"/>
      <c r="F29" s="1502"/>
      <c r="G29" s="1502"/>
      <c r="H29" s="1502"/>
      <c r="I29" s="1502"/>
      <c r="J29" s="1502"/>
      <c r="K29" s="1502"/>
      <c r="L29" s="1502"/>
      <c r="M29" s="1502"/>
      <c r="N29" s="1502"/>
      <c r="O29" s="1502"/>
      <c r="P29" s="1502"/>
      <c r="Q29" s="1502"/>
      <c r="R29" s="1502"/>
      <c r="S29" s="1502"/>
      <c r="T29" s="1502"/>
      <c r="U29" s="1502"/>
      <c r="V29" s="1502"/>
      <c r="W29" s="1502"/>
      <c r="X29" s="1502"/>
      <c r="Y29" s="1502"/>
      <c r="Z29" s="1502"/>
      <c r="AA29" s="1502"/>
      <c r="AB29" s="1502"/>
      <c r="AC29" s="1502"/>
      <c r="AD29" s="1502"/>
      <c r="AE29" s="1502"/>
      <c r="AF29" s="1502"/>
      <c r="AG29" s="1502"/>
      <c r="AH29" s="1502"/>
      <c r="AI29" s="1502"/>
      <c r="AJ29" s="1502"/>
      <c r="AK29" s="1502"/>
      <c r="AL29" s="1502"/>
      <c r="AM29" s="1502"/>
      <c r="AN29" s="1502"/>
      <c r="AO29" s="1502"/>
      <c r="AP29" s="1502"/>
      <c r="AQ29" s="1502"/>
      <c r="AR29" s="1502"/>
      <c r="AS29" s="1502"/>
      <c r="AT29" s="1502"/>
      <c r="AU29" s="1502"/>
      <c r="AV29" s="1502"/>
      <c r="AW29" s="1502"/>
      <c r="AX29" s="1502"/>
      <c r="AY29" s="1502"/>
      <c r="AZ29" s="1502"/>
      <c r="BA29" s="1502"/>
      <c r="BB29" s="1502"/>
      <c r="BC29" s="1502"/>
      <c r="BD29" s="1502"/>
      <c r="BE29" s="1502"/>
      <c r="BF29" s="1502"/>
      <c r="BG29" s="1502"/>
      <c r="BH29" s="1502"/>
      <c r="BI29" s="1502"/>
      <c r="BJ29" s="1502"/>
      <c r="BK29" s="1502"/>
      <c r="BL29" s="2365"/>
      <c r="BM29" s="2365"/>
      <c r="BN29" s="2365"/>
      <c r="BO29" s="2365"/>
    </row>
    <row r="30" s="2941" customFormat="1" ht="28" spans="1:67">
      <c r="A30" s="3009" t="s">
        <v>683</v>
      </c>
      <c r="B30" s="3010">
        <v>200</v>
      </c>
      <c r="C30" s="3005"/>
      <c r="D30" s="3002"/>
      <c r="E30" s="1502"/>
      <c r="F30" s="1502"/>
      <c r="G30" s="1502"/>
      <c r="H30" s="1502"/>
      <c r="I30" s="1502"/>
      <c r="J30" s="1502"/>
      <c r="K30" s="1502"/>
      <c r="L30" s="1502"/>
      <c r="M30" s="1502"/>
      <c r="N30" s="1502"/>
      <c r="O30" s="1502"/>
      <c r="P30" s="1502"/>
      <c r="Q30" s="1502"/>
      <c r="R30" s="1502"/>
      <c r="S30" s="1502"/>
      <c r="T30" s="1502"/>
      <c r="U30" s="1502"/>
      <c r="V30" s="1502"/>
      <c r="W30" s="1502"/>
      <c r="X30" s="1502"/>
      <c r="Y30" s="1502"/>
      <c r="Z30" s="1502"/>
      <c r="AA30" s="1502"/>
      <c r="AB30" s="1502"/>
      <c r="AC30" s="1502"/>
      <c r="AD30" s="1502"/>
      <c r="AE30" s="1502"/>
      <c r="AF30" s="1502"/>
      <c r="AG30" s="1502"/>
      <c r="AH30" s="1502"/>
      <c r="AI30" s="1502"/>
      <c r="AJ30" s="1502"/>
      <c r="AK30" s="1502"/>
      <c r="AL30" s="1502"/>
      <c r="AM30" s="1502"/>
      <c r="AN30" s="1502"/>
      <c r="AO30" s="1502"/>
      <c r="AP30" s="1502"/>
      <c r="AQ30" s="1502"/>
      <c r="AR30" s="1502"/>
      <c r="AS30" s="1502"/>
      <c r="AT30" s="1502"/>
      <c r="AU30" s="1502"/>
      <c r="AV30" s="1502"/>
      <c r="AW30" s="1502"/>
      <c r="AX30" s="1502"/>
      <c r="AY30" s="1502"/>
      <c r="AZ30" s="1502"/>
      <c r="BA30" s="1502"/>
      <c r="BB30" s="1502"/>
      <c r="BC30" s="1502"/>
      <c r="BD30" s="1502"/>
      <c r="BE30" s="1502"/>
      <c r="BF30" s="1502"/>
      <c r="BG30" s="1502"/>
      <c r="BH30" s="1502"/>
      <c r="BI30" s="1502"/>
      <c r="BJ30" s="1502"/>
      <c r="BK30" s="1502"/>
      <c r="BL30" s="2365"/>
      <c r="BM30" s="2365"/>
      <c r="BN30" s="2365"/>
      <c r="BO30" s="2365"/>
    </row>
    <row r="31" s="2941" customFormat="1" ht="28" spans="1:67">
      <c r="A31" s="3003" t="s">
        <v>684</v>
      </c>
      <c r="B31" s="3011">
        <f>B30-B32</f>
        <v>200</v>
      </c>
      <c r="C31" s="3012"/>
      <c r="D31" s="3002"/>
      <c r="E31" s="1502"/>
      <c r="F31" s="1502"/>
      <c r="G31" s="1502"/>
      <c r="H31" s="1502"/>
      <c r="I31" s="1502"/>
      <c r="J31" s="1502"/>
      <c r="K31" s="1502"/>
      <c r="L31" s="1502"/>
      <c r="M31" s="1502"/>
      <c r="N31" s="1502"/>
      <c r="O31" s="1502"/>
      <c r="P31" s="1502"/>
      <c r="Q31" s="1502"/>
      <c r="R31" s="1502"/>
      <c r="S31" s="1502"/>
      <c r="T31" s="1502"/>
      <c r="U31" s="1502"/>
      <c r="V31" s="1502"/>
      <c r="W31" s="1502"/>
      <c r="X31" s="1502"/>
      <c r="Y31" s="1502"/>
      <c r="Z31" s="1502"/>
      <c r="AA31" s="1502"/>
      <c r="AB31" s="1502"/>
      <c r="AC31" s="1502"/>
      <c r="AD31" s="1502"/>
      <c r="AE31" s="1502"/>
      <c r="AF31" s="1502"/>
      <c r="AG31" s="1502"/>
      <c r="AH31" s="1502"/>
      <c r="AI31" s="1502"/>
      <c r="AJ31" s="1502"/>
      <c r="AK31" s="1502"/>
      <c r="AL31" s="1502"/>
      <c r="AM31" s="1502"/>
      <c r="AN31" s="1502"/>
      <c r="AO31" s="1502"/>
      <c r="AP31" s="1502"/>
      <c r="AQ31" s="1502"/>
      <c r="AR31" s="1502"/>
      <c r="AS31" s="1502"/>
      <c r="AT31" s="1502"/>
      <c r="AU31" s="1502"/>
      <c r="AV31" s="1502"/>
      <c r="AW31" s="1502"/>
      <c r="AX31" s="1502"/>
      <c r="AY31" s="1502"/>
      <c r="AZ31" s="1502"/>
      <c r="BA31" s="1502"/>
      <c r="BB31" s="1502"/>
      <c r="BC31" s="1502"/>
      <c r="BD31" s="1502"/>
      <c r="BE31" s="1502"/>
      <c r="BF31" s="1502"/>
      <c r="BG31" s="1502"/>
      <c r="BH31" s="1502"/>
      <c r="BI31" s="1502"/>
      <c r="BJ31" s="1502"/>
      <c r="BK31" s="1502"/>
      <c r="BL31" s="2365"/>
      <c r="BM31" s="2365"/>
      <c r="BN31" s="2365"/>
      <c r="BO31" s="2365"/>
    </row>
    <row r="32" s="2941" customFormat="1" ht="28.75" spans="1:67">
      <c r="A32" s="3013" t="s">
        <v>685</v>
      </c>
      <c r="B32" s="3014">
        <v>0</v>
      </c>
      <c r="C32" s="3005"/>
      <c r="D32" s="2986"/>
      <c r="E32" s="1502"/>
      <c r="F32" s="1502"/>
      <c r="G32" s="1502"/>
      <c r="H32" s="1502"/>
      <c r="I32" s="1502"/>
      <c r="J32" s="1502"/>
      <c r="K32" s="1502"/>
      <c r="L32" s="1502"/>
      <c r="M32" s="1502"/>
      <c r="N32" s="1502"/>
      <c r="O32" s="1502"/>
      <c r="P32" s="1502"/>
      <c r="Q32" s="1502"/>
      <c r="R32" s="1502"/>
      <c r="S32" s="1502"/>
      <c r="T32" s="1502"/>
      <c r="U32" s="1502"/>
      <c r="V32" s="1502"/>
      <c r="W32" s="1502"/>
      <c r="X32" s="1502"/>
      <c r="Y32" s="1502"/>
      <c r="Z32" s="1502"/>
      <c r="AA32" s="1502"/>
      <c r="AB32" s="1502"/>
      <c r="AC32" s="1502"/>
      <c r="AD32" s="1502"/>
      <c r="AE32" s="1502"/>
      <c r="AF32" s="1502"/>
      <c r="AG32" s="1502"/>
      <c r="AH32" s="1502"/>
      <c r="AI32" s="1502"/>
      <c r="AJ32" s="1502"/>
      <c r="AK32" s="1502"/>
      <c r="AL32" s="1502"/>
      <c r="AM32" s="1502"/>
      <c r="AN32" s="1502"/>
      <c r="AO32" s="1502"/>
      <c r="AP32" s="1502"/>
      <c r="AQ32" s="1502"/>
      <c r="AR32" s="1502"/>
      <c r="AS32" s="1502"/>
      <c r="AT32" s="1502"/>
      <c r="AU32" s="1502"/>
      <c r="AV32" s="1502"/>
      <c r="AW32" s="1502"/>
      <c r="AX32" s="1502"/>
      <c r="AY32" s="1502"/>
      <c r="AZ32" s="1502"/>
      <c r="BA32" s="1502"/>
      <c r="BB32" s="1502"/>
      <c r="BC32" s="1502"/>
      <c r="BD32" s="1502"/>
      <c r="BE32" s="1502"/>
      <c r="BF32" s="1502"/>
      <c r="BG32" s="1502"/>
      <c r="BH32" s="1502"/>
      <c r="BI32" s="1502"/>
      <c r="BJ32" s="1502"/>
      <c r="BK32" s="1502"/>
      <c r="BL32" s="2365"/>
      <c r="BM32" s="2365"/>
      <c r="BN32" s="2365"/>
      <c r="BO32" s="2365"/>
    </row>
    <row r="33" s="2941" customFormat="1" ht="14" spans="1:67">
      <c r="A33" s="2999" t="s">
        <v>686</v>
      </c>
      <c r="B33" s="3015">
        <v>0.05</v>
      </c>
      <c r="C33" s="3016" t="s">
        <v>687</v>
      </c>
      <c r="D33" s="2986"/>
      <c r="E33" s="1502"/>
      <c r="F33" s="1502"/>
      <c r="G33" s="1502"/>
      <c r="H33" s="1502"/>
      <c r="I33" s="1502"/>
      <c r="J33" s="1502"/>
      <c r="K33" s="1502"/>
      <c r="L33" s="1502"/>
      <c r="M33" s="1502"/>
      <c r="N33" s="1502"/>
      <c r="O33" s="1502"/>
      <c r="P33" s="1502"/>
      <c r="Q33" s="1502"/>
      <c r="R33" s="1502"/>
      <c r="S33" s="1502"/>
      <c r="T33" s="1502"/>
      <c r="U33" s="1502"/>
      <c r="V33" s="1502"/>
      <c r="W33" s="1502"/>
      <c r="X33" s="1502"/>
      <c r="Y33" s="1502"/>
      <c r="Z33" s="1502"/>
      <c r="AA33" s="1502"/>
      <c r="AB33" s="1502"/>
      <c r="AC33" s="1502"/>
      <c r="AD33" s="1502"/>
      <c r="AE33" s="1502"/>
      <c r="AF33" s="1502"/>
      <c r="AG33" s="1502"/>
      <c r="AH33" s="1502"/>
      <c r="AI33" s="1502"/>
      <c r="AJ33" s="1502"/>
      <c r="AK33" s="1502"/>
      <c r="AL33" s="1502"/>
      <c r="AM33" s="1502"/>
      <c r="AN33" s="1502"/>
      <c r="AO33" s="1502"/>
      <c r="AP33" s="1502"/>
      <c r="AQ33" s="1502"/>
      <c r="AR33" s="1502"/>
      <c r="AS33" s="1502"/>
      <c r="AT33" s="1502"/>
      <c r="AU33" s="1502"/>
      <c r="AV33" s="1502"/>
      <c r="AW33" s="1502"/>
      <c r="AX33" s="1502"/>
      <c r="AY33" s="1502"/>
      <c r="AZ33" s="1502"/>
      <c r="BA33" s="1502"/>
      <c r="BB33" s="1502"/>
      <c r="BC33" s="1502"/>
      <c r="BD33" s="1502"/>
      <c r="BE33" s="1502"/>
      <c r="BF33" s="1502"/>
      <c r="BG33" s="1502"/>
      <c r="BH33" s="1502"/>
      <c r="BI33" s="1502"/>
      <c r="BJ33" s="1502"/>
      <c r="BK33" s="1502"/>
      <c r="BL33" s="2365"/>
      <c r="BM33" s="2365"/>
      <c r="BN33" s="2365"/>
      <c r="BO33" s="2365"/>
    </row>
    <row r="34" s="2941" customFormat="1" ht="14" spans="1:67">
      <c r="A34" s="3003" t="s">
        <v>688</v>
      </c>
      <c r="B34" s="3017">
        <v>0</v>
      </c>
      <c r="C34" s="3016" t="s">
        <v>689</v>
      </c>
      <c r="D34" s="3018" t="s">
        <v>690</v>
      </c>
      <c r="E34" s="1502"/>
      <c r="F34" s="1502"/>
      <c r="G34" s="1502"/>
      <c r="H34" s="1502"/>
      <c r="I34" s="1502"/>
      <c r="J34" s="1502"/>
      <c r="K34" s="1502"/>
      <c r="L34" s="1502"/>
      <c r="M34" s="1502"/>
      <c r="N34" s="1502"/>
      <c r="O34" s="1502"/>
      <c r="P34" s="1502"/>
      <c r="Q34" s="1502"/>
      <c r="R34" s="1502"/>
      <c r="S34" s="1502"/>
      <c r="T34" s="1502"/>
      <c r="U34" s="1502"/>
      <c r="V34" s="1502"/>
      <c r="W34" s="1502"/>
      <c r="X34" s="1502"/>
      <c r="Y34" s="1502"/>
      <c r="Z34" s="1502"/>
      <c r="AA34" s="1502"/>
      <c r="AB34" s="1502"/>
      <c r="AC34" s="1502"/>
      <c r="AD34" s="1502"/>
      <c r="AE34" s="1502"/>
      <c r="AF34" s="1502"/>
      <c r="AG34" s="1502"/>
      <c r="AH34" s="1502"/>
      <c r="AI34" s="1502"/>
      <c r="AJ34" s="1502"/>
      <c r="AK34" s="1502"/>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2365"/>
      <c r="BM34" s="2365"/>
      <c r="BN34" s="2365"/>
      <c r="BO34" s="2365"/>
    </row>
    <row r="35" s="2941" customFormat="1" ht="14" spans="1:67">
      <c r="A35" s="3003" t="s">
        <v>691</v>
      </c>
      <c r="B35" s="3004">
        <v>200</v>
      </c>
      <c r="C35" s="3016" t="s">
        <v>692</v>
      </c>
      <c r="D35" s="3002"/>
      <c r="E35" s="1502"/>
      <c r="F35" s="1502"/>
      <c r="G35" s="1502"/>
      <c r="H35" s="1502"/>
      <c r="I35" s="1502"/>
      <c r="J35" s="1502"/>
      <c r="K35" s="1502"/>
      <c r="L35" s="1502"/>
      <c r="M35" s="1502"/>
      <c r="N35" s="1502"/>
      <c r="O35" s="1502"/>
      <c r="P35" s="1502"/>
      <c r="Q35" s="1502"/>
      <c r="R35" s="1502"/>
      <c r="S35" s="1502"/>
      <c r="T35" s="1502"/>
      <c r="U35" s="1502"/>
      <c r="V35" s="1502"/>
      <c r="W35" s="1502"/>
      <c r="X35" s="1502"/>
      <c r="Y35" s="1502"/>
      <c r="Z35" s="1502"/>
      <c r="AA35" s="1502"/>
      <c r="AB35" s="1502"/>
      <c r="AC35" s="1502"/>
      <c r="AD35" s="1502"/>
      <c r="AE35" s="1502"/>
      <c r="AF35" s="1502"/>
      <c r="AG35" s="1502"/>
      <c r="AH35" s="1502"/>
      <c r="AI35" s="1502"/>
      <c r="AJ35" s="1502"/>
      <c r="AK35" s="1502"/>
      <c r="AL35" s="1502"/>
      <c r="AM35" s="1502"/>
      <c r="AN35" s="1502"/>
      <c r="AO35" s="1502"/>
      <c r="AP35" s="1502"/>
      <c r="AQ35" s="1502"/>
      <c r="AR35" s="1502"/>
      <c r="AS35" s="1502"/>
      <c r="AT35" s="1502"/>
      <c r="AU35" s="1502"/>
      <c r="AV35" s="1502"/>
      <c r="AW35" s="1502"/>
      <c r="AX35" s="1502"/>
      <c r="AY35" s="1502"/>
      <c r="AZ35" s="1502"/>
      <c r="BA35" s="1502"/>
      <c r="BB35" s="1502"/>
      <c r="BC35" s="1502"/>
      <c r="BD35" s="1502"/>
      <c r="BE35" s="1502"/>
      <c r="BF35" s="1502"/>
      <c r="BG35" s="1502"/>
      <c r="BH35" s="1502"/>
      <c r="BI35" s="1502"/>
      <c r="BJ35" s="1502"/>
      <c r="BK35" s="1502"/>
      <c r="BL35" s="2365"/>
      <c r="BM35" s="2365"/>
      <c r="BN35" s="2365"/>
      <c r="BO35" s="2365"/>
    </row>
    <row r="36" ht="14.75" spans="1:63">
      <c r="A36" s="3006" t="s">
        <v>693</v>
      </c>
      <c r="B36" s="3019">
        <v>0.02</v>
      </c>
      <c r="C36" s="3016" t="s">
        <v>694</v>
      </c>
      <c r="D36" s="2986"/>
      <c r="E36" s="1502"/>
      <c r="F36" s="1502"/>
      <c r="G36" s="1502"/>
      <c r="H36" s="1502"/>
      <c r="I36" s="1502"/>
      <c r="J36" s="1502"/>
      <c r="K36" s="1502"/>
      <c r="L36" s="1502"/>
      <c r="M36" s="1502"/>
      <c r="N36" s="1502"/>
      <c r="O36" s="1502"/>
      <c r="P36" s="1502"/>
      <c r="Q36" s="1502"/>
      <c r="R36" s="1502"/>
      <c r="S36" s="1502"/>
      <c r="T36" s="1502"/>
      <c r="U36" s="1502"/>
      <c r="V36" s="1502"/>
      <c r="W36" s="1502"/>
      <c r="X36" s="1502"/>
      <c r="Y36" s="1502"/>
      <c r="Z36" s="1502"/>
      <c r="AA36" s="1502"/>
      <c r="AB36" s="1502"/>
      <c r="AC36" s="1502"/>
      <c r="AD36" s="1502"/>
      <c r="AE36" s="1502"/>
      <c r="AF36" s="1502"/>
      <c r="AG36" s="1502"/>
      <c r="AH36" s="1502"/>
      <c r="AI36" s="1502"/>
      <c r="AJ36" s="1502"/>
      <c r="AK36" s="1502"/>
      <c r="AL36" s="1502"/>
      <c r="AM36" s="1502"/>
      <c r="AN36" s="1502"/>
      <c r="AO36" s="1502"/>
      <c r="AP36" s="1502"/>
      <c r="AQ36" s="1502"/>
      <c r="AR36" s="1502"/>
      <c r="AS36" s="1502"/>
      <c r="AT36" s="1502"/>
      <c r="AU36" s="1502"/>
      <c r="AV36" s="1502"/>
      <c r="AW36" s="1502"/>
      <c r="AX36" s="1502"/>
      <c r="AY36" s="1502"/>
      <c r="AZ36" s="1502"/>
      <c r="BA36" s="1502"/>
      <c r="BB36" s="1502"/>
      <c r="BC36" s="1502"/>
      <c r="BD36" s="1502"/>
      <c r="BE36" s="1502"/>
      <c r="BF36" s="1502"/>
      <c r="BG36" s="1502"/>
      <c r="BH36" s="1502"/>
      <c r="BI36" s="1502"/>
      <c r="BJ36" s="1502"/>
      <c r="BK36" s="1502"/>
    </row>
    <row r="37" ht="14" spans="1:63">
      <c r="A37" s="3009" t="s">
        <v>695</v>
      </c>
      <c r="B37" s="3020">
        <v>0.02</v>
      </c>
      <c r="C37" s="3016" t="s">
        <v>696</v>
      </c>
      <c r="D37" s="2986"/>
      <c r="E37" s="1502"/>
      <c r="F37" s="1502"/>
      <c r="G37" s="1502"/>
      <c r="H37" s="1502"/>
      <c r="I37" s="1502"/>
      <c r="J37" s="1502"/>
      <c r="K37" s="1502"/>
      <c r="L37" s="1502"/>
      <c r="M37" s="1502"/>
      <c r="N37" s="1502"/>
      <c r="O37" s="1502"/>
      <c r="P37" s="1502"/>
      <c r="Q37" s="1502"/>
      <c r="R37" s="1502"/>
      <c r="S37" s="1502"/>
      <c r="T37" s="1502"/>
      <c r="U37" s="1502"/>
      <c r="V37" s="1502"/>
      <c r="W37" s="1502"/>
      <c r="X37" s="1502"/>
      <c r="Y37" s="1502"/>
      <c r="Z37" s="1502"/>
      <c r="AA37" s="1502"/>
      <c r="AB37" s="1502"/>
      <c r="AC37" s="1502"/>
      <c r="AD37" s="1502"/>
      <c r="AE37" s="1502"/>
      <c r="AF37" s="1502"/>
      <c r="AG37" s="1502"/>
      <c r="AH37" s="1502"/>
      <c r="AI37" s="1502"/>
      <c r="AJ37" s="1502"/>
      <c r="AK37" s="1502"/>
      <c r="AL37" s="1502"/>
      <c r="AM37" s="1502"/>
      <c r="AN37" s="1502"/>
      <c r="AO37" s="1502"/>
      <c r="AP37" s="1502"/>
      <c r="AQ37" s="1502"/>
      <c r="AR37" s="1502"/>
      <c r="AS37" s="1502"/>
      <c r="AT37" s="1502"/>
      <c r="AU37" s="1502"/>
      <c r="AV37" s="1502"/>
      <c r="AW37" s="1502"/>
      <c r="AX37" s="1502"/>
      <c r="AY37" s="1502"/>
      <c r="AZ37" s="1502"/>
      <c r="BA37" s="1502"/>
      <c r="BB37" s="1502"/>
      <c r="BC37" s="1502"/>
      <c r="BD37" s="1502"/>
      <c r="BE37" s="1502"/>
      <c r="BF37" s="1502"/>
      <c r="BG37" s="1502"/>
      <c r="BH37" s="1502"/>
      <c r="BI37" s="1502"/>
      <c r="BJ37" s="1502"/>
      <c r="BK37" s="1502"/>
    </row>
    <row r="38" ht="14" spans="1:63">
      <c r="A38" s="3003" t="s">
        <v>697</v>
      </c>
      <c r="B38" s="3017">
        <v>0.02</v>
      </c>
      <c r="C38" s="3016" t="s">
        <v>698</v>
      </c>
      <c r="D38" s="2986"/>
      <c r="E38" s="1502"/>
      <c r="F38" s="1502"/>
      <c r="G38" s="1502"/>
      <c r="H38" s="1502"/>
      <c r="I38" s="1502"/>
      <c r="J38" s="1502"/>
      <c r="K38" s="1502"/>
      <c r="L38" s="1502"/>
      <c r="M38" s="1502"/>
      <c r="N38" s="1502"/>
      <c r="O38" s="1502"/>
      <c r="P38" s="1502"/>
      <c r="Q38" s="1502"/>
      <c r="R38" s="1502"/>
      <c r="S38" s="1502"/>
      <c r="T38" s="1502"/>
      <c r="U38" s="1502"/>
      <c r="V38" s="1502"/>
      <c r="W38" s="1502"/>
      <c r="X38" s="1502"/>
      <c r="Y38" s="1502"/>
      <c r="Z38" s="1502"/>
      <c r="AA38" s="1502"/>
      <c r="AB38" s="1502"/>
      <c r="AC38" s="1502"/>
      <c r="AD38" s="1502"/>
      <c r="AE38" s="1502"/>
      <c r="AF38" s="1502"/>
      <c r="AG38" s="1502"/>
      <c r="AH38" s="1502"/>
      <c r="AI38" s="1502"/>
      <c r="AJ38" s="1502"/>
      <c r="AK38" s="1502"/>
      <c r="AL38" s="1502"/>
      <c r="AM38" s="1502"/>
      <c r="AN38" s="1502"/>
      <c r="AO38" s="1502"/>
      <c r="AP38" s="1502"/>
      <c r="AQ38" s="1502"/>
      <c r="AR38" s="1502"/>
      <c r="AS38" s="1502"/>
      <c r="AT38" s="1502"/>
      <c r="AU38" s="1502"/>
      <c r="AV38" s="1502"/>
      <c r="AW38" s="1502"/>
      <c r="AX38" s="1502"/>
      <c r="AY38" s="1502"/>
      <c r="AZ38" s="1502"/>
      <c r="BA38" s="1502"/>
      <c r="BB38" s="1502"/>
      <c r="BC38" s="1502"/>
      <c r="BD38" s="1502"/>
      <c r="BE38" s="1502"/>
      <c r="BF38" s="1502"/>
      <c r="BG38" s="1502"/>
      <c r="BH38" s="1502"/>
      <c r="BI38" s="1502"/>
      <c r="BJ38" s="1502"/>
      <c r="BK38" s="1502"/>
    </row>
    <row r="39" ht="14" spans="1:63">
      <c r="A39" s="3013" t="s">
        <v>699</v>
      </c>
      <c r="B39" s="3021">
        <f ca="1">存贷款利率!I1</f>
        <v>0.015</v>
      </c>
      <c r="C39" s="3022"/>
      <c r="D39" s="2986"/>
      <c r="E39" s="1502"/>
      <c r="F39" s="1502"/>
      <c r="G39" s="1502"/>
      <c r="H39" s="1502"/>
      <c r="I39" s="1502"/>
      <c r="J39" s="1502"/>
      <c r="K39" s="1502"/>
      <c r="L39" s="1502"/>
      <c r="M39" s="1502"/>
      <c r="N39" s="1502"/>
      <c r="O39" s="1502"/>
      <c r="P39" s="1502"/>
      <c r="Q39" s="1502"/>
      <c r="R39" s="1502"/>
      <c r="S39" s="1502"/>
      <c r="T39" s="1502"/>
      <c r="U39" s="1502"/>
      <c r="V39" s="1502"/>
      <c r="W39" s="1502"/>
      <c r="X39" s="1502"/>
      <c r="Y39" s="1502"/>
      <c r="Z39" s="1502"/>
      <c r="AA39" s="1502"/>
      <c r="AB39" s="1502"/>
      <c r="AC39" s="1502"/>
      <c r="AD39" s="1502"/>
      <c r="AE39" s="1502"/>
      <c r="AF39" s="1502"/>
      <c r="AG39" s="1502"/>
      <c r="AH39" s="1502"/>
      <c r="AI39" s="1502"/>
      <c r="AJ39" s="1502"/>
      <c r="AK39" s="1502"/>
      <c r="AL39" s="1502"/>
      <c r="AM39" s="1502"/>
      <c r="AN39" s="1502"/>
      <c r="AO39" s="1502"/>
      <c r="AP39" s="1502"/>
      <c r="AQ39" s="1502"/>
      <c r="AR39" s="1502"/>
      <c r="AS39" s="1502"/>
      <c r="AT39" s="1502"/>
      <c r="AU39" s="1502"/>
      <c r="AV39" s="1502"/>
      <c r="AW39" s="1502"/>
      <c r="AX39" s="1502"/>
      <c r="AY39" s="1502"/>
      <c r="AZ39" s="1502"/>
      <c r="BA39" s="1502"/>
      <c r="BB39" s="1502"/>
      <c r="BC39" s="1502"/>
      <c r="BD39" s="1502"/>
      <c r="BE39" s="1502"/>
      <c r="BF39" s="1502"/>
      <c r="BG39" s="1502"/>
      <c r="BH39" s="1502"/>
      <c r="BI39" s="1502"/>
      <c r="BJ39" s="1502"/>
      <c r="BK39" s="1502"/>
    </row>
    <row r="40" ht="14.75" spans="1:44">
      <c r="A40" s="3023" t="s">
        <v>700</v>
      </c>
      <c r="B40" s="3024">
        <f ca="1">IF(A40="利息：取LPR",存贷款利率!G1,存贷款利率!G1+C40)</f>
        <v>0.03</v>
      </c>
      <c r="C40" s="3025">
        <v>0.005</v>
      </c>
      <c r="D40" s="2377"/>
      <c r="E40" s="2986"/>
      <c r="F40" s="2985"/>
      <c r="G40" s="2985"/>
      <c r="H40" s="2985"/>
      <c r="I40" s="2985"/>
      <c r="J40" s="2985"/>
      <c r="K40" s="3074"/>
      <c r="L40" s="3074"/>
      <c r="M40" s="2377"/>
      <c r="N40" s="2377"/>
      <c r="O40" s="2377"/>
      <c r="P40" s="2377"/>
      <c r="Q40" s="2377"/>
      <c r="R40" s="2377"/>
      <c r="S40" s="2377"/>
      <c r="T40" s="2377"/>
      <c r="U40" s="2377"/>
      <c r="V40" s="2377"/>
      <c r="W40" s="2377"/>
      <c r="X40" s="2377"/>
      <c r="Y40" s="2377"/>
      <c r="Z40" s="2377"/>
      <c r="AA40" s="2377"/>
      <c r="AB40" s="2377"/>
      <c r="AC40" s="2377"/>
      <c r="AD40" s="2377"/>
      <c r="AE40" s="2377"/>
      <c r="AF40" s="2377"/>
      <c r="AG40" s="2377"/>
      <c r="AH40" s="2377"/>
      <c r="AI40" s="2377"/>
      <c r="AJ40" s="2377"/>
      <c r="AK40" s="2377"/>
      <c r="AL40" s="2377"/>
      <c r="AM40" s="2377"/>
      <c r="AN40" s="2377"/>
      <c r="AO40" s="2377"/>
      <c r="AP40" s="2377"/>
      <c r="AQ40" s="2377"/>
      <c r="AR40" s="2377"/>
    </row>
    <row r="41" ht="14" spans="1:44">
      <c r="A41" s="2999" t="s">
        <v>701</v>
      </c>
      <c r="B41" s="3026">
        <f>B42+B43</f>
        <v>0.055</v>
      </c>
      <c r="C41" s="3012"/>
      <c r="D41" s="2377"/>
      <c r="E41" s="2986"/>
      <c r="F41" s="2985"/>
      <c r="G41" s="2985"/>
      <c r="H41" s="2985"/>
      <c r="I41" s="2985"/>
      <c r="J41" s="2985"/>
      <c r="K41" s="3074"/>
      <c r="L41" s="3074"/>
      <c r="M41" s="2377"/>
      <c r="N41" s="2377"/>
      <c r="O41" s="2377"/>
      <c r="P41" s="2377"/>
      <c r="Q41" s="2377"/>
      <c r="R41" s="2377"/>
      <c r="S41" s="2377"/>
      <c r="T41" s="2377"/>
      <c r="U41" s="2377"/>
      <c r="V41" s="2377"/>
      <c r="W41" s="2377"/>
      <c r="X41" s="2377"/>
      <c r="Y41" s="2377"/>
      <c r="Z41" s="2377"/>
      <c r="AA41" s="2377"/>
      <c r="AB41" s="2377"/>
      <c r="AC41" s="2377"/>
      <c r="AD41" s="2377"/>
      <c r="AE41" s="2377"/>
      <c r="AF41" s="2377"/>
      <c r="AG41" s="2377"/>
      <c r="AH41" s="2377"/>
      <c r="AI41" s="2377"/>
      <c r="AJ41" s="2377"/>
      <c r="AK41" s="2377"/>
      <c r="AL41" s="2377"/>
      <c r="AM41" s="2377"/>
      <c r="AN41" s="2377"/>
      <c r="AO41" s="2377"/>
      <c r="AP41" s="2377"/>
      <c r="AQ41" s="2377"/>
      <c r="AR41" s="2377"/>
    </row>
    <row r="42" ht="14" spans="1:44">
      <c r="A42" s="3027" t="s">
        <v>702</v>
      </c>
      <c r="B42" s="3028">
        <v>0.05</v>
      </c>
      <c r="C42" s="3029">
        <f>IF(B2&lt;DATE(2016,5,1),0,B42)</f>
        <v>0.05</v>
      </c>
      <c r="D42" s="2986"/>
      <c r="E42" s="2985"/>
      <c r="F42" s="2985"/>
      <c r="G42" s="2985"/>
      <c r="H42" s="2985"/>
      <c r="I42" s="2985"/>
      <c r="J42" s="2985"/>
      <c r="K42" s="3074"/>
      <c r="L42" s="3074"/>
      <c r="M42" s="2377"/>
      <c r="N42" s="2377"/>
      <c r="O42" s="2377"/>
      <c r="P42" s="2377"/>
      <c r="Q42" s="2377"/>
      <c r="R42" s="2377"/>
      <c r="S42" s="2377"/>
      <c r="T42" s="2377"/>
      <c r="U42" s="2377"/>
      <c r="V42" s="2377"/>
      <c r="W42" s="2377"/>
      <c r="X42" s="2377"/>
      <c r="Y42" s="2377"/>
      <c r="Z42" s="2377"/>
      <c r="AA42" s="2377"/>
      <c r="AB42" s="2377"/>
      <c r="AC42" s="2377"/>
      <c r="AD42" s="2377"/>
      <c r="AE42" s="2377"/>
      <c r="AF42" s="2377"/>
      <c r="AG42" s="2377"/>
      <c r="AH42" s="2377"/>
      <c r="AI42" s="2377"/>
      <c r="AJ42" s="2377"/>
      <c r="AK42" s="2377"/>
      <c r="AL42" s="2377"/>
      <c r="AM42" s="2377"/>
      <c r="AN42" s="2377"/>
      <c r="AO42" s="2377"/>
      <c r="AP42" s="2377"/>
      <c r="AQ42" s="2377"/>
      <c r="AR42" s="2377"/>
    </row>
    <row r="43" ht="14" spans="1:44">
      <c r="A43" s="3027" t="s">
        <v>703</v>
      </c>
      <c r="B43" s="3030">
        <f>B42*(B44+B45+B46)+B47</f>
        <v>0.005</v>
      </c>
      <c r="C43" s="3012"/>
      <c r="D43" s="2986"/>
      <c r="E43" s="2985"/>
      <c r="F43" s="2985"/>
      <c r="G43" s="2985"/>
      <c r="H43" s="2985"/>
      <c r="I43" s="2985"/>
      <c r="J43" s="2985"/>
      <c r="K43" s="3074"/>
      <c r="L43" s="3074"/>
      <c r="M43" s="2377"/>
      <c r="N43" s="2377"/>
      <c r="O43" s="2377"/>
      <c r="P43" s="2377"/>
      <c r="Q43" s="2377"/>
      <c r="R43" s="2377"/>
      <c r="S43" s="2377"/>
      <c r="T43" s="2377"/>
      <c r="U43" s="2377"/>
      <c r="V43" s="2377"/>
      <c r="W43" s="2377"/>
      <c r="X43" s="2377"/>
      <c r="Y43" s="2377"/>
      <c r="Z43" s="2377"/>
      <c r="AA43" s="2377"/>
      <c r="AB43" s="2377"/>
      <c r="AC43" s="2377"/>
      <c r="AD43" s="2377"/>
      <c r="AE43" s="2377"/>
      <c r="AF43" s="2377"/>
      <c r="AG43" s="2377"/>
      <c r="AH43" s="2377"/>
      <c r="AI43" s="2377"/>
      <c r="AJ43" s="2377"/>
      <c r="AK43" s="2377"/>
      <c r="AL43" s="2377"/>
      <c r="AM43" s="2377"/>
      <c r="AN43" s="2377"/>
      <c r="AO43" s="2377"/>
      <c r="AP43" s="2377"/>
      <c r="AQ43" s="2377"/>
      <c r="AR43" s="2377"/>
    </row>
    <row r="44" ht="14" spans="1:44">
      <c r="A44" s="3031" t="s">
        <v>704</v>
      </c>
      <c r="B44" s="3032">
        <v>0.05</v>
      </c>
      <c r="C44" s="3016" t="s">
        <v>705</v>
      </c>
      <c r="D44" s="2986"/>
      <c r="E44" s="2985"/>
      <c r="F44" s="2985"/>
      <c r="G44" s="2985"/>
      <c r="H44" s="2985"/>
      <c r="I44" s="2985"/>
      <c r="J44" s="2985"/>
      <c r="K44" s="3074"/>
      <c r="L44" s="3074"/>
      <c r="M44" s="2377"/>
      <c r="N44" s="2377"/>
      <c r="O44" s="2377"/>
      <c r="P44" s="2377"/>
      <c r="Q44" s="2377"/>
      <c r="R44" s="2377"/>
      <c r="S44" s="2377"/>
      <c r="T44" s="2377"/>
      <c r="U44" s="2377"/>
      <c r="V44" s="2377"/>
      <c r="W44" s="2377"/>
      <c r="X44" s="2377"/>
      <c r="Y44" s="2377"/>
      <c r="Z44" s="2377"/>
      <c r="AA44" s="2377"/>
      <c r="AB44" s="2377"/>
      <c r="AC44" s="2377"/>
      <c r="AD44" s="2377"/>
      <c r="AE44" s="2377"/>
      <c r="AF44" s="2377"/>
      <c r="AG44" s="2377"/>
      <c r="AH44" s="2377"/>
      <c r="AI44" s="2377"/>
      <c r="AJ44" s="2377"/>
      <c r="AK44" s="2377"/>
      <c r="AL44" s="2377"/>
      <c r="AM44" s="2377"/>
      <c r="AN44" s="2377"/>
      <c r="AO44" s="2377"/>
      <c r="AP44" s="2377"/>
      <c r="AQ44" s="2377"/>
      <c r="AR44" s="2377"/>
    </row>
    <row r="45" ht="14" spans="1:44">
      <c r="A45" s="3031" t="s">
        <v>706</v>
      </c>
      <c r="B45" s="3028">
        <v>0.03</v>
      </c>
      <c r="C45" s="3008" t="s">
        <v>707</v>
      </c>
      <c r="D45" s="2986"/>
      <c r="E45" s="2985"/>
      <c r="F45" s="2985"/>
      <c r="G45" s="2985"/>
      <c r="H45" s="2985"/>
      <c r="I45" s="2985"/>
      <c r="J45" s="2985"/>
      <c r="K45" s="3074"/>
      <c r="L45" s="3074"/>
      <c r="M45" s="2377"/>
      <c r="N45" s="2377"/>
      <c r="O45" s="2377"/>
      <c r="P45" s="2377"/>
      <c r="Q45" s="2377"/>
      <c r="R45" s="2377"/>
      <c r="S45" s="2377"/>
      <c r="T45" s="2377"/>
      <c r="U45" s="2377"/>
      <c r="V45" s="2377"/>
      <c r="W45" s="2377"/>
      <c r="X45" s="2377"/>
      <c r="Y45" s="2377"/>
      <c r="Z45" s="2377"/>
      <c r="AA45" s="2377"/>
      <c r="AB45" s="2377"/>
      <c r="AC45" s="2377"/>
      <c r="AD45" s="2377"/>
      <c r="AE45" s="2377"/>
      <c r="AF45" s="2377"/>
      <c r="AG45" s="2377"/>
      <c r="AH45" s="2377"/>
      <c r="AI45" s="2377"/>
      <c r="AJ45" s="2377"/>
      <c r="AK45" s="2377"/>
      <c r="AL45" s="2377"/>
      <c r="AM45" s="2377"/>
      <c r="AN45" s="2377"/>
      <c r="AO45" s="2377"/>
      <c r="AP45" s="2377"/>
      <c r="AQ45" s="2377"/>
      <c r="AR45" s="2377"/>
    </row>
    <row r="46" ht="14" spans="1:44">
      <c r="A46" s="3031" t="s">
        <v>708</v>
      </c>
      <c r="B46" s="3028">
        <v>0.02</v>
      </c>
      <c r="C46" s="3008" t="s">
        <v>709</v>
      </c>
      <c r="D46" s="2986"/>
      <c r="E46" s="2985"/>
      <c r="F46" s="2985"/>
      <c r="G46" s="2985"/>
      <c r="H46" s="2985"/>
      <c r="I46" s="2985"/>
      <c r="J46" s="2985"/>
      <c r="K46" s="3074"/>
      <c r="L46" s="3074"/>
      <c r="M46" s="2377"/>
      <c r="N46" s="2377"/>
      <c r="O46" s="2377"/>
      <c r="P46" s="2377"/>
      <c r="Q46" s="2377"/>
      <c r="R46" s="2377"/>
      <c r="S46" s="2377"/>
      <c r="T46" s="2377"/>
      <c r="U46" s="2377"/>
      <c r="V46" s="2377"/>
      <c r="W46" s="2377"/>
      <c r="X46" s="2377"/>
      <c r="Y46" s="2377"/>
      <c r="Z46" s="2377"/>
      <c r="AA46" s="2377"/>
      <c r="AB46" s="2377"/>
      <c r="AC46" s="2377"/>
      <c r="AD46" s="2377"/>
      <c r="AE46" s="2377"/>
      <c r="AF46" s="2377"/>
      <c r="AG46" s="2377"/>
      <c r="AH46" s="2377"/>
      <c r="AI46" s="2377"/>
      <c r="AJ46" s="2377"/>
      <c r="AK46" s="2377"/>
      <c r="AL46" s="2377"/>
      <c r="AM46" s="2377"/>
      <c r="AN46" s="2377"/>
      <c r="AO46" s="2377"/>
      <c r="AP46" s="2377"/>
      <c r="AQ46" s="2377"/>
      <c r="AR46" s="2377"/>
    </row>
    <row r="47" ht="14.75" spans="1:44">
      <c r="A47" s="3033" t="s">
        <v>710</v>
      </c>
      <c r="B47" s="3034"/>
      <c r="C47" s="3035" t="s">
        <v>711</v>
      </c>
      <c r="D47" s="2986"/>
      <c r="E47" s="2985"/>
      <c r="F47" s="2985"/>
      <c r="G47" s="2985"/>
      <c r="H47" s="2985"/>
      <c r="I47" s="2985"/>
      <c r="J47" s="2985"/>
      <c r="K47" s="3074"/>
      <c r="L47" s="3074"/>
      <c r="M47" s="2377"/>
      <c r="N47" s="2377"/>
      <c r="O47" s="2377"/>
      <c r="P47" s="2377"/>
      <c r="Q47" s="237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7"/>
      <c r="AP47" s="2377"/>
      <c r="AQ47" s="2377"/>
      <c r="AR47" s="2377"/>
    </row>
    <row r="48" ht="14" spans="1:44">
      <c r="A48" s="3036" t="s">
        <v>712</v>
      </c>
      <c r="B48" s="3037">
        <v>0.04</v>
      </c>
      <c r="C48" s="3008" t="s">
        <v>707</v>
      </c>
      <c r="D48" s="2986"/>
      <c r="E48" s="2985"/>
      <c r="F48" s="2985"/>
      <c r="G48" s="2985"/>
      <c r="H48" s="2985"/>
      <c r="I48" s="2985"/>
      <c r="J48" s="2985"/>
      <c r="K48" s="3074"/>
      <c r="L48" s="3074"/>
      <c r="M48" s="2377"/>
      <c r="N48" s="2377"/>
      <c r="O48" s="2377"/>
      <c r="P48" s="2377"/>
      <c r="Q48" s="2377"/>
      <c r="R48" s="2377"/>
      <c r="S48" s="2377"/>
      <c r="T48" s="2377"/>
      <c r="U48" s="2377"/>
      <c r="V48" s="2377"/>
      <c r="W48" s="2377"/>
      <c r="X48" s="2377"/>
      <c r="Y48" s="2377"/>
      <c r="Z48" s="2377"/>
      <c r="AA48" s="2377"/>
      <c r="AB48" s="2377"/>
      <c r="AC48" s="2377"/>
      <c r="AD48" s="2377"/>
      <c r="AE48" s="2377"/>
      <c r="AF48" s="2377"/>
      <c r="AG48" s="2377"/>
      <c r="AH48" s="2377"/>
      <c r="AI48" s="2377"/>
      <c r="AJ48" s="2377"/>
      <c r="AK48" s="2377"/>
      <c r="AL48" s="2377"/>
      <c r="AM48" s="2377"/>
      <c r="AN48" s="2377"/>
      <c r="AO48" s="2377"/>
      <c r="AP48" s="2377"/>
      <c r="AQ48" s="2377"/>
      <c r="AR48" s="2377"/>
    </row>
    <row r="49" ht="14.75" spans="1:44">
      <c r="A49" s="3013" t="s">
        <v>713</v>
      </c>
      <c r="B49" s="3028">
        <v>0.0005</v>
      </c>
      <c r="C49" s="3008" t="s">
        <v>714</v>
      </c>
      <c r="D49" s="2986"/>
      <c r="E49" s="2985"/>
      <c r="F49" s="2985"/>
      <c r="G49" s="2985"/>
      <c r="H49" s="2985"/>
      <c r="I49" s="2985"/>
      <c r="J49" s="2985"/>
      <c r="K49" s="3074"/>
      <c r="L49" s="3074"/>
      <c r="M49" s="2377"/>
      <c r="N49" s="2377"/>
      <c r="O49" s="2377"/>
      <c r="P49" s="2377"/>
      <c r="Q49" s="2377"/>
      <c r="R49" s="2377"/>
      <c r="S49" s="2377"/>
      <c r="T49" s="2377"/>
      <c r="U49" s="2377"/>
      <c r="V49" s="2377"/>
      <c r="W49" s="2377"/>
      <c r="X49" s="2377"/>
      <c r="Y49" s="2377"/>
      <c r="Z49" s="2377"/>
      <c r="AA49" s="2377"/>
      <c r="AB49" s="2377"/>
      <c r="AC49" s="2377"/>
      <c r="AD49" s="2377"/>
      <c r="AE49" s="2377"/>
      <c r="AF49" s="2377"/>
      <c r="AG49" s="2377"/>
      <c r="AH49" s="2377"/>
      <c r="AI49" s="2377"/>
      <c r="AJ49" s="2377"/>
      <c r="AK49" s="2377"/>
      <c r="AL49" s="2377"/>
      <c r="AM49" s="2377"/>
      <c r="AN49" s="2377"/>
      <c r="AO49" s="2377"/>
      <c r="AP49" s="2377"/>
      <c r="AQ49" s="2377"/>
      <c r="AR49" s="2377"/>
    </row>
    <row r="50" ht="14" spans="1:44">
      <c r="A50" s="3038" t="s">
        <v>715</v>
      </c>
      <c r="B50" s="3039">
        <v>0.012</v>
      </c>
      <c r="C50" s="1502"/>
      <c r="D50" s="2986"/>
      <c r="E50" s="2985"/>
      <c r="F50" s="2985"/>
      <c r="G50" s="2985"/>
      <c r="H50" s="2985"/>
      <c r="I50" s="2985"/>
      <c r="J50" s="2985"/>
      <c r="K50" s="3074"/>
      <c r="L50" s="3074"/>
      <c r="M50" s="2377"/>
      <c r="N50" s="2377"/>
      <c r="O50" s="2377"/>
      <c r="P50" s="2377"/>
      <c r="Q50" s="2377"/>
      <c r="R50" s="2377"/>
      <c r="S50" s="2377"/>
      <c r="T50" s="2377"/>
      <c r="U50" s="2377"/>
      <c r="V50" s="2377"/>
      <c r="W50" s="2377"/>
      <c r="X50" s="2377"/>
      <c r="Y50" s="2377"/>
      <c r="Z50" s="2377"/>
      <c r="AA50" s="2377"/>
      <c r="AB50" s="2377"/>
      <c r="AC50" s="2377"/>
      <c r="AD50" s="2377"/>
      <c r="AE50" s="2377"/>
      <c r="AF50" s="2377"/>
      <c r="AG50" s="2377"/>
      <c r="AH50" s="2377"/>
      <c r="AI50" s="2377"/>
      <c r="AJ50" s="2377"/>
      <c r="AK50" s="2377"/>
      <c r="AL50" s="2377"/>
      <c r="AM50" s="2377"/>
      <c r="AN50" s="2377"/>
      <c r="AO50" s="2377"/>
      <c r="AP50" s="2377"/>
      <c r="AQ50" s="2377"/>
      <c r="AR50" s="2377"/>
    </row>
    <row r="51" ht="14.75" spans="1:44">
      <c r="A51" s="3006" t="s">
        <v>716</v>
      </c>
      <c r="B51" s="3040">
        <v>0.12</v>
      </c>
      <c r="C51" s="1502"/>
      <c r="D51" s="2986"/>
      <c r="E51" s="2985"/>
      <c r="F51" s="2985"/>
      <c r="G51" s="2985"/>
      <c r="H51" s="2985"/>
      <c r="I51" s="2985"/>
      <c r="J51" s="2985"/>
      <c r="K51" s="3074"/>
      <c r="L51" s="3074"/>
      <c r="M51" s="2377"/>
      <c r="N51" s="2377"/>
      <c r="O51" s="2377"/>
      <c r="P51" s="2377"/>
      <c r="Q51" s="2377"/>
      <c r="R51" s="2377"/>
      <c r="S51" s="2377"/>
      <c r="T51" s="2377"/>
      <c r="U51" s="2377"/>
      <c r="V51" s="2377"/>
      <c r="W51" s="2377"/>
      <c r="X51" s="2377"/>
      <c r="Y51" s="2377"/>
      <c r="Z51" s="2377"/>
      <c r="AA51" s="2377"/>
      <c r="AB51" s="2377"/>
      <c r="AC51" s="2377"/>
      <c r="AD51" s="2377"/>
      <c r="AE51" s="2377"/>
      <c r="AF51" s="2377"/>
      <c r="AG51" s="2377"/>
      <c r="AH51" s="2377"/>
      <c r="AI51" s="2377"/>
      <c r="AJ51" s="2377"/>
      <c r="AK51" s="2377"/>
      <c r="AL51" s="2377"/>
      <c r="AM51" s="2377"/>
      <c r="AN51" s="2377"/>
      <c r="AO51" s="2377"/>
      <c r="AP51" s="2377"/>
      <c r="AQ51" s="2377"/>
      <c r="AR51" s="2377"/>
    </row>
    <row r="52" ht="14" spans="1:44">
      <c r="A52" s="3038" t="s">
        <v>717</v>
      </c>
      <c r="B52" s="3041">
        <f>SUMIF(A54:A63,B53,B54:B63)</f>
        <v>6</v>
      </c>
      <c r="C52" s="1502"/>
      <c r="D52" s="2986"/>
      <c r="E52" s="2985"/>
      <c r="F52" s="2985"/>
      <c r="G52" s="2985"/>
      <c r="H52" s="2985"/>
      <c r="I52" s="2985"/>
      <c r="J52" s="2985"/>
      <c r="K52" s="3074"/>
      <c r="L52" s="3074"/>
      <c r="M52" s="2377"/>
      <c r="N52" s="2377"/>
      <c r="O52" s="2377"/>
      <c r="P52" s="2377"/>
      <c r="Q52" s="2377"/>
      <c r="R52" s="2377"/>
      <c r="S52" s="2377"/>
      <c r="T52" s="2377"/>
      <c r="U52" s="2377"/>
      <c r="V52" s="2377"/>
      <c r="W52" s="2377"/>
      <c r="X52" s="2377"/>
      <c r="Y52" s="2377"/>
      <c r="Z52" s="2377"/>
      <c r="AA52" s="2377"/>
      <c r="AB52" s="2377"/>
      <c r="AC52" s="2377"/>
      <c r="AD52" s="2377"/>
      <c r="AE52" s="2377"/>
      <c r="AF52" s="2377"/>
      <c r="AG52" s="2377"/>
      <c r="AH52" s="2377"/>
      <c r="AI52" s="2377"/>
      <c r="AJ52" s="2377"/>
      <c r="AK52" s="2377"/>
      <c r="AL52" s="2377"/>
      <c r="AM52" s="2377"/>
      <c r="AN52" s="2377"/>
      <c r="AO52" s="2377"/>
      <c r="AP52" s="2377"/>
      <c r="AQ52" s="2377"/>
      <c r="AR52" s="2377"/>
    </row>
    <row r="53" ht="28" spans="1:44">
      <c r="A53" s="3003" t="s">
        <v>718</v>
      </c>
      <c r="B53" s="3042" t="s">
        <v>273</v>
      </c>
      <c r="C53" s="1502" t="s">
        <v>719</v>
      </c>
      <c r="D53" s="3043" t="s">
        <v>720</v>
      </c>
      <c r="E53" s="2985"/>
      <c r="F53" s="2985"/>
      <c r="G53" s="2985"/>
      <c r="H53" s="2985"/>
      <c r="I53" s="2985"/>
      <c r="J53" s="2985"/>
      <c r="K53" s="3074"/>
      <c r="L53" s="3074"/>
      <c r="M53" s="2377"/>
      <c r="N53" s="2377"/>
      <c r="O53" s="2377"/>
      <c r="P53" s="2377"/>
      <c r="Q53" s="2377"/>
      <c r="R53" s="2377"/>
      <c r="S53" s="2377"/>
      <c r="T53" s="2377"/>
      <c r="U53" s="2377"/>
      <c r="V53" s="2377"/>
      <c r="W53" s="2377"/>
      <c r="X53" s="2377"/>
      <c r="Y53" s="2377"/>
      <c r="Z53" s="2377"/>
      <c r="AA53" s="2377"/>
      <c r="AB53" s="2377"/>
      <c r="AC53" s="2377"/>
      <c r="AD53" s="2377"/>
      <c r="AE53" s="2377"/>
      <c r="AF53" s="2377"/>
      <c r="AG53" s="2377"/>
      <c r="AH53" s="2377"/>
      <c r="AI53" s="2377"/>
      <c r="AJ53" s="2377"/>
      <c r="AK53" s="2377"/>
      <c r="AL53" s="2377"/>
      <c r="AM53" s="2377"/>
      <c r="AN53" s="2377"/>
      <c r="AO53" s="2377"/>
      <c r="AP53" s="2377"/>
      <c r="AQ53" s="2377"/>
      <c r="AR53" s="2377"/>
    </row>
    <row r="54" ht="14" spans="1:44">
      <c r="A54" s="3044" t="s">
        <v>721</v>
      </c>
      <c r="B54" s="3045"/>
      <c r="C54" s="1502">
        <v>30</v>
      </c>
      <c r="D54" s="2986"/>
      <c r="E54" s="2985"/>
      <c r="F54" s="2985"/>
      <c r="G54" s="2985"/>
      <c r="H54" s="2985"/>
      <c r="I54" s="2985"/>
      <c r="J54" s="2985"/>
      <c r="K54" s="3074"/>
      <c r="L54" s="3074"/>
      <c r="M54" s="2377"/>
      <c r="N54" s="2377"/>
      <c r="O54" s="2377"/>
      <c r="P54" s="2377"/>
      <c r="Q54" s="2377"/>
      <c r="R54" s="2377"/>
      <c r="S54" s="2377"/>
      <c r="T54" s="2377"/>
      <c r="U54" s="2377"/>
      <c r="V54" s="2377"/>
      <c r="W54" s="2377"/>
      <c r="X54" s="2377"/>
      <c r="Y54" s="2377"/>
      <c r="Z54" s="2377"/>
      <c r="AA54" s="2377"/>
      <c r="AB54" s="2377"/>
      <c r="AC54" s="2377"/>
      <c r="AD54" s="2377"/>
      <c r="AE54" s="2377"/>
      <c r="AF54" s="2377"/>
      <c r="AG54" s="2377"/>
      <c r="AH54" s="2377"/>
      <c r="AI54" s="2377"/>
      <c r="AJ54" s="2377"/>
      <c r="AK54" s="2377"/>
      <c r="AL54" s="2377"/>
      <c r="AM54" s="2377"/>
      <c r="AN54" s="2377"/>
      <c r="AO54" s="2377"/>
      <c r="AP54" s="2377"/>
      <c r="AQ54" s="2377"/>
      <c r="AR54" s="2377"/>
    </row>
    <row r="55" ht="14" spans="1:44">
      <c r="A55" s="3044" t="s">
        <v>722</v>
      </c>
      <c r="B55" s="3045"/>
      <c r="C55" s="1502">
        <v>24</v>
      </c>
      <c r="D55" s="2986"/>
      <c r="E55" s="2985"/>
      <c r="F55" s="2985"/>
      <c r="G55" s="2985"/>
      <c r="H55" s="2985"/>
      <c r="I55" s="3075"/>
      <c r="J55" s="2985"/>
      <c r="K55" s="3074"/>
      <c r="L55" s="3074"/>
      <c r="M55" s="2377"/>
      <c r="N55" s="2377"/>
      <c r="O55" s="2377"/>
      <c r="P55" s="2377"/>
      <c r="Q55" s="2377"/>
      <c r="R55" s="2377"/>
      <c r="S55" s="2377"/>
      <c r="T55" s="2377"/>
      <c r="U55" s="2377"/>
      <c r="V55" s="2377"/>
      <c r="W55" s="2377"/>
      <c r="X55" s="2377"/>
      <c r="Y55" s="2377"/>
      <c r="Z55" s="2377"/>
      <c r="AA55" s="2377"/>
      <c r="AB55" s="2377"/>
      <c r="AC55" s="2377"/>
      <c r="AD55" s="2377"/>
      <c r="AE55" s="2377"/>
      <c r="AF55" s="2377"/>
      <c r="AG55" s="2377"/>
      <c r="AH55" s="2377"/>
      <c r="AI55" s="2377"/>
      <c r="AJ55" s="2377"/>
      <c r="AK55" s="2377"/>
      <c r="AL55" s="2377"/>
      <c r="AM55" s="2377"/>
      <c r="AN55" s="2377"/>
      <c r="AO55" s="2377"/>
      <c r="AP55" s="2377"/>
      <c r="AQ55" s="2377"/>
      <c r="AR55" s="2377"/>
    </row>
    <row r="56" ht="14" spans="1:44">
      <c r="A56" s="3044" t="s">
        <v>723</v>
      </c>
      <c r="B56" s="3045"/>
      <c r="C56" s="1502">
        <v>18</v>
      </c>
      <c r="D56" s="2986"/>
      <c r="E56" s="2985"/>
      <c r="F56" s="2985"/>
      <c r="G56" s="2985"/>
      <c r="H56" s="2985"/>
      <c r="I56" s="2985"/>
      <c r="J56" s="2985"/>
      <c r="K56" s="3074"/>
      <c r="L56" s="3074"/>
      <c r="M56" s="2377"/>
      <c r="N56" s="2377"/>
      <c r="O56" s="2377"/>
      <c r="P56" s="2377"/>
      <c r="Q56" s="2377"/>
      <c r="R56" s="2377"/>
      <c r="S56" s="2377"/>
      <c r="T56" s="2377"/>
      <c r="U56" s="2377"/>
      <c r="V56" s="2377"/>
      <c r="W56" s="2377"/>
      <c r="X56" s="2377"/>
      <c r="Y56" s="2377"/>
      <c r="Z56" s="2377"/>
      <c r="AA56" s="2377"/>
      <c r="AB56" s="2377"/>
      <c r="AC56" s="2377"/>
      <c r="AD56" s="2377"/>
      <c r="AE56" s="2377"/>
      <c r="AF56" s="2377"/>
      <c r="AG56" s="2377"/>
      <c r="AH56" s="2377"/>
      <c r="AI56" s="2377"/>
      <c r="AJ56" s="2377"/>
      <c r="AK56" s="2377"/>
      <c r="AL56" s="2377"/>
      <c r="AM56" s="2377"/>
      <c r="AN56" s="2377"/>
      <c r="AO56" s="2377"/>
      <c r="AP56" s="2377"/>
      <c r="AQ56" s="2377"/>
      <c r="AR56" s="2377"/>
    </row>
    <row r="57" ht="14" spans="1:44">
      <c r="A57" s="3044" t="s">
        <v>724</v>
      </c>
      <c r="B57" s="3045"/>
      <c r="C57" s="1502">
        <v>12</v>
      </c>
      <c r="D57" s="2986"/>
      <c r="E57" s="2985"/>
      <c r="F57" s="2985"/>
      <c r="G57" s="2985"/>
      <c r="H57" s="2985"/>
      <c r="I57" s="2985"/>
      <c r="J57" s="2985"/>
      <c r="K57" s="3074"/>
      <c r="L57" s="3074"/>
      <c r="M57" s="2377"/>
      <c r="N57" s="2377"/>
      <c r="O57" s="2377"/>
      <c r="P57" s="2377"/>
      <c r="Q57" s="2377"/>
      <c r="R57" s="2377"/>
      <c r="S57" s="2377"/>
      <c r="T57" s="2377"/>
      <c r="U57" s="2377"/>
      <c r="V57" s="2377"/>
      <c r="W57" s="2377"/>
      <c r="X57" s="2377"/>
      <c r="Y57" s="2377"/>
      <c r="Z57" s="2377"/>
      <c r="AA57" s="2377"/>
      <c r="AB57" s="2377"/>
      <c r="AC57" s="2377"/>
      <c r="AD57" s="2377"/>
      <c r="AE57" s="2377"/>
      <c r="AF57" s="2377"/>
      <c r="AG57" s="2377"/>
      <c r="AH57" s="2377"/>
      <c r="AI57" s="2377"/>
      <c r="AJ57" s="2377"/>
      <c r="AK57" s="2377"/>
      <c r="AL57" s="2377"/>
      <c r="AM57" s="2377"/>
      <c r="AN57" s="2377"/>
      <c r="AO57" s="2377"/>
      <c r="AP57" s="2377"/>
      <c r="AQ57" s="2377"/>
      <c r="AR57" s="2377"/>
    </row>
    <row r="58" ht="14" spans="1:44">
      <c r="A58" s="3044" t="s">
        <v>725</v>
      </c>
      <c r="B58" s="3045"/>
      <c r="C58" s="1502">
        <v>3</v>
      </c>
      <c r="D58" s="2986"/>
      <c r="E58" s="2985"/>
      <c r="F58" s="2985"/>
      <c r="G58" s="2985"/>
      <c r="H58" s="2985"/>
      <c r="I58" s="2985"/>
      <c r="J58" s="2985"/>
      <c r="K58" s="3074"/>
      <c r="L58" s="3074"/>
      <c r="M58" s="2377"/>
      <c r="N58" s="2377"/>
      <c r="O58" s="2377"/>
      <c r="P58" s="2377"/>
      <c r="Q58" s="2377"/>
      <c r="R58" s="2377"/>
      <c r="S58" s="2377"/>
      <c r="T58" s="2377"/>
      <c r="U58" s="2377"/>
      <c r="V58" s="2377"/>
      <c r="W58" s="2377"/>
      <c r="X58" s="2377"/>
      <c r="Y58" s="2377"/>
      <c r="Z58" s="2377"/>
      <c r="AA58" s="2377"/>
      <c r="AB58" s="2377"/>
      <c r="AC58" s="2377"/>
      <c r="AD58" s="2377"/>
      <c r="AE58" s="2377"/>
      <c r="AF58" s="2377"/>
      <c r="AG58" s="2377"/>
      <c r="AH58" s="2377"/>
      <c r="AI58" s="2377"/>
      <c r="AJ58" s="2377"/>
      <c r="AK58" s="2377"/>
      <c r="AL58" s="2377"/>
      <c r="AM58" s="2377"/>
      <c r="AN58" s="2377"/>
      <c r="AO58" s="2377"/>
      <c r="AP58" s="2377"/>
      <c r="AQ58" s="2377"/>
      <c r="AR58" s="2377"/>
    </row>
    <row r="59" ht="14" spans="1:44">
      <c r="A59" s="3044" t="s">
        <v>726</v>
      </c>
      <c r="B59" s="3045">
        <v>6</v>
      </c>
      <c r="C59" s="1502">
        <v>1.5</v>
      </c>
      <c r="D59" s="2986"/>
      <c r="E59" s="2985"/>
      <c r="F59" s="2985"/>
      <c r="G59" s="2985"/>
      <c r="H59" s="2985"/>
      <c r="I59" s="2985"/>
      <c r="J59" s="2985"/>
      <c r="K59" s="3074"/>
      <c r="L59" s="3074"/>
      <c r="M59" s="2377"/>
      <c r="N59" s="2377"/>
      <c r="O59" s="2377"/>
      <c r="P59" s="2377"/>
      <c r="Q59" s="2377"/>
      <c r="R59" s="2377"/>
      <c r="S59" s="2377"/>
      <c r="T59" s="2377"/>
      <c r="U59" s="2377"/>
      <c r="V59" s="2377"/>
      <c r="W59" s="2377"/>
      <c r="X59" s="2377"/>
      <c r="Y59" s="2377"/>
      <c r="Z59" s="2377"/>
      <c r="AA59" s="2377"/>
      <c r="AB59" s="2377"/>
      <c r="AC59" s="2377"/>
      <c r="AD59" s="2377"/>
      <c r="AE59" s="2377"/>
      <c r="AF59" s="2377"/>
      <c r="AG59" s="2377"/>
      <c r="AH59" s="2377"/>
      <c r="AI59" s="2377"/>
      <c r="AJ59" s="2377"/>
      <c r="AK59" s="2377"/>
      <c r="AL59" s="2377"/>
      <c r="AM59" s="2377"/>
      <c r="AN59" s="2377"/>
      <c r="AO59" s="2377"/>
      <c r="AP59" s="2377"/>
      <c r="AQ59" s="2377"/>
      <c r="AR59" s="2377"/>
    </row>
    <row r="60" ht="14" spans="1:44">
      <c r="A60" s="3044" t="s">
        <v>727</v>
      </c>
      <c r="B60" s="3045"/>
      <c r="C60" s="2985"/>
      <c r="D60" s="2986"/>
      <c r="E60" s="2985"/>
      <c r="F60" s="2985"/>
      <c r="G60" s="2985"/>
      <c r="H60" s="2985"/>
      <c r="I60" s="2985"/>
      <c r="J60" s="2985"/>
      <c r="K60" s="3074"/>
      <c r="L60" s="3074"/>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row>
    <row r="61" ht="14" spans="1:44">
      <c r="A61" s="3044" t="s">
        <v>728</v>
      </c>
      <c r="B61" s="3045"/>
      <c r="C61" s="2985"/>
      <c r="D61" s="2986"/>
      <c r="E61" s="2985"/>
      <c r="F61" s="2985"/>
      <c r="G61" s="2985"/>
      <c r="H61" s="2985"/>
      <c r="I61" s="2985"/>
      <c r="J61" s="2985"/>
      <c r="K61" s="3074"/>
      <c r="L61" s="3074"/>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row>
    <row r="62" ht="14" spans="1:44">
      <c r="A62" s="3044" t="s">
        <v>729</v>
      </c>
      <c r="B62" s="3045"/>
      <c r="C62" s="2985"/>
      <c r="D62" s="2986"/>
      <c r="E62" s="2985"/>
      <c r="F62" s="2985"/>
      <c r="G62" s="2985"/>
      <c r="H62" s="2985"/>
      <c r="I62" s="2985"/>
      <c r="J62" s="2985"/>
      <c r="K62" s="3074"/>
      <c r="L62" s="3074"/>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row>
    <row r="63" ht="14.75" spans="1:44">
      <c r="A63" s="3046" t="s">
        <v>730</v>
      </c>
      <c r="B63" s="3047"/>
      <c r="C63" s="2985"/>
      <c r="D63" s="2986"/>
      <c r="E63" s="2985"/>
      <c r="F63" s="2985"/>
      <c r="G63" s="2985"/>
      <c r="H63" s="2985"/>
      <c r="I63" s="2985"/>
      <c r="J63" s="2985"/>
      <c r="K63" s="3074"/>
      <c r="L63" s="3074"/>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row>
    <row r="64" s="2449" customFormat="1" spans="1:44">
      <c r="A64" s="3048"/>
      <c r="B64" s="2377"/>
      <c r="C64" s="2377"/>
      <c r="D64" s="2983"/>
      <c r="E64" s="2377"/>
      <c r="F64" s="2377"/>
      <c r="G64" s="2377"/>
      <c r="H64" s="2377"/>
      <c r="I64" s="2377"/>
      <c r="J64" s="2377"/>
      <c r="K64" s="3074"/>
      <c r="L64" s="3074"/>
      <c r="M64" s="2377"/>
      <c r="N64" s="2377"/>
      <c r="O64" s="2377"/>
      <c r="P64" s="2377"/>
      <c r="Q64" s="2377"/>
      <c r="R64" s="2377"/>
      <c r="S64" s="2377"/>
      <c r="T64" s="2377"/>
      <c r="U64" s="2377"/>
      <c r="V64" s="2377"/>
      <c r="W64" s="2377"/>
      <c r="X64" s="2377"/>
      <c r="Y64" s="2377"/>
      <c r="Z64" s="2377"/>
      <c r="AA64" s="2377"/>
      <c r="AB64" s="2377"/>
      <c r="AC64" s="2377"/>
      <c r="AD64" s="2377"/>
      <c r="AE64" s="2377"/>
      <c r="AF64" s="2377"/>
      <c r="AG64" s="2377"/>
      <c r="AH64" s="2377"/>
      <c r="AI64" s="2377"/>
      <c r="AJ64" s="2377"/>
      <c r="AK64" s="2377"/>
      <c r="AL64" s="2377"/>
      <c r="AM64" s="2377"/>
      <c r="AN64" s="2377"/>
      <c r="AO64" s="2377"/>
      <c r="AP64" s="2377"/>
      <c r="AQ64" s="2377"/>
      <c r="AR64" s="2377"/>
    </row>
    <row r="65" s="2449" customFormat="1" spans="1:44">
      <c r="A65" s="3048"/>
      <c r="B65" s="2377"/>
      <c r="C65" s="2377"/>
      <c r="D65" s="2983"/>
      <c r="E65" s="2377"/>
      <c r="F65" s="2377"/>
      <c r="G65" s="2377"/>
      <c r="H65" s="2377"/>
      <c r="I65" s="2377"/>
      <c r="J65" s="2377"/>
      <c r="K65" s="3074"/>
      <c r="L65" s="3074"/>
      <c r="M65" s="2377"/>
      <c r="N65" s="2377"/>
      <c r="O65" s="2377"/>
      <c r="P65" s="2377"/>
      <c r="Q65" s="2377"/>
      <c r="R65" s="2377"/>
      <c r="S65" s="2377"/>
      <c r="T65" s="2377"/>
      <c r="U65" s="2377"/>
      <c r="V65" s="2377"/>
      <c r="W65" s="2377"/>
      <c r="X65" s="2377"/>
      <c r="Y65" s="2377"/>
      <c r="Z65" s="2377"/>
      <c r="AA65" s="2377"/>
      <c r="AB65" s="2377"/>
      <c r="AC65" s="2377"/>
      <c r="AD65" s="2377"/>
      <c r="AE65" s="2377"/>
      <c r="AF65" s="2377"/>
      <c r="AG65" s="2377"/>
      <c r="AH65" s="2377"/>
      <c r="AI65" s="2377"/>
      <c r="AJ65" s="2377"/>
      <c r="AK65" s="2377"/>
      <c r="AL65" s="2377"/>
      <c r="AM65" s="2377"/>
      <c r="AN65" s="2377"/>
      <c r="AO65" s="2377"/>
      <c r="AP65" s="2377"/>
      <c r="AQ65" s="2377"/>
      <c r="AR65" s="2377"/>
    </row>
    <row r="66" s="2449" customFormat="1" spans="1:44">
      <c r="A66" s="3048"/>
      <c r="B66" s="2377"/>
      <c r="C66" s="2377"/>
      <c r="D66" s="2983"/>
      <c r="E66" s="2377"/>
      <c r="F66" s="2377"/>
      <c r="G66" s="2377"/>
      <c r="H66" s="2377"/>
      <c r="I66" s="2377"/>
      <c r="J66" s="2377"/>
      <c r="K66" s="3074"/>
      <c r="L66" s="3074"/>
      <c r="M66" s="2377"/>
      <c r="N66" s="2377"/>
      <c r="O66" s="2377"/>
      <c r="P66" s="2377"/>
      <c r="Q66" s="2377"/>
      <c r="R66" s="2377"/>
      <c r="S66" s="2377"/>
      <c r="T66" s="2377"/>
      <c r="U66" s="2377"/>
      <c r="V66" s="2377"/>
      <c r="W66" s="2377"/>
      <c r="X66" s="2377"/>
      <c r="Y66" s="2377"/>
      <c r="Z66" s="2377"/>
      <c r="AA66" s="2377"/>
      <c r="AB66" s="2377"/>
      <c r="AC66" s="2377"/>
      <c r="AD66" s="2377"/>
      <c r="AE66" s="2377"/>
      <c r="AF66" s="2377"/>
      <c r="AG66" s="2377"/>
      <c r="AH66" s="2377"/>
      <c r="AI66" s="2377"/>
      <c r="AJ66" s="2377"/>
      <c r="AK66" s="2377"/>
      <c r="AL66" s="2377"/>
      <c r="AM66" s="2377"/>
      <c r="AN66" s="2377"/>
      <c r="AO66" s="2377"/>
      <c r="AP66" s="2377"/>
      <c r="AQ66" s="2377"/>
      <c r="AR66" s="2377"/>
    </row>
    <row r="67" s="2449" customFormat="1" spans="1:44">
      <c r="A67" s="3048"/>
      <c r="B67" s="2377"/>
      <c r="C67" s="2377"/>
      <c r="D67" s="2983"/>
      <c r="E67" s="2377"/>
      <c r="F67" s="2377"/>
      <c r="G67" s="2377"/>
      <c r="H67" s="2377"/>
      <c r="I67" s="2377"/>
      <c r="J67" s="2377"/>
      <c r="K67" s="3074"/>
      <c r="L67" s="3074"/>
      <c r="M67" s="2377"/>
      <c r="N67" s="2377"/>
      <c r="O67" s="2377"/>
      <c r="P67" s="2377"/>
      <c r="Q67" s="2377"/>
      <c r="R67" s="2377"/>
      <c r="S67" s="2377"/>
      <c r="T67" s="2377"/>
      <c r="U67" s="2377"/>
      <c r="V67" s="2377"/>
      <c r="W67" s="2377"/>
      <c r="X67" s="2377"/>
      <c r="Y67" s="2377"/>
      <c r="Z67" s="2377"/>
      <c r="AA67" s="2377"/>
      <c r="AB67" s="2377"/>
      <c r="AC67" s="2377"/>
      <c r="AD67" s="2377"/>
      <c r="AE67" s="2377"/>
      <c r="AF67" s="2377"/>
      <c r="AG67" s="2377"/>
      <c r="AH67" s="2377"/>
      <c r="AI67" s="2377"/>
      <c r="AJ67" s="2377"/>
      <c r="AK67" s="2377"/>
      <c r="AL67" s="2377"/>
      <c r="AM67" s="2377"/>
      <c r="AN67" s="2377"/>
      <c r="AO67" s="2377"/>
      <c r="AP67" s="2377"/>
      <c r="AQ67" s="2377"/>
      <c r="AR67" s="2377"/>
    </row>
    <row r="68" s="2449" customFormat="1" spans="1:44">
      <c r="A68" s="3048"/>
      <c r="B68" s="2377"/>
      <c r="C68" s="2377"/>
      <c r="D68" s="2983"/>
      <c r="E68" s="2377"/>
      <c r="F68" s="2377"/>
      <c r="G68" s="2377"/>
      <c r="H68" s="2377"/>
      <c r="I68" s="2377"/>
      <c r="J68" s="2377"/>
      <c r="K68" s="3074"/>
      <c r="L68" s="3074"/>
      <c r="M68" s="2377"/>
      <c r="N68" s="2377"/>
      <c r="O68" s="2377"/>
      <c r="P68" s="2377"/>
      <c r="Q68" s="2377"/>
      <c r="R68" s="2377"/>
      <c r="S68" s="2377"/>
      <c r="T68" s="2377"/>
      <c r="U68" s="2377"/>
      <c r="V68" s="2377"/>
      <c r="W68" s="2377"/>
      <c r="X68" s="2377"/>
      <c r="Y68" s="2377"/>
      <c r="Z68" s="2377"/>
      <c r="AA68" s="2377"/>
      <c r="AB68" s="2377"/>
      <c r="AC68" s="2377"/>
      <c r="AD68" s="2377"/>
      <c r="AE68" s="2377"/>
      <c r="AF68" s="2377"/>
      <c r="AG68" s="2377"/>
      <c r="AH68" s="2377"/>
      <c r="AI68" s="2377"/>
      <c r="AJ68" s="2377"/>
      <c r="AK68" s="2377"/>
      <c r="AL68" s="2377"/>
      <c r="AM68" s="2377"/>
      <c r="AN68" s="2377"/>
      <c r="AO68" s="2377"/>
      <c r="AP68" s="2377"/>
      <c r="AQ68" s="2377"/>
      <c r="AR68" s="2377"/>
    </row>
    <row r="69" s="2449" customFormat="1" spans="1:12">
      <c r="A69" s="2844"/>
      <c r="D69" s="3139"/>
      <c r="K69" s="1102"/>
      <c r="L69" s="1102"/>
    </row>
    <row r="70" s="2449" customFormat="1" spans="1:12">
      <c r="A70" s="2844"/>
      <c r="D70" s="3139"/>
      <c r="K70" s="1102"/>
      <c r="L70" s="1102"/>
    </row>
    <row r="71" s="2449" customFormat="1" spans="1:12">
      <c r="A71" s="2844"/>
      <c r="D71" s="3139"/>
      <c r="K71" s="1102"/>
      <c r="L71" s="1102"/>
    </row>
    <row r="72" s="2449" customFormat="1" spans="1:12">
      <c r="A72" s="2844"/>
      <c r="D72" s="3139"/>
      <c r="K72" s="1102"/>
      <c r="L72" s="1102"/>
    </row>
    <row r="73" s="2449" customFormat="1" spans="1:12">
      <c r="A73" s="2844"/>
      <c r="D73" s="3139"/>
      <c r="K73" s="1102"/>
      <c r="L73" s="1102"/>
    </row>
    <row r="74" s="2449" customFormat="1" spans="1:12">
      <c r="A74" s="2844"/>
      <c r="D74" s="3139"/>
      <c r="K74" s="1102"/>
      <c r="L74" s="1102"/>
    </row>
    <row r="75" s="2449" customFormat="1" spans="1:12">
      <c r="A75" s="2844"/>
      <c r="D75" s="3139"/>
      <c r="K75" s="1102"/>
      <c r="L75" s="1102"/>
    </row>
    <row r="76" s="2449" customFormat="1" spans="1:12">
      <c r="A76" s="2844"/>
      <c r="D76" s="3139"/>
      <c r="K76" s="1102"/>
      <c r="L76" s="1102"/>
    </row>
    <row r="77" s="2449" customFormat="1" spans="1:12">
      <c r="A77" s="2844"/>
      <c r="D77" s="3139"/>
      <c r="K77" s="1102"/>
      <c r="L77" s="1102"/>
    </row>
    <row r="78" s="2449" customFormat="1" spans="1:12">
      <c r="A78" s="2844"/>
      <c r="D78" s="3139"/>
      <c r="K78" s="1102"/>
      <c r="L78" s="1102"/>
    </row>
    <row r="79" s="2449" customFormat="1" spans="1:12">
      <c r="A79" s="2844"/>
      <c r="D79" s="3139"/>
      <c r="K79" s="1102"/>
      <c r="L79" s="1102"/>
    </row>
    <row r="80" s="2449" customFormat="1" spans="1:12">
      <c r="A80" s="2844"/>
      <c r="D80" s="3139"/>
      <c r="K80" s="1102"/>
      <c r="L80" s="1102"/>
    </row>
    <row r="81" s="2449" customFormat="1" spans="1:12">
      <c r="A81" s="2844"/>
      <c r="D81" s="3139"/>
      <c r="K81" s="1102"/>
      <c r="L81" s="1102"/>
    </row>
    <row r="82" s="2449" customFormat="1" spans="1:12">
      <c r="A82" s="2844"/>
      <c r="D82" s="3139"/>
      <c r="K82" s="1102"/>
      <c r="L82" s="1102"/>
    </row>
    <row r="83" s="2449" customFormat="1" spans="1:12">
      <c r="A83" s="2844"/>
      <c r="D83" s="3139"/>
      <c r="K83" s="1102"/>
      <c r="L83" s="1102"/>
    </row>
    <row r="84" s="2449" customFormat="1" spans="1:12">
      <c r="A84" s="2844"/>
      <c r="D84" s="3139"/>
      <c r="K84" s="1102"/>
      <c r="L84" s="1102"/>
    </row>
    <row r="85" s="2449" customFormat="1" spans="1:12">
      <c r="A85" s="2844"/>
      <c r="D85" s="3139"/>
      <c r="K85" s="1102"/>
      <c r="L85" s="1102"/>
    </row>
    <row r="86" s="2449" customFormat="1" spans="1:12">
      <c r="A86" s="2844"/>
      <c r="D86" s="3139"/>
      <c r="K86" s="1102"/>
      <c r="L86" s="1102"/>
    </row>
    <row r="87" s="2449" customFormat="1" spans="1:12">
      <c r="A87" s="2844"/>
      <c r="D87" s="3139"/>
      <c r="K87" s="1102"/>
      <c r="L87" s="1102"/>
    </row>
    <row r="88" s="2449" customFormat="1" spans="1:12">
      <c r="A88" s="2844"/>
      <c r="D88" s="3139"/>
      <c r="K88" s="1102"/>
      <c r="L88" s="1102"/>
    </row>
    <row r="89" s="2449" customFormat="1" spans="1:12">
      <c r="A89" s="2844"/>
      <c r="D89" s="3139"/>
      <c r="K89" s="1102"/>
      <c r="L89" s="1102"/>
    </row>
    <row r="90" s="2449" customFormat="1" spans="1:12">
      <c r="A90" s="2844"/>
      <c r="D90" s="3139"/>
      <c r="K90" s="1102"/>
      <c r="L90" s="1102"/>
    </row>
    <row r="91" s="2449" customFormat="1" spans="1:12">
      <c r="A91" s="2844"/>
      <c r="D91" s="3139"/>
      <c r="K91" s="1102"/>
      <c r="L91" s="1102"/>
    </row>
    <row r="92" s="2449" customFormat="1" spans="1:12">
      <c r="A92" s="2844"/>
      <c r="D92" s="3139"/>
      <c r="K92" s="1102"/>
      <c r="L92" s="1102"/>
    </row>
    <row r="93" s="2449" customFormat="1" spans="1:12">
      <c r="A93" s="2844"/>
      <c r="D93" s="3139"/>
      <c r="K93" s="1102"/>
      <c r="L93" s="1102"/>
    </row>
    <row r="94" s="2449" customFormat="1" spans="1:12">
      <c r="A94" s="2844"/>
      <c r="D94" s="3139"/>
      <c r="K94" s="1102"/>
      <c r="L94" s="1102"/>
    </row>
    <row r="95" s="2449" customFormat="1" spans="1:12">
      <c r="A95" s="2844"/>
      <c r="D95" s="3139"/>
      <c r="K95" s="1102"/>
      <c r="L95" s="1102"/>
    </row>
    <row r="96" s="2449" customFormat="1" spans="1:12">
      <c r="A96" s="2844"/>
      <c r="D96" s="3139"/>
      <c r="K96" s="1102"/>
      <c r="L96" s="1102"/>
    </row>
    <row r="97" s="2449" customFormat="1" spans="1:12">
      <c r="A97" s="2844"/>
      <c r="D97" s="3139"/>
      <c r="K97" s="1102"/>
      <c r="L97" s="1102"/>
    </row>
    <row r="98" s="2449" customFormat="1" spans="1:12">
      <c r="A98" s="2844"/>
      <c r="D98" s="3139"/>
      <c r="K98" s="1102"/>
      <c r="L98" s="1102"/>
    </row>
    <row r="99" s="2449" customFormat="1" spans="1:12">
      <c r="A99" s="2844"/>
      <c r="D99" s="3139"/>
      <c r="K99" s="1102"/>
      <c r="L99" s="1102"/>
    </row>
    <row r="100" s="2449" customFormat="1" spans="1:12">
      <c r="A100" s="2844"/>
      <c r="D100" s="3139"/>
      <c r="K100" s="1102"/>
      <c r="L100" s="1102"/>
    </row>
    <row r="101" s="2449" customFormat="1" spans="1:12">
      <c r="A101" s="2844"/>
      <c r="D101" s="3139"/>
      <c r="K101" s="1102"/>
      <c r="L101" s="1102"/>
    </row>
    <row r="102" s="2449" customFormat="1" spans="1:12">
      <c r="A102" s="2844"/>
      <c r="D102" s="3139"/>
      <c r="K102" s="1102"/>
      <c r="L102" s="1102"/>
    </row>
    <row r="103" s="2449" customFormat="1" spans="1:12">
      <c r="A103" s="2844"/>
      <c r="D103" s="3139"/>
      <c r="K103" s="1102"/>
      <c r="L103" s="1102"/>
    </row>
    <row r="104" s="2449" customFormat="1" spans="1:12">
      <c r="A104" s="2844"/>
      <c r="D104" s="3139"/>
      <c r="K104" s="1102"/>
      <c r="L104" s="1102"/>
    </row>
    <row r="105" s="2449" customFormat="1" spans="1:12">
      <c r="A105" s="2844"/>
      <c r="D105" s="3139"/>
      <c r="K105" s="1102"/>
      <c r="L105" s="1102"/>
    </row>
    <row r="106" s="2449" customFormat="1" spans="1:12">
      <c r="A106" s="2844"/>
      <c r="D106" s="3139"/>
      <c r="K106" s="1102"/>
      <c r="L106" s="1102"/>
    </row>
    <row r="107" s="2449" customFormat="1" spans="1:12">
      <c r="A107" s="2844"/>
      <c r="D107" s="3139"/>
      <c r="K107" s="1102"/>
      <c r="L107" s="1102"/>
    </row>
    <row r="108" s="2449" customFormat="1" spans="1:12">
      <c r="A108" s="2844"/>
      <c r="D108" s="3139"/>
      <c r="K108" s="1102"/>
      <c r="L108" s="1102"/>
    </row>
    <row r="109" s="2449" customFormat="1" spans="1:12">
      <c r="A109" s="2844"/>
      <c r="D109" s="3139"/>
      <c r="K109" s="1102"/>
      <c r="L109" s="1102"/>
    </row>
    <row r="110" s="2449" customFormat="1" spans="1:12">
      <c r="A110" s="2844"/>
      <c r="D110" s="3139"/>
      <c r="K110" s="1102"/>
      <c r="L110" s="1102"/>
    </row>
    <row r="111" s="2449" customFormat="1" spans="1:12">
      <c r="A111" s="2844"/>
      <c r="D111" s="3139"/>
      <c r="K111" s="1102"/>
      <c r="L111" s="1102"/>
    </row>
    <row r="112" s="2449" customFormat="1" spans="1:12">
      <c r="A112" s="2844"/>
      <c r="D112" s="3139"/>
      <c r="K112" s="1102"/>
      <c r="L112" s="1102"/>
    </row>
    <row r="113" s="2449" customFormat="1" spans="1:12">
      <c r="A113" s="2844"/>
      <c r="D113" s="3139"/>
      <c r="K113" s="1102"/>
      <c r="L113" s="1102"/>
    </row>
    <row r="114" s="2449" customFormat="1" spans="1:12">
      <c r="A114" s="2844"/>
      <c r="D114" s="3139"/>
      <c r="K114" s="1102"/>
      <c r="L114" s="1102"/>
    </row>
    <row r="115" s="2449" customFormat="1" spans="1:12">
      <c r="A115" s="2844"/>
      <c r="D115" s="3139"/>
      <c r="K115" s="1102"/>
      <c r="L115" s="1102"/>
    </row>
    <row r="116" s="2449" customFormat="1" spans="1:12">
      <c r="A116" s="2844"/>
      <c r="D116" s="3139"/>
      <c r="K116" s="1102"/>
      <c r="L116" s="1102"/>
    </row>
    <row r="117" s="2449" customFormat="1" spans="1:12">
      <c r="A117" s="2844"/>
      <c r="D117" s="3139"/>
      <c r="K117" s="1102"/>
      <c r="L117" s="1102"/>
    </row>
    <row r="118" s="2449" customFormat="1" spans="1:12">
      <c r="A118" s="2844"/>
      <c r="D118" s="3139"/>
      <c r="K118" s="1102"/>
      <c r="L118" s="1102"/>
    </row>
    <row r="119" s="2449" customFormat="1" spans="1:12">
      <c r="A119" s="2844"/>
      <c r="D119" s="3139"/>
      <c r="K119" s="1102"/>
      <c r="L119" s="1102"/>
    </row>
    <row r="120" s="2449" customFormat="1" spans="1:12">
      <c r="A120" s="2844"/>
      <c r="D120" s="3139"/>
      <c r="K120" s="1102"/>
      <c r="L120" s="1102"/>
    </row>
    <row r="121" s="2449" customFormat="1" spans="1:12">
      <c r="A121" s="2844"/>
      <c r="D121" s="3139"/>
      <c r="K121" s="1102"/>
      <c r="L121" s="1102"/>
    </row>
    <row r="122" s="2449" customFormat="1" spans="1:12">
      <c r="A122" s="2844"/>
      <c r="D122" s="3139"/>
      <c r="K122" s="1102"/>
      <c r="L122" s="1102"/>
    </row>
    <row r="123" s="2449" customFormat="1" spans="1:12">
      <c r="A123" s="2844"/>
      <c r="D123" s="3139"/>
      <c r="K123" s="1102"/>
      <c r="L123" s="1102"/>
    </row>
    <row r="124" s="2449" customFormat="1" spans="1:12">
      <c r="A124" s="2844"/>
      <c r="D124" s="3139"/>
      <c r="K124" s="1102"/>
      <c r="L124" s="1102"/>
    </row>
    <row r="125" s="2449" customFormat="1" spans="1:12">
      <c r="A125" s="2844"/>
      <c r="D125" s="3139"/>
      <c r="K125" s="1102"/>
      <c r="L125" s="1102"/>
    </row>
    <row r="126" s="2449" customFormat="1" spans="1:12">
      <c r="A126" s="2844"/>
      <c r="D126" s="3139"/>
      <c r="K126" s="1102"/>
      <c r="L126" s="1102"/>
    </row>
    <row r="127" s="2449" customFormat="1" spans="1:12">
      <c r="A127" s="2844"/>
      <c r="D127" s="3139"/>
      <c r="K127" s="1102"/>
      <c r="L127" s="1102"/>
    </row>
    <row r="128" s="2449" customFormat="1" spans="1:12">
      <c r="A128" s="2844"/>
      <c r="D128" s="3139"/>
      <c r="K128" s="1102"/>
      <c r="L128" s="1102"/>
    </row>
    <row r="129" s="2449" customFormat="1" spans="1:12">
      <c r="A129" s="2844"/>
      <c r="D129" s="3139"/>
      <c r="K129" s="1102"/>
      <c r="L129" s="1102"/>
    </row>
    <row r="130" s="2449" customFormat="1" spans="1:12">
      <c r="A130" s="2844"/>
      <c r="D130" s="3139"/>
      <c r="K130" s="1102"/>
      <c r="L130" s="1102"/>
    </row>
    <row r="131" s="2449" customFormat="1" spans="1:12">
      <c r="A131" s="2844"/>
      <c r="D131" s="3139"/>
      <c r="K131" s="1102"/>
      <c r="L131" s="1102"/>
    </row>
    <row r="132" s="2449" customFormat="1" spans="1:12">
      <c r="A132" s="2844"/>
      <c r="D132" s="3139"/>
      <c r="K132" s="1102"/>
      <c r="L132" s="1102"/>
    </row>
    <row r="133" s="2449" customFormat="1" spans="1:12">
      <c r="A133" s="2844"/>
      <c r="D133" s="3139"/>
      <c r="K133" s="1102"/>
      <c r="L133" s="1102"/>
    </row>
    <row r="134" s="2942" customFormat="1" spans="1:12">
      <c r="A134" s="3140"/>
      <c r="D134" s="3141"/>
      <c r="K134" s="1003"/>
      <c r="L134" s="1003"/>
    </row>
    <row r="135" s="2942" customFormat="1" spans="1:12">
      <c r="A135" s="3140"/>
      <c r="D135" s="3141"/>
      <c r="K135" s="1003"/>
      <c r="L135" s="1003"/>
    </row>
    <row r="136" s="2942" customFormat="1" spans="1:12">
      <c r="A136" s="3140"/>
      <c r="D136" s="3141"/>
      <c r="K136" s="1003"/>
      <c r="L136" s="1003"/>
    </row>
    <row r="137" s="2942" customFormat="1" spans="1:12">
      <c r="A137" s="3140"/>
      <c r="D137" s="3141"/>
      <c r="K137" s="1003"/>
      <c r="L137" s="1003"/>
    </row>
    <row r="138" s="2942" customFormat="1" spans="1:12">
      <c r="A138" s="3140"/>
      <c r="D138" s="3141"/>
      <c r="K138" s="1003"/>
      <c r="L138" s="1003"/>
    </row>
    <row r="139" s="2942" customFormat="1" spans="1:12">
      <c r="A139" s="3140"/>
      <c r="D139" s="3141"/>
      <c r="K139" s="1003"/>
      <c r="L139" s="1003"/>
    </row>
    <row r="140" s="2942" customFormat="1" spans="1:12">
      <c r="A140" s="3140"/>
      <c r="D140" s="3141"/>
      <c r="K140" s="1003"/>
      <c r="L140" s="1003"/>
    </row>
    <row r="141" s="2942" customFormat="1" spans="1:12">
      <c r="A141" s="3140"/>
      <c r="D141" s="3141"/>
      <c r="K141" s="1003"/>
      <c r="L141" s="1003"/>
    </row>
    <row r="142" s="2942" customFormat="1" spans="1:12">
      <c r="A142" s="3140"/>
      <c r="D142" s="3141"/>
      <c r="K142" s="1003"/>
      <c r="L142" s="1003"/>
    </row>
    <row r="143" s="2942" customFormat="1" spans="1:12">
      <c r="A143" s="3140"/>
      <c r="D143" s="3141"/>
      <c r="K143" s="1003"/>
      <c r="L143" s="1003"/>
    </row>
    <row r="144" s="2942" customFormat="1" spans="1:12">
      <c r="A144" s="3140"/>
      <c r="D144" s="3141"/>
      <c r="K144" s="1003"/>
      <c r="L144" s="1003"/>
    </row>
    <row r="145" s="2942" customFormat="1" spans="1:12">
      <c r="A145" s="3140"/>
      <c r="D145" s="3141"/>
      <c r="K145" s="1003"/>
      <c r="L145" s="1003"/>
    </row>
    <row r="146" s="2942" customFormat="1" spans="1:12">
      <c r="A146" s="3140"/>
      <c r="D146" s="3141"/>
      <c r="K146" s="1003"/>
      <c r="L146" s="1003"/>
    </row>
    <row r="147" s="2942" customFormat="1" spans="1:12">
      <c r="A147" s="3140"/>
      <c r="D147" s="3141"/>
      <c r="K147" s="1003"/>
      <c r="L147" s="1003"/>
    </row>
    <row r="148" s="2942" customFormat="1" spans="1:12">
      <c r="A148" s="3140"/>
      <c r="D148" s="3141"/>
      <c r="K148" s="1003"/>
      <c r="L148" s="1003"/>
    </row>
    <row r="149" s="2942" customFormat="1" spans="1:12">
      <c r="A149" s="3140"/>
      <c r="D149" s="3141"/>
      <c r="K149" s="1003"/>
      <c r="L149" s="1003"/>
    </row>
    <row r="150" s="2942" customFormat="1" spans="1:12">
      <c r="A150" s="3140"/>
      <c r="D150" s="3141"/>
      <c r="K150" s="1003"/>
      <c r="L150" s="1003"/>
    </row>
    <row r="151" s="2942" customFormat="1" spans="1:12">
      <c r="A151" s="3140"/>
      <c r="D151" s="3141"/>
      <c r="K151" s="1003"/>
      <c r="L151" s="1003"/>
    </row>
    <row r="152" s="2942" customFormat="1" spans="1:12">
      <c r="A152" s="3140"/>
      <c r="D152" s="3141"/>
      <c r="K152" s="1003"/>
      <c r="L152" s="1003"/>
    </row>
    <row r="153" s="2942" customFormat="1" spans="1:12">
      <c r="A153" s="3140"/>
      <c r="D153" s="3141"/>
      <c r="K153" s="1003"/>
      <c r="L153" s="1003"/>
    </row>
    <row r="154" s="2942" customFormat="1" spans="1:12">
      <c r="A154" s="3140"/>
      <c r="D154" s="3141"/>
      <c r="K154" s="1003"/>
      <c r="L154" s="1003"/>
    </row>
    <row r="155" s="2942" customFormat="1" spans="1:12">
      <c r="A155" s="3140"/>
      <c r="D155" s="3141"/>
      <c r="K155" s="1003"/>
      <c r="L155" s="1003"/>
    </row>
    <row r="156" s="2942" customFormat="1" spans="1:12">
      <c r="A156" s="3140"/>
      <c r="D156" s="3141"/>
      <c r="K156" s="1003"/>
      <c r="L156" s="1003"/>
    </row>
    <row r="157" s="2942" customFormat="1" spans="1:12">
      <c r="A157" s="3140"/>
      <c r="D157" s="3141"/>
      <c r="K157" s="1003"/>
      <c r="L157" s="1003"/>
    </row>
    <row r="158" s="2942" customFormat="1" spans="1:12">
      <c r="A158" s="3140"/>
      <c r="D158" s="3141"/>
      <c r="K158" s="1003"/>
      <c r="L158" s="1003"/>
    </row>
    <row r="159" s="2942" customFormat="1" spans="1:12">
      <c r="A159" s="3140"/>
      <c r="D159" s="3141"/>
      <c r="K159" s="1003"/>
      <c r="L159" s="1003"/>
    </row>
    <row r="160" s="2942" customFormat="1" spans="1:12">
      <c r="A160" s="3140"/>
      <c r="D160" s="3141"/>
      <c r="K160" s="1003"/>
      <c r="L160" s="1003"/>
    </row>
    <row r="161" s="2942" customFormat="1" spans="1:12">
      <c r="A161" s="3140"/>
      <c r="D161" s="3141"/>
      <c r="K161" s="1003"/>
      <c r="L161" s="1003"/>
    </row>
    <row r="162" s="2942" customFormat="1" spans="1:12">
      <c r="A162" s="3140"/>
      <c r="D162" s="3141"/>
      <c r="K162" s="1003"/>
      <c r="L162" s="1003"/>
    </row>
    <row r="163" s="2942" customFormat="1" spans="1:12">
      <c r="A163" s="3140"/>
      <c r="D163" s="3141"/>
      <c r="K163" s="1003"/>
      <c r="L163" s="1003"/>
    </row>
    <row r="164" s="2942" customFormat="1" spans="1:12">
      <c r="A164" s="3140"/>
      <c r="D164" s="3141"/>
      <c r="K164" s="1003"/>
      <c r="L164" s="1003"/>
    </row>
    <row r="165" s="2942" customFormat="1" spans="1:12">
      <c r="A165" s="3140"/>
      <c r="D165" s="3141"/>
      <c r="K165" s="1003"/>
      <c r="L165" s="1003"/>
    </row>
    <row r="166" s="2942" customFormat="1" spans="1:12">
      <c r="A166" s="3140"/>
      <c r="D166" s="3141"/>
      <c r="K166" s="1003"/>
      <c r="L166" s="1003"/>
    </row>
    <row r="167" s="2942" customFormat="1" spans="1:12">
      <c r="A167" s="3140"/>
      <c r="D167" s="3141"/>
      <c r="K167" s="1003"/>
      <c r="L167" s="1003"/>
    </row>
    <row r="168" s="2942" customFormat="1" spans="1:12">
      <c r="A168" s="3140"/>
      <c r="D168" s="3141"/>
      <c r="K168" s="1003"/>
      <c r="L168" s="1003"/>
    </row>
    <row r="169" s="2942" customFormat="1" spans="1:12">
      <c r="A169" s="3140"/>
      <c r="D169" s="3141"/>
      <c r="K169" s="1003"/>
      <c r="L169" s="1003"/>
    </row>
    <row r="170" s="2942" customFormat="1" spans="1:12">
      <c r="A170" s="3140"/>
      <c r="D170" s="3141"/>
      <c r="K170" s="1003"/>
      <c r="L170" s="1003"/>
    </row>
    <row r="171" s="2942" customFormat="1" spans="1:12">
      <c r="A171" s="3140"/>
      <c r="D171" s="3141"/>
      <c r="K171" s="1003"/>
      <c r="L171" s="1003"/>
    </row>
    <row r="172" s="2942" customFormat="1" spans="1:12">
      <c r="A172" s="3140"/>
      <c r="D172" s="3141"/>
      <c r="K172" s="1003"/>
      <c r="L172" s="1003"/>
    </row>
    <row r="173" s="2942" customFormat="1" spans="1:12">
      <c r="A173" s="3140"/>
      <c r="D173" s="3141"/>
      <c r="K173" s="1003"/>
      <c r="L173" s="1003"/>
    </row>
    <row r="174" s="2942" customFormat="1" spans="1:12">
      <c r="A174" s="3140"/>
      <c r="D174" s="3141"/>
      <c r="K174" s="1003"/>
      <c r="L174" s="10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366"/>
    <col min="30" max="16384" width="9" style="2868"/>
  </cols>
  <sheetData>
    <row r="1" s="2866" customFormat="1" ht="18.75" spans="1:29">
      <c r="A1" s="2875" t="s">
        <v>731</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732</v>
      </c>
      <c r="D2" s="2881"/>
      <c r="E2" s="2878"/>
      <c r="F2" s="2882"/>
      <c r="G2" s="2880" t="s">
        <v>733</v>
      </c>
      <c r="H2" s="2366"/>
      <c r="I2" s="2366"/>
      <c r="J2" s="2366"/>
      <c r="K2" s="2366"/>
      <c r="L2" s="2366"/>
      <c r="M2" s="2366"/>
      <c r="N2" s="2366"/>
      <c r="O2" s="2366"/>
      <c r="P2" s="2366"/>
      <c r="Q2" s="2366"/>
      <c r="R2" s="2366"/>
    </row>
    <row r="3" ht="52" spans="1:18">
      <c r="A3" s="2883" t="s">
        <v>734</v>
      </c>
      <c r="B3" s="2884" t="s">
        <v>735</v>
      </c>
      <c r="C3" s="2885" t="s">
        <v>736</v>
      </c>
      <c r="D3" s="2886"/>
      <c r="E3" s="2887" t="s">
        <v>734</v>
      </c>
      <c r="F3" s="2888" t="s">
        <v>737</v>
      </c>
      <c r="G3" s="2889" t="s">
        <v>738</v>
      </c>
      <c r="H3" s="2366"/>
      <c r="I3" s="2366"/>
      <c r="J3" s="2366"/>
      <c r="K3" s="2366"/>
      <c r="L3" s="2366"/>
      <c r="M3" s="2366"/>
      <c r="N3" s="2366"/>
      <c r="O3" s="2366"/>
      <c r="P3" s="2366"/>
      <c r="Q3" s="2366"/>
      <c r="R3" s="2366"/>
    </row>
    <row r="4" ht="39" spans="1:18">
      <c r="A4" s="2887"/>
      <c r="B4" s="2145" t="s">
        <v>739</v>
      </c>
      <c r="C4" s="2890" t="s">
        <v>740</v>
      </c>
      <c r="D4" s="2886"/>
      <c r="E4" s="2891"/>
      <c r="F4" s="2360" t="s">
        <v>741</v>
      </c>
      <c r="G4" s="2892" t="s">
        <v>742</v>
      </c>
      <c r="H4" s="2366"/>
      <c r="I4" s="2366"/>
      <c r="J4" s="2366"/>
      <c r="K4" s="2366"/>
      <c r="L4" s="2366"/>
      <c r="M4" s="2366"/>
      <c r="N4" s="2366"/>
      <c r="O4" s="2366"/>
      <c r="P4" s="2366"/>
      <c r="Q4" s="2366"/>
      <c r="R4" s="2366"/>
    </row>
    <row r="5" ht="39" spans="1:18">
      <c r="A5" s="2887"/>
      <c r="B5" s="2145" t="s">
        <v>743</v>
      </c>
      <c r="C5" s="2890" t="s">
        <v>744</v>
      </c>
      <c r="D5" s="2886"/>
      <c r="E5" s="2891"/>
      <c r="F5" s="2145" t="s">
        <v>560</v>
      </c>
      <c r="G5" s="2892" t="s">
        <v>745</v>
      </c>
      <c r="H5" s="2366"/>
      <c r="I5" s="2366"/>
      <c r="J5" s="2366"/>
      <c r="K5" s="2366"/>
      <c r="L5" s="2366"/>
      <c r="M5" s="2366"/>
      <c r="N5" s="2366"/>
      <c r="O5" s="2366"/>
      <c r="P5" s="2366"/>
      <c r="Q5" s="2366"/>
      <c r="R5" s="2366"/>
    </row>
    <row r="6" ht="39" spans="1:18">
      <c r="A6" s="2887"/>
      <c r="B6" s="2145" t="s">
        <v>741</v>
      </c>
      <c r="C6" s="2892" t="s">
        <v>742</v>
      </c>
      <c r="D6" s="2886"/>
      <c r="E6" s="2891"/>
      <c r="F6" s="2145" t="s">
        <v>746</v>
      </c>
      <c r="G6" s="2892" t="s">
        <v>747</v>
      </c>
      <c r="H6" s="2366"/>
      <c r="I6" s="2366"/>
      <c r="J6" s="2366"/>
      <c r="K6" s="2366"/>
      <c r="L6" s="2366"/>
      <c r="M6" s="2366"/>
      <c r="N6" s="2366"/>
      <c r="O6" s="2366"/>
      <c r="P6" s="2366"/>
      <c r="Q6" s="2366"/>
      <c r="R6" s="2366"/>
    </row>
    <row r="7" ht="39.75" spans="1:18">
      <c r="A7" s="2887"/>
      <c r="B7" s="2145" t="s">
        <v>560</v>
      </c>
      <c r="C7" s="2892" t="s">
        <v>745</v>
      </c>
      <c r="D7" s="2893"/>
      <c r="E7" s="2894"/>
      <c r="F7" s="2895" t="s">
        <v>748</v>
      </c>
      <c r="G7" s="2896" t="s">
        <v>749</v>
      </c>
      <c r="H7" s="2366"/>
      <c r="I7" s="2366"/>
      <c r="J7" s="2366"/>
      <c r="K7" s="2366"/>
      <c r="L7" s="2366"/>
      <c r="M7" s="2366"/>
      <c r="N7" s="2366"/>
      <c r="O7" s="2366"/>
      <c r="P7" s="2366"/>
      <c r="Q7" s="2366"/>
      <c r="R7" s="2366"/>
    </row>
    <row r="8" ht="26" spans="1:18">
      <c r="A8" s="2887"/>
      <c r="B8" s="2145" t="s">
        <v>746</v>
      </c>
      <c r="C8" s="2892" t="s">
        <v>747</v>
      </c>
      <c r="D8" s="2893"/>
      <c r="E8" s="2893"/>
      <c r="F8" s="2267"/>
      <c r="G8" s="2267"/>
      <c r="H8" s="2366"/>
      <c r="I8" s="2366"/>
      <c r="J8" s="2366"/>
      <c r="K8" s="2366"/>
      <c r="L8" s="2366"/>
      <c r="M8" s="2366"/>
      <c r="N8" s="2366"/>
      <c r="O8" s="2366"/>
      <c r="P8" s="2366"/>
      <c r="Q8" s="2366"/>
      <c r="R8" s="2366"/>
    </row>
    <row r="9" ht="26" spans="1:18">
      <c r="A9" s="2887"/>
      <c r="B9" s="2145" t="s">
        <v>750</v>
      </c>
      <c r="C9" s="2890" t="s">
        <v>751</v>
      </c>
      <c r="D9" s="2886"/>
      <c r="E9" s="2893"/>
      <c r="F9" s="2267"/>
      <c r="G9" s="2267"/>
      <c r="H9" s="2366"/>
      <c r="I9" s="2366"/>
      <c r="J9" s="2366"/>
      <c r="K9" s="2366"/>
      <c r="L9" s="2366"/>
      <c r="M9" s="2366"/>
      <c r="N9" s="2366"/>
      <c r="O9" s="2366"/>
      <c r="P9" s="2366"/>
      <c r="Q9" s="2366"/>
      <c r="R9" s="2366"/>
    </row>
    <row r="10" s="2867" customFormat="1" ht="14.75" spans="1:29">
      <c r="A10" s="2897"/>
      <c r="B10" s="2898" t="s">
        <v>752</v>
      </c>
      <c r="C10" s="2899"/>
      <c r="D10" s="2886"/>
      <c r="E10" s="2886"/>
      <c r="F10" s="2267"/>
      <c r="G10" s="2267"/>
      <c r="H10" s="2900"/>
      <c r="I10" s="2930"/>
      <c r="J10" s="2931"/>
      <c r="K10" s="2900"/>
      <c r="L10" s="2930"/>
      <c r="M10" s="2931"/>
      <c r="N10" s="2900"/>
      <c r="O10" s="2930"/>
      <c r="P10" s="2931"/>
      <c r="Q10" s="2900"/>
      <c r="R10" s="2930"/>
      <c r="S10" s="2366"/>
      <c r="T10" s="2366"/>
      <c r="U10" s="2366"/>
      <c r="V10" s="2366"/>
      <c r="W10" s="2366"/>
      <c r="X10" s="2366"/>
      <c r="Y10" s="2366"/>
      <c r="Z10" s="2366"/>
      <c r="AA10" s="2366"/>
      <c r="AB10" s="2366"/>
      <c r="AC10" s="2366"/>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66"/>
      <c r="T11" s="2366"/>
      <c r="U11" s="2366"/>
      <c r="V11" s="2366"/>
      <c r="W11" s="2366"/>
      <c r="X11" s="2366"/>
      <c r="Y11" s="2366"/>
      <c r="Z11" s="2366"/>
      <c r="AA11" s="2366"/>
      <c r="AB11" s="2366"/>
      <c r="AC11" s="2366"/>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753</v>
      </c>
      <c r="B13" s="2903"/>
      <c r="C13" s="2903"/>
      <c r="D13" s="2901"/>
      <c r="E13" s="2903"/>
      <c r="F13" s="2903"/>
      <c r="G13" s="2903"/>
    </row>
    <row r="14" ht="14.75" spans="1:7">
      <c r="A14" s="2906"/>
      <c r="B14" s="2906"/>
      <c r="C14" s="2907" t="s">
        <v>732</v>
      </c>
      <c r="D14" s="2886"/>
      <c r="E14" s="2908"/>
      <c r="F14" s="2908"/>
      <c r="G14" s="2880" t="s">
        <v>733</v>
      </c>
    </row>
    <row r="15" ht="52" spans="1:7">
      <c r="A15" s="2909" t="s">
        <v>734</v>
      </c>
      <c r="B15" s="2910" t="s">
        <v>735</v>
      </c>
      <c r="C15" s="2911" t="str">
        <f>C3</f>
        <v>估价对象周边居住用地比例、居住小区规模和社区发展完善程度，综合评价居住社区成熟度一般</v>
      </c>
      <c r="D15" s="2886"/>
      <c r="E15" s="2912" t="s">
        <v>734</v>
      </c>
      <c r="F15" s="2910" t="s">
        <v>737</v>
      </c>
      <c r="G15" s="2913" t="str">
        <f>G3</f>
        <v>估价对象位于XX开发区，园区建设成熟度XX，产业集聚程度XX</v>
      </c>
    </row>
    <row r="16" ht="39" spans="1:7">
      <c r="A16" s="2914"/>
      <c r="B16" s="2915" t="s">
        <v>739</v>
      </c>
      <c r="C16" s="2916" t="str">
        <f>C4</f>
        <v>估价对象位于XX商圈，周边商业氛围成熟，人流量大，商业繁华度好</v>
      </c>
      <c r="D16" s="2886"/>
      <c r="E16" s="2917"/>
      <c r="F16" s="2918" t="s">
        <v>741</v>
      </c>
      <c r="G16" s="2919" t="str">
        <f>G4</f>
        <v>估价对象周边道路状况、公共交通通达情况、停车便捷程度，综合评价交通便捷度较好</v>
      </c>
    </row>
    <row r="17" ht="39" spans="1:7">
      <c r="A17" s="2914"/>
      <c r="B17" s="2915" t="s">
        <v>743</v>
      </c>
      <c r="C17" s="2916" t="str">
        <f>C5</f>
        <v>估价对象位于XX商圈，周边办公楼项目较多，入驻率高，办公集聚程度较好</v>
      </c>
      <c r="D17" s="2893"/>
      <c r="E17" s="2917"/>
      <c r="F17" s="2918" t="s">
        <v>754</v>
      </c>
      <c r="G17" s="2920"/>
    </row>
    <row r="18" ht="39" spans="1:7">
      <c r="A18" s="2914"/>
      <c r="B18" s="2918" t="s">
        <v>741</v>
      </c>
      <c r="C18" s="2919" t="str">
        <f>C6</f>
        <v>估价对象周边道路状况、公共交通通达情况、停车便捷程度，综合评价交通便捷度较好</v>
      </c>
      <c r="D18" s="2893"/>
      <c r="E18" s="2917"/>
      <c r="F18" s="2918" t="s">
        <v>748</v>
      </c>
      <c r="G18" s="2919" t="str">
        <f>G7</f>
        <v>该园区内是否有污染型企业，绿化情况，卫生条件，整体环境状况判断</v>
      </c>
    </row>
    <row r="19" ht="26" spans="1:7">
      <c r="A19" s="2914"/>
      <c r="B19" s="2918" t="s">
        <v>754</v>
      </c>
      <c r="C19" s="2920"/>
      <c r="D19" s="2886"/>
      <c r="E19" s="2917"/>
      <c r="F19" s="2145" t="s">
        <v>560</v>
      </c>
      <c r="G19" s="2919" t="str">
        <f>G5</f>
        <v>估价对象所在区域公共配套设施齐备情况</v>
      </c>
    </row>
    <row r="20" ht="26" spans="1:7">
      <c r="A20" s="2914"/>
      <c r="B20" s="2918" t="s">
        <v>755</v>
      </c>
      <c r="C20" s="2916" t="str">
        <f>C9</f>
        <v>区域自然环境：；人文环境；综合评价环境状况一般</v>
      </c>
      <c r="D20" s="2893"/>
      <c r="E20" s="2917"/>
      <c r="F20" s="2145" t="s">
        <v>746</v>
      </c>
      <c r="G20" s="2919" t="str">
        <f>G6</f>
        <v>估价对象所在区域基础设施水平</v>
      </c>
    </row>
    <row r="21" ht="26" spans="1:7">
      <c r="A21" s="2914"/>
      <c r="B21" s="2145" t="s">
        <v>560</v>
      </c>
      <c r="C21" s="2919" t="str">
        <f>C7</f>
        <v>估价对象所在区域公共配套设施齐备情况</v>
      </c>
      <c r="D21" s="2886"/>
      <c r="E21" s="2917"/>
      <c r="F21" s="2918" t="s">
        <v>756</v>
      </c>
      <c r="G21" s="2921"/>
    </row>
    <row r="22" ht="13.5" customHeight="1" spans="1:7">
      <c r="A22" s="2914"/>
      <c r="B22" s="2145" t="s">
        <v>746</v>
      </c>
      <c r="C22" s="2919" t="str">
        <f>C8</f>
        <v>估价对象所在区域基础设施水平</v>
      </c>
      <c r="D22" s="2886"/>
      <c r="E22" s="2917"/>
      <c r="F22" s="2918" t="s">
        <v>752</v>
      </c>
      <c r="G22" s="2920"/>
    </row>
    <row r="23" s="2366" customFormat="1" ht="14.75" spans="1:18">
      <c r="A23" s="2914"/>
      <c r="B23" s="2918" t="s">
        <v>756</v>
      </c>
      <c r="C23" s="2921"/>
      <c r="D23" s="2844"/>
      <c r="E23" s="2922"/>
      <c r="F23" s="2923" t="s">
        <v>510</v>
      </c>
      <c r="G23" s="2924"/>
      <c r="H23" s="2872"/>
      <c r="I23" s="2873"/>
      <c r="J23" s="2872"/>
      <c r="K23" s="2872"/>
      <c r="L23" s="2873"/>
      <c r="M23" s="2872"/>
      <c r="N23" s="2872"/>
      <c r="O23" s="2873"/>
      <c r="P23" s="2872"/>
      <c r="Q23" s="2872"/>
      <c r="R23" s="2874"/>
    </row>
    <row r="24" s="2366" customFormat="1" ht="14.75" spans="1:18">
      <c r="A24" s="2925"/>
      <c r="B24" s="2923" t="s">
        <v>752</v>
      </c>
      <c r="C24" s="2926">
        <f>C10</f>
        <v>0</v>
      </c>
      <c r="D24" s="2844"/>
      <c r="E24" s="2927"/>
      <c r="F24" s="2927"/>
      <c r="G24" s="2928"/>
      <c r="H24" s="2872"/>
      <c r="I24" s="2873"/>
      <c r="J24" s="2872"/>
      <c r="K24" s="2872"/>
      <c r="L24" s="2873"/>
      <c r="M24" s="2872"/>
      <c r="N24" s="2872"/>
      <c r="O24" s="2873"/>
      <c r="P24" s="2872"/>
      <c r="Q24" s="2872"/>
      <c r="R24" s="2874"/>
    </row>
    <row r="25" s="2366" customFormat="1" spans="2:18">
      <c r="B25" s="2872"/>
      <c r="C25" s="2872"/>
      <c r="D25" s="2872"/>
      <c r="H25" s="2872"/>
      <c r="I25" s="2873"/>
      <c r="J25" s="2872"/>
      <c r="K25" s="2872"/>
      <c r="L25" s="2873"/>
      <c r="M25" s="2872"/>
      <c r="N25" s="2872"/>
      <c r="O25" s="2873"/>
      <c r="P25" s="2872"/>
      <c r="Q25" s="2872"/>
      <c r="R25" s="2874"/>
    </row>
    <row r="26" s="2366" customFormat="1" spans="2:18">
      <c r="B26" s="2872"/>
      <c r="C26" s="2872"/>
      <c r="D26" s="2872"/>
      <c r="H26" s="2872"/>
      <c r="I26" s="2873"/>
      <c r="J26" s="2872"/>
      <c r="K26" s="2872"/>
      <c r="L26" s="2873"/>
      <c r="M26" s="2872"/>
      <c r="N26" s="2872"/>
      <c r="O26" s="2873"/>
      <c r="P26" s="2872"/>
      <c r="Q26" s="2872"/>
      <c r="R26" s="2874"/>
    </row>
    <row r="27" s="2366" customFormat="1" spans="2:18">
      <c r="B27" s="2872"/>
      <c r="C27" s="2872"/>
      <c r="D27" s="2872"/>
      <c r="H27" s="2872"/>
      <c r="I27" s="2873"/>
      <c r="J27" s="2872"/>
      <c r="K27" s="2872"/>
      <c r="L27" s="2873"/>
      <c r="M27" s="2872"/>
      <c r="N27" s="2872"/>
      <c r="O27" s="2873"/>
      <c r="P27" s="2872"/>
      <c r="Q27" s="2872"/>
      <c r="R27" s="2874"/>
    </row>
    <row r="28" s="2366" customFormat="1" spans="2:18">
      <c r="B28" s="2872"/>
      <c r="C28" s="2872"/>
      <c r="D28" s="2872"/>
      <c r="H28" s="2872"/>
      <c r="I28" s="2873"/>
      <c r="J28" s="2872"/>
      <c r="K28" s="2872"/>
      <c r="L28" s="2873"/>
      <c r="M28" s="2872"/>
      <c r="N28" s="2872"/>
      <c r="O28" s="2873"/>
      <c r="P28" s="2872"/>
      <c r="Q28" s="2872"/>
      <c r="R28" s="2874"/>
    </row>
    <row r="29" s="2366" customFormat="1" spans="2:18">
      <c r="B29" s="2872"/>
      <c r="C29" s="2872"/>
      <c r="D29" s="2872"/>
      <c r="H29" s="2872"/>
      <c r="I29" s="2873"/>
      <c r="J29" s="2872"/>
      <c r="K29" s="2872"/>
      <c r="L29" s="2873"/>
      <c r="M29" s="2872"/>
      <c r="N29" s="2872"/>
      <c r="O29" s="2873"/>
      <c r="P29" s="2872"/>
      <c r="Q29" s="2872"/>
      <c r="R29" s="2874"/>
    </row>
    <row r="30" s="2366" customFormat="1" spans="2:18">
      <c r="B30" s="2872"/>
      <c r="C30" s="2872"/>
      <c r="D30" s="2872"/>
      <c r="H30" s="2872"/>
      <c r="I30" s="2873"/>
      <c r="J30" s="2872"/>
      <c r="K30" s="2872"/>
      <c r="L30" s="2873"/>
      <c r="M30" s="2872"/>
      <c r="N30" s="2872"/>
      <c r="O30" s="2873"/>
      <c r="P30" s="2872"/>
      <c r="Q30" s="2872"/>
      <c r="R30" s="2874"/>
    </row>
    <row r="31" s="2366" customFormat="1" spans="2:18">
      <c r="B31" s="2872"/>
      <c r="C31" s="2872"/>
      <c r="D31" s="2872"/>
      <c r="H31" s="2872"/>
      <c r="I31" s="2873"/>
      <c r="J31" s="2872"/>
      <c r="K31" s="2872"/>
      <c r="L31" s="2873"/>
      <c r="M31" s="2872"/>
      <c r="N31" s="2872"/>
      <c r="O31" s="2873"/>
      <c r="P31" s="2872"/>
      <c r="Q31" s="2872"/>
      <c r="R31" s="2874"/>
    </row>
    <row r="32" s="2366" customFormat="1" spans="2:18">
      <c r="B32" s="2872"/>
      <c r="C32" s="2872"/>
      <c r="D32" s="2872"/>
      <c r="H32" s="2872"/>
      <c r="I32" s="2873"/>
      <c r="J32" s="2872"/>
      <c r="K32" s="2872"/>
      <c r="L32" s="2873"/>
      <c r="M32" s="2872"/>
      <c r="N32" s="2872"/>
      <c r="O32" s="2873"/>
      <c r="P32" s="2872"/>
      <c r="Q32" s="2872"/>
      <c r="R32" s="2874"/>
    </row>
    <row r="33" s="2366" customFormat="1" spans="2:18">
      <c r="B33" s="2872"/>
      <c r="C33" s="2872"/>
      <c r="D33" s="2872"/>
      <c r="H33" s="2872"/>
      <c r="I33" s="2873"/>
      <c r="J33" s="2872"/>
      <c r="K33" s="2872"/>
      <c r="L33" s="2873"/>
      <c r="M33" s="2872"/>
      <c r="N33" s="2872"/>
      <c r="O33" s="2873"/>
      <c r="P33" s="2872"/>
      <c r="Q33" s="2872"/>
      <c r="R33" s="2874"/>
    </row>
    <row r="34" s="2366" customFormat="1" spans="2:18">
      <c r="B34" s="2872"/>
      <c r="C34" s="2872"/>
      <c r="D34" s="2872"/>
      <c r="H34" s="2872"/>
      <c r="I34" s="2873"/>
      <c r="J34" s="2872"/>
      <c r="K34" s="2872"/>
      <c r="L34" s="2873"/>
      <c r="M34" s="2872"/>
      <c r="N34" s="2872"/>
      <c r="O34" s="2873"/>
      <c r="P34" s="2872"/>
      <c r="Q34" s="2872"/>
      <c r="R34" s="2874"/>
    </row>
    <row r="35" s="2366" customFormat="1" spans="2:18">
      <c r="B35" s="2872"/>
      <c r="C35" s="2872"/>
      <c r="D35" s="2872"/>
      <c r="H35" s="2872"/>
      <c r="I35" s="2873"/>
      <c r="J35" s="2872"/>
      <c r="K35" s="2872"/>
      <c r="L35" s="2873"/>
      <c r="M35" s="2872"/>
      <c r="N35" s="2872"/>
      <c r="O35" s="2873"/>
      <c r="P35" s="2872"/>
      <c r="Q35" s="2872"/>
      <c r="R35" s="2874"/>
    </row>
    <row r="36" s="2366" customFormat="1" spans="2:18">
      <c r="B36" s="2872"/>
      <c r="C36" s="2872"/>
      <c r="D36" s="2872"/>
      <c r="H36" s="2872"/>
      <c r="I36" s="2873"/>
      <c r="J36" s="2872"/>
      <c r="K36" s="2872"/>
      <c r="L36" s="2873"/>
      <c r="M36" s="2872"/>
      <c r="N36" s="2872"/>
      <c r="O36" s="2873"/>
      <c r="P36" s="2872"/>
      <c r="Q36" s="2872"/>
      <c r="R36" s="2874"/>
    </row>
    <row r="37" s="2366" customFormat="1" spans="2:18">
      <c r="B37" s="2872"/>
      <c r="C37" s="2872"/>
      <c r="D37" s="2872"/>
      <c r="H37" s="2872"/>
      <c r="I37" s="2873"/>
      <c r="J37" s="2872"/>
      <c r="K37" s="2872"/>
      <c r="L37" s="2873"/>
      <c r="M37" s="2872"/>
      <c r="N37" s="2872"/>
      <c r="O37" s="2873"/>
      <c r="P37" s="2872"/>
      <c r="Q37" s="2872"/>
      <c r="R37" s="2874"/>
    </row>
    <row r="38" s="2366" customFormat="1" spans="2:18">
      <c r="B38" s="2872"/>
      <c r="C38" s="2872"/>
      <c r="D38" s="2872"/>
      <c r="E38" s="2872"/>
      <c r="F38" s="2872"/>
      <c r="G38" s="2873"/>
      <c r="H38" s="2872"/>
      <c r="I38" s="2873"/>
      <c r="J38" s="2872"/>
      <c r="K38" s="2872"/>
      <c r="L38" s="2873"/>
      <c r="M38" s="2872"/>
      <c r="N38" s="2872"/>
      <c r="O38" s="2873"/>
      <c r="P38" s="2872"/>
      <c r="Q38" s="2872"/>
      <c r="R38" s="2874"/>
    </row>
    <row r="39" s="2366" customFormat="1" spans="2:18">
      <c r="B39" s="2872"/>
      <c r="C39" s="2872"/>
      <c r="D39" s="2872"/>
      <c r="E39" s="2872"/>
      <c r="F39" s="2872"/>
      <c r="G39" s="2873"/>
      <c r="H39" s="2872"/>
      <c r="I39" s="2873"/>
      <c r="J39" s="2872"/>
      <c r="K39" s="2872"/>
      <c r="L39" s="2873"/>
      <c r="M39" s="2872"/>
      <c r="N39" s="2872"/>
      <c r="O39" s="2873"/>
      <c r="P39" s="2872"/>
      <c r="Q39" s="2872"/>
      <c r="R39" s="2874"/>
    </row>
    <row r="40" s="2366" customFormat="1" spans="2:18">
      <c r="B40" s="2872"/>
      <c r="C40" s="2872"/>
      <c r="D40" s="2872"/>
      <c r="E40" s="2872"/>
      <c r="F40" s="2872"/>
      <c r="G40" s="2873"/>
      <c r="H40" s="2872"/>
      <c r="I40" s="2873"/>
      <c r="J40" s="2872"/>
      <c r="K40" s="2872"/>
      <c r="L40" s="2873"/>
      <c r="M40" s="2872"/>
      <c r="N40" s="2872"/>
      <c r="O40" s="2873"/>
      <c r="P40" s="2872"/>
      <c r="Q40" s="2872"/>
      <c r="R40" s="2874"/>
    </row>
    <row r="41" s="2366" customFormat="1" spans="2:18">
      <c r="B41" s="2872"/>
      <c r="C41" s="2872"/>
      <c r="D41" s="2872"/>
      <c r="E41" s="2872"/>
      <c r="F41" s="2872"/>
      <c r="G41" s="2873"/>
      <c r="H41" s="2872"/>
      <c r="I41" s="2873"/>
      <c r="J41" s="2872"/>
      <c r="K41" s="2872"/>
      <c r="L41" s="2873"/>
      <c r="M41" s="2872"/>
      <c r="N41" s="2872"/>
      <c r="O41" s="2873"/>
      <c r="P41" s="2872"/>
      <c r="Q41" s="2872"/>
      <c r="R41" s="2874"/>
    </row>
    <row r="42" s="2366" customFormat="1" spans="2:18">
      <c r="B42" s="2872"/>
      <c r="C42" s="2872"/>
      <c r="D42" s="2872"/>
      <c r="E42" s="2872"/>
      <c r="F42" s="2872"/>
      <c r="G42" s="2873"/>
      <c r="H42" s="2872"/>
      <c r="I42" s="2873"/>
      <c r="J42" s="2872"/>
      <c r="K42" s="2872"/>
      <c r="L42" s="2873"/>
      <c r="M42" s="2872"/>
      <c r="N42" s="2872"/>
      <c r="O42" s="2873"/>
      <c r="P42" s="2872"/>
      <c r="Q42" s="2872"/>
      <c r="R42" s="2874"/>
    </row>
    <row r="43" s="2366" customFormat="1" spans="2:18">
      <c r="B43" s="2872"/>
      <c r="C43" s="2872"/>
      <c r="D43" s="2872"/>
      <c r="E43" s="2872"/>
      <c r="F43" s="2872"/>
      <c r="G43" s="2873"/>
      <c r="H43" s="2872"/>
      <c r="I43" s="2873"/>
      <c r="J43" s="2872"/>
      <c r="K43" s="2872"/>
      <c r="L43" s="2873"/>
      <c r="M43" s="2872"/>
      <c r="N43" s="2872"/>
      <c r="O43" s="2873"/>
      <c r="P43" s="2872"/>
      <c r="Q43" s="2872"/>
      <c r="R43" s="2874"/>
    </row>
    <row r="44" s="2366" customFormat="1" spans="2:18">
      <c r="B44" s="2872"/>
      <c r="C44" s="2872"/>
      <c r="D44" s="2872"/>
      <c r="E44" s="2872"/>
      <c r="F44" s="2872"/>
      <c r="G44" s="2873"/>
      <c r="H44" s="2872"/>
      <c r="I44" s="2873"/>
      <c r="J44" s="2872"/>
      <c r="K44" s="2872"/>
      <c r="L44" s="2873"/>
      <c r="M44" s="2872"/>
      <c r="N44" s="2872"/>
      <c r="O44" s="2873"/>
      <c r="P44" s="2872"/>
      <c r="Q44" s="2872"/>
      <c r="R44" s="2874"/>
    </row>
    <row r="45" s="2366" customFormat="1" spans="2:18">
      <c r="B45" s="2872"/>
      <c r="C45" s="2872"/>
      <c r="D45" s="2872"/>
      <c r="E45" s="2872"/>
      <c r="F45" s="2872"/>
      <c r="G45" s="2873"/>
      <c r="H45" s="2872"/>
      <c r="I45" s="2873"/>
      <c r="J45" s="2872"/>
      <c r="K45" s="2872"/>
      <c r="L45" s="2873"/>
      <c r="M45" s="2872"/>
      <c r="N45" s="2872"/>
      <c r="O45" s="2873"/>
      <c r="P45" s="2872"/>
      <c r="Q45" s="2872"/>
      <c r="R45" s="2874"/>
    </row>
    <row r="46" s="2366" customFormat="1" spans="2:18">
      <c r="B46" s="2872"/>
      <c r="C46" s="2872"/>
      <c r="D46" s="2872"/>
      <c r="E46" s="2872"/>
      <c r="F46" s="2872"/>
      <c r="G46" s="2873"/>
      <c r="H46" s="2872"/>
      <c r="I46" s="2873"/>
      <c r="J46" s="2872"/>
      <c r="K46" s="2872"/>
      <c r="L46" s="2873"/>
      <c r="M46" s="2872"/>
      <c r="N46" s="2872"/>
      <c r="O46" s="2873"/>
      <c r="P46" s="2872"/>
      <c r="Q46" s="2872"/>
      <c r="R46" s="2874"/>
    </row>
    <row r="47" s="2366" customFormat="1" spans="2:18">
      <c r="B47" s="2872"/>
      <c r="C47" s="2872"/>
      <c r="D47" s="2872"/>
      <c r="E47" s="2872"/>
      <c r="F47" s="2872"/>
      <c r="G47" s="2873"/>
      <c r="H47" s="2872"/>
      <c r="I47" s="2873"/>
      <c r="J47" s="2872"/>
      <c r="K47" s="2872"/>
      <c r="L47" s="2873"/>
      <c r="M47" s="2872"/>
      <c r="N47" s="2872"/>
      <c r="O47" s="2873"/>
      <c r="P47" s="2872"/>
      <c r="Q47" s="2872"/>
      <c r="R47" s="2874"/>
    </row>
    <row r="48" s="2366" customFormat="1" spans="2:18">
      <c r="B48" s="2872"/>
      <c r="C48" s="2872"/>
      <c r="D48" s="2872"/>
      <c r="E48" s="2872"/>
      <c r="F48" s="2872"/>
      <c r="G48" s="2873"/>
      <c r="H48" s="2872"/>
      <c r="I48" s="2873"/>
      <c r="J48" s="2872"/>
      <c r="K48" s="2872"/>
      <c r="L48" s="2873"/>
      <c r="M48" s="2872"/>
      <c r="N48" s="2872"/>
      <c r="O48" s="2873"/>
      <c r="P48" s="2872"/>
      <c r="Q48" s="2872"/>
      <c r="R48" s="2874"/>
    </row>
    <row r="49" s="2366" customFormat="1" spans="2:18">
      <c r="B49" s="2872"/>
      <c r="C49" s="2872"/>
      <c r="D49" s="2872"/>
      <c r="E49" s="2872"/>
      <c r="F49" s="2872"/>
      <c r="G49" s="2873"/>
      <c r="H49" s="2872"/>
      <c r="I49" s="2873"/>
      <c r="J49" s="2872"/>
      <c r="K49" s="2872"/>
      <c r="L49" s="2873"/>
      <c r="M49" s="2872"/>
      <c r="N49" s="2872"/>
      <c r="O49" s="2873"/>
      <c r="P49" s="2872"/>
      <c r="Q49" s="2872"/>
      <c r="R49" s="2874"/>
    </row>
    <row r="50" s="2366" customFormat="1" spans="2:18">
      <c r="B50" s="2872"/>
      <c r="C50" s="2872"/>
      <c r="D50" s="2872"/>
      <c r="E50" s="2872"/>
      <c r="F50" s="2872"/>
      <c r="G50" s="2873"/>
      <c r="H50" s="2872"/>
      <c r="I50" s="2873"/>
      <c r="J50" s="2872"/>
      <c r="K50" s="2872"/>
      <c r="L50" s="2873"/>
      <c r="M50" s="2872"/>
      <c r="N50" s="2872"/>
      <c r="O50" s="2873"/>
      <c r="P50" s="2872"/>
      <c r="Q50" s="2872"/>
      <c r="R50" s="2874"/>
    </row>
    <row r="51" s="2366" customFormat="1" spans="2:18">
      <c r="B51" s="2872"/>
      <c r="C51" s="2872"/>
      <c r="D51" s="2872"/>
      <c r="E51" s="2872"/>
      <c r="F51" s="2872"/>
      <c r="G51" s="2873"/>
      <c r="H51" s="2872"/>
      <c r="I51" s="2873"/>
      <c r="J51" s="2872"/>
      <c r="K51" s="2872"/>
      <c r="L51" s="2873"/>
      <c r="M51" s="2872"/>
      <c r="N51" s="2872"/>
      <c r="O51" s="2873"/>
      <c r="P51" s="2872"/>
      <c r="Q51" s="2872"/>
      <c r="R51" s="2874"/>
    </row>
    <row r="52" s="2366" customFormat="1" spans="2:18">
      <c r="B52" s="2872"/>
      <c r="C52" s="2872"/>
      <c r="D52" s="2872"/>
      <c r="E52" s="2872"/>
      <c r="F52" s="2872"/>
      <c r="G52" s="2873"/>
      <c r="H52" s="2872"/>
      <c r="I52" s="2873"/>
      <c r="J52" s="2872"/>
      <c r="K52" s="2872"/>
      <c r="L52" s="2873"/>
      <c r="M52" s="2872"/>
      <c r="N52" s="2872"/>
      <c r="O52" s="2873"/>
      <c r="P52" s="2872"/>
      <c r="Q52" s="2872"/>
      <c r="R52" s="2874"/>
    </row>
    <row r="53" s="2366" customFormat="1" spans="2:18">
      <c r="B53" s="2872"/>
      <c r="C53" s="2872"/>
      <c r="D53" s="2872"/>
      <c r="E53" s="2872"/>
      <c r="F53" s="2872"/>
      <c r="G53" s="2873"/>
      <c r="H53" s="2872"/>
      <c r="I53" s="2873"/>
      <c r="J53" s="2872"/>
      <c r="K53" s="2872"/>
      <c r="L53" s="2873"/>
      <c r="M53" s="2872"/>
      <c r="N53" s="2872"/>
      <c r="O53" s="2873"/>
      <c r="P53" s="2872"/>
      <c r="Q53" s="2872"/>
      <c r="R53" s="2874"/>
    </row>
    <row r="54" s="2366" customFormat="1" spans="2:18">
      <c r="B54" s="2872"/>
      <c r="C54" s="2872"/>
      <c r="D54" s="2872"/>
      <c r="E54" s="2872"/>
      <c r="F54" s="2872"/>
      <c r="G54" s="2873"/>
      <c r="H54" s="2872"/>
      <c r="I54" s="2873"/>
      <c r="J54" s="2872"/>
      <c r="K54" s="2872"/>
      <c r="L54" s="2873"/>
      <c r="M54" s="2872"/>
      <c r="N54" s="2872"/>
      <c r="O54" s="2873"/>
      <c r="P54" s="2872"/>
      <c r="Q54" s="2872"/>
      <c r="R54" s="2874"/>
    </row>
    <row r="55" s="2366" customFormat="1" spans="2:18">
      <c r="B55" s="2872"/>
      <c r="C55" s="2872"/>
      <c r="D55" s="2872"/>
      <c r="E55" s="2872"/>
      <c r="F55" s="2872"/>
      <c r="G55" s="2873"/>
      <c r="H55" s="2872"/>
      <c r="I55" s="2873"/>
      <c r="J55" s="2872"/>
      <c r="K55" s="2872"/>
      <c r="L55" s="2873"/>
      <c r="M55" s="2872"/>
      <c r="N55" s="2872"/>
      <c r="O55" s="2873"/>
      <c r="P55" s="2872"/>
      <c r="Q55" s="2872"/>
      <c r="R55" s="2874"/>
    </row>
    <row r="56" s="2366" customFormat="1" spans="2:18">
      <c r="B56" s="2872"/>
      <c r="C56" s="2872"/>
      <c r="D56" s="2872"/>
      <c r="E56" s="2872"/>
      <c r="F56" s="2872"/>
      <c r="G56" s="2873"/>
      <c r="H56" s="2872"/>
      <c r="I56" s="2873"/>
      <c r="J56" s="2872"/>
      <c r="K56" s="2872"/>
      <c r="L56" s="2873"/>
      <c r="M56" s="2872"/>
      <c r="N56" s="2872"/>
      <c r="O56" s="2873"/>
      <c r="P56" s="2872"/>
      <c r="Q56" s="2872"/>
      <c r="R56" s="2874"/>
    </row>
    <row r="57" s="2366" customFormat="1" spans="2:18">
      <c r="B57" s="2872"/>
      <c r="C57" s="2872"/>
      <c r="D57" s="2872"/>
      <c r="E57" s="2872"/>
      <c r="F57" s="2872"/>
      <c r="G57" s="2873"/>
      <c r="H57" s="2872"/>
      <c r="I57" s="2873"/>
      <c r="J57" s="2872"/>
      <c r="K57" s="2872"/>
      <c r="L57" s="2873"/>
      <c r="M57" s="2872"/>
      <c r="N57" s="2872"/>
      <c r="O57" s="2873"/>
      <c r="P57" s="2872"/>
      <c r="Q57" s="2872"/>
      <c r="R57" s="2874"/>
    </row>
    <row r="58" s="2366" customFormat="1" spans="2:18">
      <c r="B58" s="2872"/>
      <c r="C58" s="2872"/>
      <c r="D58" s="2872"/>
      <c r="E58" s="2872"/>
      <c r="F58" s="2872"/>
      <c r="G58" s="2873"/>
      <c r="H58" s="2872"/>
      <c r="I58" s="2873"/>
      <c r="J58" s="2872"/>
      <c r="K58" s="2872"/>
      <c r="L58" s="2873"/>
      <c r="M58" s="2872"/>
      <c r="N58" s="2872"/>
      <c r="O58" s="2873"/>
      <c r="P58" s="2872"/>
      <c r="Q58" s="2872"/>
      <c r="R58" s="2874"/>
    </row>
    <row r="59" s="2366" customFormat="1" spans="2:18">
      <c r="B59" s="2872"/>
      <c r="C59" s="2872"/>
      <c r="D59" s="2872"/>
      <c r="E59" s="2872"/>
      <c r="F59" s="2872"/>
      <c r="G59" s="2873"/>
      <c r="H59" s="2872"/>
      <c r="I59" s="2873"/>
      <c r="J59" s="2872"/>
      <c r="K59" s="2872"/>
      <c r="L59" s="2873"/>
      <c r="M59" s="2872"/>
      <c r="N59" s="2872"/>
      <c r="O59" s="2873"/>
      <c r="P59" s="2872"/>
      <c r="Q59" s="2872"/>
      <c r="R59" s="2874"/>
    </row>
    <row r="60" s="2366" customFormat="1" spans="2:18">
      <c r="B60" s="2872"/>
      <c r="C60" s="2872"/>
      <c r="D60" s="2872"/>
      <c r="E60" s="2872"/>
      <c r="F60" s="2872"/>
      <c r="G60" s="2873"/>
      <c r="H60" s="2872"/>
      <c r="I60" s="2873"/>
      <c r="J60" s="2872"/>
      <c r="K60" s="2872"/>
      <c r="L60" s="2873"/>
      <c r="M60" s="2872"/>
      <c r="N60" s="2872"/>
      <c r="O60" s="2873"/>
      <c r="P60" s="2872"/>
      <c r="Q60" s="2872"/>
      <c r="R60" s="2874"/>
    </row>
    <row r="61" s="2366" customFormat="1" spans="2:18">
      <c r="B61" s="2872"/>
      <c r="C61" s="2872"/>
      <c r="D61" s="2872"/>
      <c r="E61" s="2872"/>
      <c r="F61" s="2872"/>
      <c r="G61" s="2873"/>
      <c r="H61" s="2872"/>
      <c r="I61" s="2873"/>
      <c r="J61" s="2872"/>
      <c r="K61" s="2872"/>
      <c r="L61" s="2873"/>
      <c r="M61" s="2872"/>
      <c r="N61" s="2872"/>
      <c r="O61" s="2873"/>
      <c r="P61" s="2872"/>
      <c r="Q61" s="2872"/>
      <c r="R61" s="2874"/>
    </row>
    <row r="62" s="2366" customFormat="1" spans="2:18">
      <c r="B62" s="2872"/>
      <c r="C62" s="2872"/>
      <c r="D62" s="2872"/>
      <c r="E62" s="2872"/>
      <c r="F62" s="2872"/>
      <c r="G62" s="2873"/>
      <c r="H62" s="2872"/>
      <c r="I62" s="2873"/>
      <c r="J62" s="2872"/>
      <c r="K62" s="2872"/>
      <c r="L62" s="2873"/>
      <c r="M62" s="2872"/>
      <c r="N62" s="2872"/>
      <c r="O62" s="2873"/>
      <c r="P62" s="2872"/>
      <c r="Q62" s="2872"/>
      <c r="R62" s="2874"/>
    </row>
    <row r="63" s="2366" customFormat="1" spans="2:18">
      <c r="B63" s="2872"/>
      <c r="C63" s="2872"/>
      <c r="D63" s="2872"/>
      <c r="E63" s="2872"/>
      <c r="F63" s="2872"/>
      <c r="G63" s="2873"/>
      <c r="H63" s="2872"/>
      <c r="I63" s="2873"/>
      <c r="J63" s="2872"/>
      <c r="K63" s="2872"/>
      <c r="L63" s="2873"/>
      <c r="M63" s="2872"/>
      <c r="N63" s="2872"/>
      <c r="O63" s="2873"/>
      <c r="P63" s="2872"/>
      <c r="Q63" s="2872"/>
      <c r="R63" s="2874"/>
    </row>
    <row r="64" s="2366" customFormat="1" spans="2:18">
      <c r="B64" s="2872"/>
      <c r="C64" s="2872"/>
      <c r="D64" s="2872"/>
      <c r="E64" s="2872"/>
      <c r="F64" s="2872"/>
      <c r="G64" s="2873"/>
      <c r="H64" s="2872"/>
      <c r="I64" s="2873"/>
      <c r="J64" s="2872"/>
      <c r="K64" s="2872"/>
      <c r="L64" s="2873"/>
      <c r="M64" s="2872"/>
      <c r="N64" s="2872"/>
      <c r="O64" s="2873"/>
      <c r="P64" s="2872"/>
      <c r="Q64" s="2872"/>
      <c r="R64" s="2874"/>
    </row>
    <row r="65" s="2366" customFormat="1" spans="2:18">
      <c r="B65" s="2872"/>
      <c r="C65" s="2872"/>
      <c r="D65" s="2872"/>
      <c r="E65" s="2872"/>
      <c r="F65" s="2872"/>
      <c r="G65" s="2873"/>
      <c r="H65" s="2872"/>
      <c r="I65" s="2873"/>
      <c r="J65" s="2872"/>
      <c r="K65" s="2872"/>
      <c r="L65" s="2873"/>
      <c r="M65" s="2872"/>
      <c r="N65" s="2872"/>
      <c r="O65" s="2873"/>
      <c r="P65" s="2872"/>
      <c r="Q65" s="2872"/>
      <c r="R65" s="2874"/>
    </row>
    <row r="66" s="2366" customFormat="1" spans="2:18">
      <c r="B66" s="2872"/>
      <c r="C66" s="2872"/>
      <c r="D66" s="2872"/>
      <c r="E66" s="2872"/>
      <c r="F66" s="2872"/>
      <c r="G66" s="2873"/>
      <c r="H66" s="2872"/>
      <c r="I66" s="2873"/>
      <c r="J66" s="2872"/>
      <c r="K66" s="2872"/>
      <c r="L66" s="2873"/>
      <c r="M66" s="2872"/>
      <c r="N66" s="2872"/>
      <c r="O66" s="2873"/>
      <c r="P66" s="2872"/>
      <c r="Q66" s="2872"/>
      <c r="R66" s="2874"/>
    </row>
    <row r="67" s="2366" customFormat="1" spans="2:18">
      <c r="B67" s="2872"/>
      <c r="C67" s="2872"/>
      <c r="D67" s="2872"/>
      <c r="E67" s="2872"/>
      <c r="F67" s="2872"/>
      <c r="G67" s="2873"/>
      <c r="H67" s="2872"/>
      <c r="I67" s="2873"/>
      <c r="J67" s="2872"/>
      <c r="K67" s="2872"/>
      <c r="L67" s="2873"/>
      <c r="M67" s="2872"/>
      <c r="N67" s="2872"/>
      <c r="O67" s="2873"/>
      <c r="P67" s="2872"/>
      <c r="Q67" s="2872"/>
      <c r="R67" s="2874"/>
    </row>
    <row r="68" s="2366" customFormat="1" spans="2:18">
      <c r="B68" s="2872"/>
      <c r="C68" s="2872"/>
      <c r="D68" s="2872"/>
      <c r="E68" s="2872"/>
      <c r="F68" s="2872"/>
      <c r="G68" s="2873"/>
      <c r="H68" s="2872"/>
      <c r="I68" s="2873"/>
      <c r="J68" s="2872"/>
      <c r="K68" s="2872"/>
      <c r="L68" s="2873"/>
      <c r="M68" s="2872"/>
      <c r="N68" s="2872"/>
      <c r="O68" s="2873"/>
      <c r="P68" s="2872"/>
      <c r="Q68" s="2872"/>
      <c r="R68" s="2874"/>
    </row>
    <row r="69" s="2366" customFormat="1" spans="2:18">
      <c r="B69" s="2872"/>
      <c r="C69" s="2872"/>
      <c r="D69" s="2872"/>
      <c r="E69" s="2872"/>
      <c r="F69" s="2872"/>
      <c r="G69" s="2873"/>
      <c r="H69" s="2872"/>
      <c r="I69" s="2873"/>
      <c r="J69" s="2872"/>
      <c r="K69" s="2872"/>
      <c r="L69" s="2873"/>
      <c r="M69" s="2872"/>
      <c r="N69" s="2872"/>
      <c r="O69" s="2873"/>
      <c r="P69" s="2872"/>
      <c r="Q69" s="2872"/>
      <c r="R69" s="2874"/>
    </row>
    <row r="70" s="2366" customFormat="1" spans="2:18">
      <c r="B70" s="2872"/>
      <c r="C70" s="2872"/>
      <c r="D70" s="2872"/>
      <c r="E70" s="2872"/>
      <c r="F70" s="2872"/>
      <c r="G70" s="2873"/>
      <c r="H70" s="2872"/>
      <c r="I70" s="2873"/>
      <c r="J70" s="2872"/>
      <c r="K70" s="2872"/>
      <c r="L70" s="2873"/>
      <c r="M70" s="2872"/>
      <c r="N70" s="2872"/>
      <c r="O70" s="2873"/>
      <c r="P70" s="2872"/>
      <c r="Q70" s="2872"/>
      <c r="R70" s="2874"/>
    </row>
    <row r="71" s="2366" customFormat="1" spans="2:18">
      <c r="B71" s="2872"/>
      <c r="C71" s="2872"/>
      <c r="D71" s="2872"/>
      <c r="E71" s="2872"/>
      <c r="F71" s="2872"/>
      <c r="G71" s="2873"/>
      <c r="H71" s="2872"/>
      <c r="I71" s="2873"/>
      <c r="J71" s="2872"/>
      <c r="K71" s="2872"/>
      <c r="L71" s="2873"/>
      <c r="M71" s="2872"/>
      <c r="N71" s="2872"/>
      <c r="O71" s="2873"/>
      <c r="P71" s="2872"/>
      <c r="Q71" s="2872"/>
      <c r="R71" s="2874"/>
    </row>
    <row r="72" s="2366" customFormat="1" spans="2:18">
      <c r="B72" s="2872"/>
      <c r="C72" s="2872"/>
      <c r="D72" s="2872"/>
      <c r="E72" s="2872"/>
      <c r="F72" s="2872"/>
      <c r="G72" s="2873"/>
      <c r="H72" s="2872"/>
      <c r="I72" s="2873"/>
      <c r="J72" s="2872"/>
      <c r="K72" s="2872"/>
      <c r="L72" s="2873"/>
      <c r="M72" s="2872"/>
      <c r="N72" s="2872"/>
      <c r="O72" s="2873"/>
      <c r="P72" s="2872"/>
      <c r="Q72" s="2872"/>
      <c r="R72" s="2874"/>
    </row>
    <row r="73" s="2366" customFormat="1" spans="2:18">
      <c r="B73" s="2872"/>
      <c r="C73" s="2872"/>
      <c r="D73" s="2872"/>
      <c r="E73" s="2872"/>
      <c r="F73" s="2872"/>
      <c r="G73" s="2873"/>
      <c r="H73" s="2872"/>
      <c r="I73" s="2873"/>
      <c r="J73" s="2872"/>
      <c r="K73" s="2872"/>
      <c r="L73" s="2873"/>
      <c r="M73" s="2872"/>
      <c r="N73" s="2872"/>
      <c r="O73" s="2873"/>
      <c r="P73" s="2872"/>
      <c r="Q73" s="2872"/>
      <c r="R73" s="2874"/>
    </row>
    <row r="74" s="2366" customFormat="1" spans="2:18">
      <c r="B74" s="2872"/>
      <c r="C74" s="2872"/>
      <c r="D74" s="2872"/>
      <c r="E74" s="2872"/>
      <c r="F74" s="2872"/>
      <c r="G74" s="2873"/>
      <c r="H74" s="2872"/>
      <c r="I74" s="2873"/>
      <c r="J74" s="2872"/>
      <c r="K74" s="2872"/>
      <c r="L74" s="2873"/>
      <c r="M74" s="2872"/>
      <c r="N74" s="2872"/>
      <c r="O74" s="2873"/>
      <c r="P74" s="2872"/>
      <c r="Q74" s="2872"/>
      <c r="R74" s="2874"/>
    </row>
    <row r="75" s="2366" customFormat="1" spans="2:18">
      <c r="B75" s="2872"/>
      <c r="C75" s="2872"/>
      <c r="D75" s="2872"/>
      <c r="E75" s="2872"/>
      <c r="F75" s="2872"/>
      <c r="G75" s="2873"/>
      <c r="H75" s="2872"/>
      <c r="I75" s="2873"/>
      <c r="J75" s="2872"/>
      <c r="K75" s="2872"/>
      <c r="L75" s="2873"/>
      <c r="M75" s="2872"/>
      <c r="N75" s="2872"/>
      <c r="O75" s="2873"/>
      <c r="P75" s="2872"/>
      <c r="Q75" s="2872"/>
      <c r="R75" s="2874"/>
    </row>
    <row r="76" s="2366" customFormat="1" spans="2:18">
      <c r="B76" s="2872"/>
      <c r="C76" s="2872"/>
      <c r="D76" s="2872"/>
      <c r="E76" s="2872"/>
      <c r="F76" s="2872"/>
      <c r="G76" s="2873"/>
      <c r="H76" s="2872"/>
      <c r="I76" s="2873"/>
      <c r="J76" s="2872"/>
      <c r="K76" s="2872"/>
      <c r="L76" s="2873"/>
      <c r="M76" s="2872"/>
      <c r="N76" s="2872"/>
      <c r="O76" s="2873"/>
      <c r="P76" s="2872"/>
      <c r="Q76" s="2872"/>
      <c r="R76" s="2874"/>
    </row>
    <row r="77" s="2366" customFormat="1" spans="2:18">
      <c r="B77" s="2872"/>
      <c r="C77" s="2872"/>
      <c r="D77" s="2872"/>
      <c r="E77" s="2872"/>
      <c r="F77" s="2872"/>
      <c r="G77" s="2873"/>
      <c r="H77" s="2872"/>
      <c r="I77" s="2873"/>
      <c r="J77" s="2872"/>
      <c r="K77" s="2872"/>
      <c r="L77" s="2873"/>
      <c r="M77" s="2872"/>
      <c r="N77" s="2872"/>
      <c r="O77" s="2873"/>
      <c r="P77" s="2872"/>
      <c r="Q77" s="2872"/>
      <c r="R77" s="2874"/>
    </row>
    <row r="78" s="2366" customFormat="1" spans="2:18">
      <c r="B78" s="2872"/>
      <c r="C78" s="2872"/>
      <c r="D78" s="2872"/>
      <c r="E78" s="2872"/>
      <c r="F78" s="2872"/>
      <c r="G78" s="2873"/>
      <c r="H78" s="2872"/>
      <c r="I78" s="2873"/>
      <c r="J78" s="2872"/>
      <c r="K78" s="2872"/>
      <c r="L78" s="2873"/>
      <c r="M78" s="2872"/>
      <c r="N78" s="2872"/>
      <c r="O78" s="2873"/>
      <c r="P78" s="2872"/>
      <c r="Q78" s="2872"/>
      <c r="R78" s="2874"/>
    </row>
    <row r="79" s="2366" customFormat="1" spans="2:18">
      <c r="B79" s="2872"/>
      <c r="C79" s="2872"/>
      <c r="D79" s="2872"/>
      <c r="E79" s="2872"/>
      <c r="F79" s="2872"/>
      <c r="G79" s="2873"/>
      <c r="H79" s="2872"/>
      <c r="I79" s="2873"/>
      <c r="J79" s="2872"/>
      <c r="K79" s="2872"/>
      <c r="L79" s="2873"/>
      <c r="M79" s="2872"/>
      <c r="N79" s="2872"/>
      <c r="O79" s="2873"/>
      <c r="P79" s="2872"/>
      <c r="Q79" s="2872"/>
      <c r="R79" s="2874"/>
    </row>
    <row r="80" s="2366" customFormat="1" spans="2:18">
      <c r="B80" s="2872"/>
      <c r="C80" s="2872"/>
      <c r="D80" s="2872"/>
      <c r="E80" s="2872"/>
      <c r="F80" s="2872"/>
      <c r="G80" s="2873"/>
      <c r="H80" s="2872"/>
      <c r="I80" s="2873"/>
      <c r="J80" s="2872"/>
      <c r="K80" s="2872"/>
      <c r="L80" s="2873"/>
      <c r="M80" s="2872"/>
      <c r="N80" s="2872"/>
      <c r="O80" s="2873"/>
      <c r="P80" s="2872"/>
      <c r="Q80" s="2872"/>
      <c r="R80" s="2874"/>
    </row>
    <row r="81" s="2366" customFormat="1" spans="2:18">
      <c r="B81" s="2872"/>
      <c r="C81" s="2872"/>
      <c r="D81" s="2872"/>
      <c r="E81" s="2872"/>
      <c r="F81" s="2872"/>
      <c r="G81" s="2873"/>
      <c r="H81" s="2872"/>
      <c r="I81" s="2873"/>
      <c r="J81" s="2872"/>
      <c r="K81" s="2872"/>
      <c r="L81" s="2873"/>
      <c r="M81" s="2872"/>
      <c r="N81" s="2872"/>
      <c r="O81" s="2873"/>
      <c r="P81" s="2872"/>
      <c r="Q81" s="2872"/>
      <c r="R81" s="2874"/>
    </row>
    <row r="82" s="2366" customFormat="1" spans="2:18">
      <c r="B82" s="2872"/>
      <c r="C82" s="2872"/>
      <c r="D82" s="2872"/>
      <c r="E82" s="2872"/>
      <c r="F82" s="2872"/>
      <c r="G82" s="2873"/>
      <c r="H82" s="2872"/>
      <c r="I82" s="2873"/>
      <c r="J82" s="2872"/>
      <c r="K82" s="2872"/>
      <c r="L82" s="2873"/>
      <c r="M82" s="2872"/>
      <c r="N82" s="2872"/>
      <c r="O82" s="2873"/>
      <c r="P82" s="2872"/>
      <c r="Q82" s="2872"/>
      <c r="R82" s="2874"/>
    </row>
    <row r="83" s="2366" customFormat="1" spans="2:18">
      <c r="B83" s="2872"/>
      <c r="C83" s="2872"/>
      <c r="D83" s="2872"/>
      <c r="E83" s="2872"/>
      <c r="F83" s="2872"/>
      <c r="G83" s="2873"/>
      <c r="H83" s="2872"/>
      <c r="I83" s="2873"/>
      <c r="J83" s="2872"/>
      <c r="K83" s="2872"/>
      <c r="L83" s="2873"/>
      <c r="M83" s="2872"/>
      <c r="N83" s="2872"/>
      <c r="O83" s="2873"/>
      <c r="P83" s="2872"/>
      <c r="Q83" s="2872"/>
      <c r="R83" s="2874"/>
    </row>
    <row r="84" s="2366" customFormat="1" spans="2:18">
      <c r="B84" s="2872"/>
      <c r="C84" s="2872"/>
      <c r="D84" s="2872"/>
      <c r="E84" s="2872"/>
      <c r="F84" s="2872"/>
      <c r="G84" s="2873"/>
      <c r="H84" s="2872"/>
      <c r="I84" s="2873"/>
      <c r="J84" s="2872"/>
      <c r="K84" s="2872"/>
      <c r="L84" s="2873"/>
      <c r="M84" s="2872"/>
      <c r="N84" s="2872"/>
      <c r="O84" s="2873"/>
      <c r="P84" s="2872"/>
      <c r="Q84" s="2872"/>
      <c r="R84" s="2874"/>
    </row>
    <row r="85" s="2366" customFormat="1" spans="2:18">
      <c r="B85" s="2872"/>
      <c r="C85" s="2872"/>
      <c r="D85" s="2872"/>
      <c r="E85" s="2872"/>
      <c r="F85" s="2872"/>
      <c r="G85" s="2873"/>
      <c r="H85" s="2872"/>
      <c r="I85" s="2873"/>
      <c r="J85" s="2872"/>
      <c r="K85" s="2872"/>
      <c r="L85" s="2873"/>
      <c r="M85" s="2872"/>
      <c r="N85" s="2872"/>
      <c r="O85" s="2873"/>
      <c r="P85" s="2872"/>
      <c r="Q85" s="2872"/>
      <c r="R85" s="2874"/>
    </row>
    <row r="86" s="2366" customFormat="1" spans="2:18">
      <c r="B86" s="2872"/>
      <c r="C86" s="2872"/>
      <c r="D86" s="2872"/>
      <c r="E86" s="2872"/>
      <c r="F86" s="2872"/>
      <c r="G86" s="2873"/>
      <c r="H86" s="2872"/>
      <c r="I86" s="2873"/>
      <c r="J86" s="2872"/>
      <c r="K86" s="2872"/>
      <c r="L86" s="2873"/>
      <c r="M86" s="2872"/>
      <c r="N86" s="2872"/>
      <c r="O86" s="2873"/>
      <c r="P86" s="2872"/>
      <c r="Q86" s="2872"/>
      <c r="R86" s="2874"/>
    </row>
    <row r="87" s="2366" customFormat="1" spans="2:18">
      <c r="B87" s="2872"/>
      <c r="C87" s="2872"/>
      <c r="D87" s="2872"/>
      <c r="E87" s="2872"/>
      <c r="F87" s="2872"/>
      <c r="G87" s="2873"/>
      <c r="H87" s="2872"/>
      <c r="I87" s="2873"/>
      <c r="J87" s="2872"/>
      <c r="K87" s="2872"/>
      <c r="L87" s="2873"/>
      <c r="M87" s="2872"/>
      <c r="N87" s="2872"/>
      <c r="O87" s="2873"/>
      <c r="P87" s="2872"/>
      <c r="Q87" s="2872"/>
      <c r="R87" s="2874"/>
    </row>
    <row r="88" s="2366" customFormat="1" spans="2:18">
      <c r="B88" s="2872"/>
      <c r="C88" s="2872"/>
      <c r="D88" s="2872"/>
      <c r="E88" s="2872"/>
      <c r="F88" s="2872"/>
      <c r="G88" s="2873"/>
      <c r="H88" s="2872"/>
      <c r="I88" s="2873"/>
      <c r="J88" s="2872"/>
      <c r="K88" s="2872"/>
      <c r="L88" s="2873"/>
      <c r="M88" s="2872"/>
      <c r="N88" s="2872"/>
      <c r="O88" s="2873"/>
      <c r="P88" s="2872"/>
      <c r="Q88" s="2872"/>
      <c r="R88" s="2874"/>
    </row>
    <row r="89" s="2366" customFormat="1" spans="2:18">
      <c r="B89" s="2872"/>
      <c r="C89" s="2872"/>
      <c r="D89" s="2872"/>
      <c r="E89" s="2872"/>
      <c r="F89" s="2872"/>
      <c r="G89" s="2873"/>
      <c r="H89" s="2872"/>
      <c r="I89" s="2873"/>
      <c r="J89" s="2872"/>
      <c r="K89" s="2872"/>
      <c r="L89" s="2873"/>
      <c r="M89" s="2872"/>
      <c r="N89" s="2872"/>
      <c r="O89" s="2873"/>
      <c r="P89" s="2872"/>
      <c r="Q89" s="2872"/>
      <c r="R89" s="2874"/>
    </row>
    <row r="90" s="2366" customFormat="1" spans="2:18">
      <c r="B90" s="2872"/>
      <c r="C90" s="2872"/>
      <c r="D90" s="2872"/>
      <c r="E90" s="2872"/>
      <c r="F90" s="2872"/>
      <c r="G90" s="2873"/>
      <c r="H90" s="2872"/>
      <c r="I90" s="2873"/>
      <c r="J90" s="2872"/>
      <c r="K90" s="2872"/>
      <c r="L90" s="2873"/>
      <c r="M90" s="2872"/>
      <c r="N90" s="2872"/>
      <c r="O90" s="2873"/>
      <c r="P90" s="2872"/>
      <c r="Q90" s="2872"/>
      <c r="R90" s="2874"/>
    </row>
    <row r="91" s="2366" customFormat="1" spans="2:18">
      <c r="B91" s="2872"/>
      <c r="C91" s="2872"/>
      <c r="D91" s="2872"/>
      <c r="E91" s="2872"/>
      <c r="F91" s="2872"/>
      <c r="G91" s="2873"/>
      <c r="H91" s="2872"/>
      <c r="I91" s="2873"/>
      <c r="J91" s="2872"/>
      <c r="K91" s="2872"/>
      <c r="L91" s="2873"/>
      <c r="M91" s="2872"/>
      <c r="N91" s="2872"/>
      <c r="O91" s="2873"/>
      <c r="P91" s="2872"/>
      <c r="Q91" s="2872"/>
      <c r="R91" s="2874"/>
    </row>
    <row r="92" s="2366" customFormat="1" spans="2:18">
      <c r="B92" s="2872"/>
      <c r="C92" s="2872"/>
      <c r="D92" s="2872"/>
      <c r="E92" s="2872"/>
      <c r="F92" s="2872"/>
      <c r="G92" s="2873"/>
      <c r="H92" s="2872"/>
      <c r="I92" s="2873"/>
      <c r="J92" s="2872"/>
      <c r="K92" s="2872"/>
      <c r="L92" s="2873"/>
      <c r="M92" s="2872"/>
      <c r="N92" s="2872"/>
      <c r="O92" s="2873"/>
      <c r="P92" s="2872"/>
      <c r="Q92" s="2872"/>
      <c r="R92" s="2874"/>
    </row>
    <row r="93" s="2366" customFormat="1" spans="2:18">
      <c r="B93" s="2872"/>
      <c r="C93" s="2872"/>
      <c r="D93" s="2872"/>
      <c r="E93" s="2872"/>
      <c r="F93" s="2872"/>
      <c r="G93" s="2873"/>
      <c r="H93" s="2872"/>
      <c r="I93" s="2873"/>
      <c r="J93" s="2872"/>
      <c r="K93" s="2872"/>
      <c r="L93" s="2873"/>
      <c r="M93" s="2872"/>
      <c r="N93" s="2872"/>
      <c r="O93" s="2873"/>
      <c r="P93" s="2872"/>
      <c r="Q93" s="2872"/>
      <c r="R93" s="2874"/>
    </row>
    <row r="94" s="2366" customFormat="1" spans="2:18">
      <c r="B94" s="2872"/>
      <c r="C94" s="2872"/>
      <c r="D94" s="2872"/>
      <c r="E94" s="2872"/>
      <c r="F94" s="2872"/>
      <c r="G94" s="2873"/>
      <c r="H94" s="2872"/>
      <c r="I94" s="2873"/>
      <c r="J94" s="2872"/>
      <c r="K94" s="2872"/>
      <c r="L94" s="2873"/>
      <c r="M94" s="2872"/>
      <c r="N94" s="2872"/>
      <c r="O94" s="2873"/>
      <c r="P94" s="2872"/>
      <c r="Q94" s="2872"/>
      <c r="R94" s="2874"/>
    </row>
    <row r="95" s="2366" customFormat="1" spans="2:18">
      <c r="B95" s="2872"/>
      <c r="C95" s="2872"/>
      <c r="D95" s="2872"/>
      <c r="E95" s="2872"/>
      <c r="F95" s="2872"/>
      <c r="G95" s="2873"/>
      <c r="H95" s="2872"/>
      <c r="I95" s="2873"/>
      <c r="J95" s="2872"/>
      <c r="K95" s="2872"/>
      <c r="L95" s="2873"/>
      <c r="M95" s="2872"/>
      <c r="N95" s="2872"/>
      <c r="O95" s="2873"/>
      <c r="P95" s="2872"/>
      <c r="Q95" s="2872"/>
      <c r="R95" s="2874"/>
    </row>
    <row r="96" s="2366" customFormat="1" spans="2:18">
      <c r="B96" s="2872"/>
      <c r="C96" s="2872"/>
      <c r="D96" s="2872"/>
      <c r="E96" s="2872"/>
      <c r="F96" s="2872"/>
      <c r="G96" s="2873"/>
      <c r="H96" s="2872"/>
      <c r="I96" s="2873"/>
      <c r="J96" s="2872"/>
      <c r="K96" s="2872"/>
      <c r="L96" s="2873"/>
      <c r="M96" s="2872"/>
      <c r="N96" s="2872"/>
      <c r="O96" s="2873"/>
      <c r="P96" s="2872"/>
      <c r="Q96" s="2872"/>
      <c r="R96" s="2874"/>
    </row>
    <row r="97" s="2366" customFormat="1" spans="2:18">
      <c r="B97" s="2872"/>
      <c r="C97" s="2872"/>
      <c r="D97" s="2872"/>
      <c r="E97" s="2872"/>
      <c r="F97" s="2872"/>
      <c r="G97" s="2873"/>
      <c r="H97" s="2872"/>
      <c r="I97" s="2873"/>
      <c r="J97" s="2872"/>
      <c r="K97" s="2872"/>
      <c r="L97" s="2873"/>
      <c r="M97" s="2872"/>
      <c r="N97" s="2872"/>
      <c r="O97" s="2873"/>
      <c r="P97" s="2872"/>
      <c r="Q97" s="2872"/>
      <c r="R97" s="2874"/>
    </row>
    <row r="98" s="2366" customFormat="1" spans="2:18">
      <c r="B98" s="2872"/>
      <c r="C98" s="2872"/>
      <c r="D98" s="2872"/>
      <c r="E98" s="2872"/>
      <c r="F98" s="2872"/>
      <c r="G98" s="2873"/>
      <c r="H98" s="2872"/>
      <c r="I98" s="2873"/>
      <c r="J98" s="2872"/>
      <c r="K98" s="2872"/>
      <c r="L98" s="2873"/>
      <c r="M98" s="2872"/>
      <c r="N98" s="2872"/>
      <c r="O98" s="2873"/>
      <c r="P98" s="2872"/>
      <c r="Q98" s="2872"/>
      <c r="R98" s="2874"/>
    </row>
    <row r="99" s="2366" customFormat="1" spans="2:18">
      <c r="B99" s="2872"/>
      <c r="C99" s="2872"/>
      <c r="D99" s="2872"/>
      <c r="E99" s="2872"/>
      <c r="F99" s="2872"/>
      <c r="G99" s="2873"/>
      <c r="H99" s="2872"/>
      <c r="I99" s="2873"/>
      <c r="J99" s="2872"/>
      <c r="K99" s="2872"/>
      <c r="L99" s="2873"/>
      <c r="M99" s="2872"/>
      <c r="N99" s="2872"/>
      <c r="O99" s="2873"/>
      <c r="P99" s="2872"/>
      <c r="Q99" s="2872"/>
      <c r="R99" s="2874"/>
    </row>
    <row r="100" s="2366" customFormat="1" spans="2:18">
      <c r="B100" s="2872"/>
      <c r="C100" s="2872"/>
      <c r="D100" s="2872"/>
      <c r="E100" s="2872"/>
      <c r="F100" s="2872"/>
      <c r="G100" s="2873"/>
      <c r="H100" s="2872"/>
      <c r="I100" s="2873"/>
      <c r="J100" s="2872"/>
      <c r="K100" s="2872"/>
      <c r="L100" s="2873"/>
      <c r="M100" s="2872"/>
      <c r="N100" s="2872"/>
      <c r="O100" s="2873"/>
      <c r="P100" s="2872"/>
      <c r="Q100" s="2872"/>
      <c r="R100" s="2874"/>
    </row>
    <row r="101" s="2366" customFormat="1" spans="2:18">
      <c r="B101" s="2872"/>
      <c r="C101" s="2872"/>
      <c r="D101" s="2872"/>
      <c r="E101" s="2872"/>
      <c r="F101" s="2872"/>
      <c r="G101" s="2873"/>
      <c r="H101" s="2872"/>
      <c r="I101" s="2873"/>
      <c r="J101" s="2872"/>
      <c r="K101" s="2872"/>
      <c r="L101" s="2873"/>
      <c r="M101" s="2872"/>
      <c r="N101" s="2872"/>
      <c r="O101" s="2873"/>
      <c r="P101" s="2872"/>
      <c r="Q101" s="2872"/>
      <c r="R101" s="2874"/>
    </row>
    <row r="102" s="2366" customFormat="1" spans="2:18">
      <c r="B102" s="2872"/>
      <c r="C102" s="2872"/>
      <c r="D102" s="2872"/>
      <c r="E102" s="2872"/>
      <c r="F102" s="2872"/>
      <c r="G102" s="2873"/>
      <c r="H102" s="2872"/>
      <c r="I102" s="2873"/>
      <c r="J102" s="2872"/>
      <c r="K102" s="2872"/>
      <c r="L102" s="2873"/>
      <c r="M102" s="2872"/>
      <c r="N102" s="2872"/>
      <c r="O102" s="2873"/>
      <c r="P102" s="2872"/>
      <c r="Q102" s="2872"/>
      <c r="R102" s="2874"/>
    </row>
    <row r="103" s="2366" customFormat="1" spans="2:18">
      <c r="B103" s="2872"/>
      <c r="C103" s="2872"/>
      <c r="D103" s="2872"/>
      <c r="E103" s="2872"/>
      <c r="F103" s="2872"/>
      <c r="G103" s="2873"/>
      <c r="H103" s="2872"/>
      <c r="I103" s="2873"/>
      <c r="J103" s="2872"/>
      <c r="K103" s="2872"/>
      <c r="L103" s="2873"/>
      <c r="M103" s="2872"/>
      <c r="N103" s="2872"/>
      <c r="O103" s="2873"/>
      <c r="P103" s="2872"/>
      <c r="Q103" s="2872"/>
      <c r="R103" s="2874"/>
    </row>
    <row r="104" s="2366" customFormat="1" spans="2:18">
      <c r="B104" s="2872"/>
      <c r="C104" s="2872"/>
      <c r="D104" s="2872"/>
      <c r="E104" s="2872"/>
      <c r="F104" s="2872"/>
      <c r="G104" s="2873"/>
      <c r="H104" s="2872"/>
      <c r="I104" s="2873"/>
      <c r="J104" s="2872"/>
      <c r="K104" s="2872"/>
      <c r="L104" s="2873"/>
      <c r="M104" s="2872"/>
      <c r="N104" s="2872"/>
      <c r="O104" s="2873"/>
      <c r="P104" s="2872"/>
      <c r="Q104" s="2872"/>
      <c r="R104" s="2874"/>
    </row>
    <row r="105" s="2366" customFormat="1" spans="2:18">
      <c r="B105" s="2872"/>
      <c r="C105" s="2872"/>
      <c r="D105" s="2872"/>
      <c r="E105" s="2872"/>
      <c r="F105" s="2872"/>
      <c r="G105" s="2873"/>
      <c r="H105" s="2872"/>
      <c r="I105" s="2873"/>
      <c r="J105" s="2872"/>
      <c r="K105" s="2872"/>
      <c r="L105" s="2873"/>
      <c r="M105" s="2872"/>
      <c r="N105" s="2872"/>
      <c r="O105" s="2873"/>
      <c r="P105" s="2872"/>
      <c r="Q105" s="2872"/>
      <c r="R105" s="2874"/>
    </row>
    <row r="106" s="2366" customFormat="1" spans="2:18">
      <c r="B106" s="2872"/>
      <c r="C106" s="2872"/>
      <c r="D106" s="2872"/>
      <c r="E106" s="2872"/>
      <c r="F106" s="2872"/>
      <c r="G106" s="2873"/>
      <c r="H106" s="2872"/>
      <c r="I106" s="2873"/>
      <c r="J106" s="2872"/>
      <c r="K106" s="2872"/>
      <c r="L106" s="2873"/>
      <c r="M106" s="2872"/>
      <c r="N106" s="2872"/>
      <c r="O106" s="2873"/>
      <c r="P106" s="2872"/>
      <c r="Q106" s="2872"/>
      <c r="R106" s="2874"/>
    </row>
    <row r="107" s="2366" customFormat="1" spans="2:18">
      <c r="B107" s="2872"/>
      <c r="C107" s="2872"/>
      <c r="D107" s="2872"/>
      <c r="E107" s="2872"/>
      <c r="F107" s="2872"/>
      <c r="G107" s="2873"/>
      <c r="H107" s="2872"/>
      <c r="I107" s="2873"/>
      <c r="J107" s="2872"/>
      <c r="K107" s="2872"/>
      <c r="L107" s="2873"/>
      <c r="M107" s="2872"/>
      <c r="N107" s="2872"/>
      <c r="O107" s="2873"/>
      <c r="P107" s="2872"/>
      <c r="Q107" s="2872"/>
      <c r="R107" s="2874"/>
    </row>
    <row r="108" s="2366" customFormat="1" spans="2:18">
      <c r="B108" s="2872"/>
      <c r="C108" s="2872"/>
      <c r="D108" s="2872"/>
      <c r="E108" s="2872"/>
      <c r="F108" s="2872"/>
      <c r="G108" s="2873"/>
      <c r="H108" s="2872"/>
      <c r="I108" s="2873"/>
      <c r="J108" s="2872"/>
      <c r="K108" s="2872"/>
      <c r="L108" s="2873"/>
      <c r="M108" s="2872"/>
      <c r="N108" s="2872"/>
      <c r="O108" s="2873"/>
      <c r="P108" s="2872"/>
      <c r="Q108" s="2872"/>
      <c r="R108" s="2874"/>
    </row>
    <row r="109" s="2366" customFormat="1" spans="2:18">
      <c r="B109" s="2872"/>
      <c r="C109" s="2872"/>
      <c r="D109" s="2872"/>
      <c r="E109" s="2872"/>
      <c r="F109" s="2872"/>
      <c r="G109" s="2873"/>
      <c r="H109" s="2872"/>
      <c r="I109" s="2873"/>
      <c r="J109" s="2872"/>
      <c r="K109" s="2872"/>
      <c r="L109" s="2873"/>
      <c r="M109" s="2872"/>
      <c r="N109" s="2872"/>
      <c r="O109" s="2873"/>
      <c r="P109" s="2872"/>
      <c r="Q109" s="2872"/>
      <c r="R109" s="2874"/>
    </row>
    <row r="110" s="2366" customFormat="1" spans="2:18">
      <c r="B110" s="2872"/>
      <c r="C110" s="2872"/>
      <c r="D110" s="2872"/>
      <c r="E110" s="2872"/>
      <c r="F110" s="2872"/>
      <c r="G110" s="2873"/>
      <c r="H110" s="2872"/>
      <c r="I110" s="2873"/>
      <c r="J110" s="2872"/>
      <c r="K110" s="2872"/>
      <c r="L110" s="2873"/>
      <c r="M110" s="2872"/>
      <c r="N110" s="2872"/>
      <c r="O110" s="2873"/>
      <c r="P110" s="2872"/>
      <c r="Q110" s="2872"/>
      <c r="R110" s="2874"/>
    </row>
    <row r="111" s="2366" customFormat="1" spans="2:18">
      <c r="B111" s="2872"/>
      <c r="C111" s="2872"/>
      <c r="D111" s="2872"/>
      <c r="E111" s="2872"/>
      <c r="F111" s="2872"/>
      <c r="G111" s="2873"/>
      <c r="H111" s="2872"/>
      <c r="I111" s="2873"/>
      <c r="J111" s="2872"/>
      <c r="K111" s="2872"/>
      <c r="L111" s="2873"/>
      <c r="M111" s="2872"/>
      <c r="N111" s="2872"/>
      <c r="O111" s="2873"/>
      <c r="P111" s="2872"/>
      <c r="Q111" s="2872"/>
      <c r="R111" s="2874"/>
    </row>
    <row r="112" s="2366" customFormat="1" spans="2:18">
      <c r="B112" s="2872"/>
      <c r="C112" s="2872"/>
      <c r="D112" s="2872"/>
      <c r="E112" s="2872"/>
      <c r="F112" s="2872"/>
      <c r="G112" s="2873"/>
      <c r="H112" s="2872"/>
      <c r="I112" s="2873"/>
      <c r="J112" s="2872"/>
      <c r="K112" s="2872"/>
      <c r="L112" s="2873"/>
      <c r="M112" s="2872"/>
      <c r="N112" s="2872"/>
      <c r="O112" s="2873"/>
      <c r="P112" s="2872"/>
      <c r="Q112" s="2872"/>
      <c r="R112" s="2874"/>
    </row>
    <row r="113" s="2366" customFormat="1" spans="2:18">
      <c r="B113" s="2872"/>
      <c r="C113" s="2872"/>
      <c r="D113" s="2872"/>
      <c r="E113" s="2872"/>
      <c r="F113" s="2872"/>
      <c r="G113" s="2873"/>
      <c r="H113" s="2872"/>
      <c r="I113" s="2873"/>
      <c r="J113" s="2872"/>
      <c r="K113" s="2872"/>
      <c r="L113" s="2873"/>
      <c r="M113" s="2872"/>
      <c r="N113" s="2872"/>
      <c r="O113" s="2873"/>
      <c r="P113" s="2872"/>
      <c r="Q113" s="2872"/>
      <c r="R113" s="2874"/>
    </row>
    <row r="114" s="2366" customFormat="1" spans="2:18">
      <c r="B114" s="2872"/>
      <c r="C114" s="2872"/>
      <c r="D114" s="2872"/>
      <c r="E114" s="2872"/>
      <c r="F114" s="2872"/>
      <c r="G114" s="2873"/>
      <c r="H114" s="2872"/>
      <c r="I114" s="2873"/>
      <c r="J114" s="2872"/>
      <c r="K114" s="2872"/>
      <c r="L114" s="2873"/>
      <c r="M114" s="2872"/>
      <c r="N114" s="2872"/>
      <c r="O114" s="2873"/>
      <c r="P114" s="2872"/>
      <c r="Q114" s="2872"/>
      <c r="R114" s="2874"/>
    </row>
    <row r="115" s="2366" customFormat="1" spans="2:18">
      <c r="B115" s="2872"/>
      <c r="C115" s="2872"/>
      <c r="D115" s="2872"/>
      <c r="E115" s="2872"/>
      <c r="F115" s="2872"/>
      <c r="G115" s="2873"/>
      <c r="H115" s="2872"/>
      <c r="I115" s="2873"/>
      <c r="J115" s="2872"/>
      <c r="K115" s="2872"/>
      <c r="L115" s="2873"/>
      <c r="M115" s="2872"/>
      <c r="N115" s="2872"/>
      <c r="O115" s="2873"/>
      <c r="P115" s="2872"/>
      <c r="Q115" s="2872"/>
      <c r="R115" s="2874"/>
    </row>
    <row r="116" s="2366" customFormat="1" spans="2:18">
      <c r="B116" s="2872"/>
      <c r="C116" s="2872"/>
      <c r="D116" s="2872"/>
      <c r="E116" s="2872"/>
      <c r="F116" s="2872"/>
      <c r="G116" s="2873"/>
      <c r="H116" s="2872"/>
      <c r="I116" s="2873"/>
      <c r="J116" s="2872"/>
      <c r="K116" s="2872"/>
      <c r="L116" s="2873"/>
      <c r="M116" s="2872"/>
      <c r="N116" s="2872"/>
      <c r="O116" s="2873"/>
      <c r="P116" s="2872"/>
      <c r="Q116" s="2872"/>
      <c r="R116" s="2874"/>
    </row>
    <row r="117" s="2366" customFormat="1" spans="2:18">
      <c r="B117" s="2872"/>
      <c r="C117" s="2872"/>
      <c r="D117" s="2872"/>
      <c r="E117" s="2872"/>
      <c r="F117" s="2872"/>
      <c r="G117" s="2873"/>
      <c r="H117" s="2872"/>
      <c r="I117" s="2873"/>
      <c r="J117" s="2872"/>
      <c r="K117" s="2872"/>
      <c r="L117" s="2873"/>
      <c r="M117" s="2872"/>
      <c r="N117" s="2872"/>
      <c r="O117" s="2873"/>
      <c r="P117" s="2872"/>
      <c r="Q117" s="2872"/>
      <c r="R117" s="2874"/>
    </row>
    <row r="118" s="2366" customFormat="1" spans="2:18">
      <c r="B118" s="2872"/>
      <c r="C118" s="2872"/>
      <c r="D118" s="2872"/>
      <c r="E118" s="2872"/>
      <c r="F118" s="2872"/>
      <c r="G118" s="2873"/>
      <c r="H118" s="2872"/>
      <c r="I118" s="2873"/>
      <c r="J118" s="2872"/>
      <c r="K118" s="2872"/>
      <c r="L118" s="2873"/>
      <c r="M118" s="2872"/>
      <c r="N118" s="2872"/>
      <c r="O118" s="2873"/>
      <c r="P118" s="2872"/>
      <c r="Q118" s="2872"/>
      <c r="R118" s="2874"/>
    </row>
    <row r="119" s="2366" customFormat="1" spans="2:18">
      <c r="B119" s="2872"/>
      <c r="C119" s="2872"/>
      <c r="D119" s="2872"/>
      <c r="E119" s="2872"/>
      <c r="F119" s="2872"/>
      <c r="G119" s="2873"/>
      <c r="H119" s="2872"/>
      <c r="I119" s="2873"/>
      <c r="J119" s="2872"/>
      <c r="K119" s="2872"/>
      <c r="L119" s="2873"/>
      <c r="M119" s="2872"/>
      <c r="N119" s="2872"/>
      <c r="O119" s="2873"/>
      <c r="P119" s="2872"/>
      <c r="Q119" s="2872"/>
      <c r="R119" s="2874"/>
    </row>
    <row r="120" s="2366" customFormat="1" spans="2:18">
      <c r="B120" s="2872"/>
      <c r="C120" s="2872"/>
      <c r="D120" s="2872"/>
      <c r="E120" s="2872"/>
      <c r="F120" s="2872"/>
      <c r="G120" s="2873"/>
      <c r="H120" s="2872"/>
      <c r="I120" s="2873"/>
      <c r="J120" s="2872"/>
      <c r="K120" s="2872"/>
      <c r="L120" s="2873"/>
      <c r="M120" s="2872"/>
      <c r="N120" s="2872"/>
      <c r="O120" s="2873"/>
      <c r="P120" s="2872"/>
      <c r="Q120" s="2872"/>
      <c r="R120" s="2874"/>
    </row>
    <row r="121" s="2366" customFormat="1" spans="2:18">
      <c r="B121" s="2872"/>
      <c r="C121" s="2872"/>
      <c r="D121" s="2872"/>
      <c r="E121" s="2872"/>
      <c r="F121" s="2872"/>
      <c r="G121" s="2873"/>
      <c r="H121" s="2872"/>
      <c r="I121" s="2873"/>
      <c r="J121" s="2872"/>
      <c r="K121" s="2872"/>
      <c r="L121" s="2873"/>
      <c r="M121" s="2872"/>
      <c r="N121" s="2872"/>
      <c r="O121" s="2873"/>
      <c r="P121" s="2872"/>
      <c r="Q121" s="2872"/>
      <c r="R121" s="2874"/>
    </row>
    <row r="122" s="2366" customFormat="1" spans="2:18">
      <c r="B122" s="2872"/>
      <c r="C122" s="2872"/>
      <c r="D122" s="2872"/>
      <c r="E122" s="2872"/>
      <c r="F122" s="2872"/>
      <c r="G122" s="2873"/>
      <c r="H122" s="2872"/>
      <c r="I122" s="2873"/>
      <c r="J122" s="2872"/>
      <c r="K122" s="2872"/>
      <c r="L122" s="2873"/>
      <c r="M122" s="2872"/>
      <c r="N122" s="2872"/>
      <c r="O122" s="2873"/>
      <c r="P122" s="2872"/>
      <c r="Q122" s="2872"/>
      <c r="R122" s="2874"/>
    </row>
    <row r="123" s="2366" customFormat="1" spans="2:18">
      <c r="B123" s="2872"/>
      <c r="C123" s="2872"/>
      <c r="D123" s="2872"/>
      <c r="E123" s="2872"/>
      <c r="F123" s="2872"/>
      <c r="G123" s="2873"/>
      <c r="H123" s="2872"/>
      <c r="I123" s="2873"/>
      <c r="J123" s="2872"/>
      <c r="K123" s="2872"/>
      <c r="L123" s="2873"/>
      <c r="M123" s="2872"/>
      <c r="N123" s="2872"/>
      <c r="O123" s="2873"/>
      <c r="P123" s="2872"/>
      <c r="Q123" s="2872"/>
      <c r="R123" s="2874"/>
    </row>
    <row r="124" s="2366" customFormat="1" spans="2:18">
      <c r="B124" s="2872"/>
      <c r="C124" s="2872"/>
      <c r="D124" s="2872"/>
      <c r="E124" s="2872"/>
      <c r="F124" s="2872"/>
      <c r="G124" s="2873"/>
      <c r="H124" s="2872"/>
      <c r="I124" s="2873"/>
      <c r="J124" s="2872"/>
      <c r="K124" s="2872"/>
      <c r="L124" s="2873"/>
      <c r="M124" s="2872"/>
      <c r="N124" s="2872"/>
      <c r="O124" s="2873"/>
      <c r="P124" s="2872"/>
      <c r="Q124" s="2872"/>
      <c r="R124" s="2874"/>
    </row>
    <row r="125" s="2366" customFormat="1" spans="2:18">
      <c r="B125" s="2872"/>
      <c r="C125" s="2872"/>
      <c r="D125" s="2872"/>
      <c r="E125" s="2872"/>
      <c r="F125" s="2872"/>
      <c r="G125" s="2873"/>
      <c r="H125" s="2872"/>
      <c r="I125" s="2873"/>
      <c r="J125" s="2872"/>
      <c r="K125" s="2872"/>
      <c r="L125" s="2873"/>
      <c r="M125" s="2872"/>
      <c r="N125" s="2872"/>
      <c r="O125" s="2873"/>
      <c r="P125" s="2872"/>
      <c r="Q125" s="2872"/>
      <c r="R125" s="2874"/>
    </row>
    <row r="126" s="2366" customFormat="1" spans="2:18">
      <c r="B126" s="2872"/>
      <c r="C126" s="2872"/>
      <c r="D126" s="2872"/>
      <c r="E126" s="2872"/>
      <c r="F126" s="2872"/>
      <c r="G126" s="2873"/>
      <c r="H126" s="2872"/>
      <c r="I126" s="2873"/>
      <c r="J126" s="2872"/>
      <c r="K126" s="2872"/>
      <c r="L126" s="2873"/>
      <c r="M126" s="2872"/>
      <c r="N126" s="2872"/>
      <c r="O126" s="2873"/>
      <c r="P126" s="2872"/>
      <c r="Q126" s="2872"/>
      <c r="R126" s="2874"/>
    </row>
    <row r="127" s="2366" customFormat="1" spans="2:18">
      <c r="B127" s="2872"/>
      <c r="C127" s="2872"/>
      <c r="D127" s="2872"/>
      <c r="E127" s="2872"/>
      <c r="F127" s="2872"/>
      <c r="G127" s="2873"/>
      <c r="H127" s="2872"/>
      <c r="I127" s="2873"/>
      <c r="J127" s="2872"/>
      <c r="K127" s="2872"/>
      <c r="L127" s="2873"/>
      <c r="M127" s="2872"/>
      <c r="N127" s="2872"/>
      <c r="O127" s="2873"/>
      <c r="P127" s="2872"/>
      <c r="Q127" s="2872"/>
      <c r="R127" s="2874"/>
    </row>
    <row r="128" s="2366" customFormat="1" spans="2:18">
      <c r="B128" s="2872"/>
      <c r="C128" s="2872"/>
      <c r="D128" s="2872"/>
      <c r="E128" s="2872"/>
      <c r="F128" s="2872"/>
      <c r="G128" s="2873"/>
      <c r="H128" s="2872"/>
      <c r="I128" s="2873"/>
      <c r="J128" s="2872"/>
      <c r="K128" s="2872"/>
      <c r="L128" s="2873"/>
      <c r="M128" s="2872"/>
      <c r="N128" s="2872"/>
      <c r="O128" s="2873"/>
      <c r="P128" s="2872"/>
      <c r="Q128" s="2872"/>
      <c r="R128" s="2874"/>
    </row>
    <row r="129" s="2366" customFormat="1" spans="2:18">
      <c r="B129" s="2872"/>
      <c r="C129" s="2872"/>
      <c r="D129" s="2872"/>
      <c r="E129" s="2872"/>
      <c r="F129" s="2872"/>
      <c r="G129" s="2873"/>
      <c r="H129" s="2872"/>
      <c r="I129" s="2873"/>
      <c r="J129" s="2872"/>
      <c r="K129" s="2872"/>
      <c r="L129" s="2873"/>
      <c r="M129" s="2872"/>
      <c r="N129" s="2872"/>
      <c r="O129" s="2873"/>
      <c r="P129" s="2872"/>
      <c r="Q129" s="2872"/>
      <c r="R129" s="2874"/>
    </row>
    <row r="130" s="2366" customFormat="1" spans="2:18">
      <c r="B130" s="2872"/>
      <c r="C130" s="2872"/>
      <c r="D130" s="2872"/>
      <c r="E130" s="2872"/>
      <c r="F130" s="2872"/>
      <c r="G130" s="2873"/>
      <c r="H130" s="2872"/>
      <c r="I130" s="2873"/>
      <c r="J130" s="2872"/>
      <c r="K130" s="2872"/>
      <c r="L130" s="2873"/>
      <c r="M130" s="2872"/>
      <c r="N130" s="2872"/>
      <c r="O130" s="2873"/>
      <c r="P130" s="2872"/>
      <c r="Q130" s="2872"/>
      <c r="R130" s="2874"/>
    </row>
    <row r="131" s="2366" customFormat="1" spans="2:18">
      <c r="B131" s="2872"/>
      <c r="C131" s="2872"/>
      <c r="D131" s="2872"/>
      <c r="E131" s="2872"/>
      <c r="F131" s="2872"/>
      <c r="G131" s="2873"/>
      <c r="H131" s="2872"/>
      <c r="I131" s="2873"/>
      <c r="J131" s="2872"/>
      <c r="K131" s="2872"/>
      <c r="L131" s="2873"/>
      <c r="M131" s="2872"/>
      <c r="N131" s="2872"/>
      <c r="O131" s="2873"/>
      <c r="P131" s="2872"/>
      <c r="Q131" s="2872"/>
      <c r="R131" s="2874"/>
    </row>
    <row r="132" s="2366" customFormat="1" spans="2:18">
      <c r="B132" s="2872"/>
      <c r="C132" s="2872"/>
      <c r="D132" s="2872"/>
      <c r="E132" s="2872"/>
      <c r="F132" s="2872"/>
      <c r="G132" s="2873"/>
      <c r="H132" s="2872"/>
      <c r="I132" s="2873"/>
      <c r="J132" s="2872"/>
      <c r="K132" s="2872"/>
      <c r="L132" s="2873"/>
      <c r="M132" s="2872"/>
      <c r="N132" s="2872"/>
      <c r="O132" s="2873"/>
      <c r="P132" s="2872"/>
      <c r="Q132" s="2872"/>
      <c r="R132" s="2874"/>
    </row>
    <row r="133" s="2366" customFormat="1" spans="2:18">
      <c r="B133" s="2872"/>
      <c r="C133" s="2872"/>
      <c r="D133" s="2872"/>
      <c r="E133" s="2872"/>
      <c r="F133" s="2872"/>
      <c r="G133" s="2873"/>
      <c r="H133" s="2872"/>
      <c r="I133" s="2873"/>
      <c r="J133" s="2872"/>
      <c r="K133" s="2872"/>
      <c r="L133" s="2873"/>
      <c r="M133" s="2872"/>
      <c r="N133" s="2872"/>
      <c r="O133" s="2873"/>
      <c r="P133" s="2872"/>
      <c r="Q133" s="2872"/>
      <c r="R133" s="2874"/>
    </row>
    <row r="134" s="2366" customFormat="1" spans="2:18">
      <c r="B134" s="2872"/>
      <c r="C134" s="2872"/>
      <c r="D134" s="2872"/>
      <c r="E134" s="2872"/>
      <c r="F134" s="2872"/>
      <c r="G134" s="2873"/>
      <c r="H134" s="2872"/>
      <c r="I134" s="2873"/>
      <c r="J134" s="2872"/>
      <c r="K134" s="2872"/>
      <c r="L134" s="2873"/>
      <c r="M134" s="2872"/>
      <c r="N134" s="2872"/>
      <c r="O134" s="2873"/>
      <c r="P134" s="2872"/>
      <c r="Q134" s="2872"/>
      <c r="R134" s="2874"/>
    </row>
    <row r="135" s="2366" customFormat="1" spans="2:18">
      <c r="B135" s="2872"/>
      <c r="C135" s="2872"/>
      <c r="D135" s="2872"/>
      <c r="E135" s="2872"/>
      <c r="F135" s="2872"/>
      <c r="G135" s="2873"/>
      <c r="H135" s="2872"/>
      <c r="I135" s="2873"/>
      <c r="J135" s="2872"/>
      <c r="K135" s="2872"/>
      <c r="L135" s="2873"/>
      <c r="M135" s="2872"/>
      <c r="N135" s="2872"/>
      <c r="O135" s="2873"/>
      <c r="P135" s="2872"/>
      <c r="Q135" s="2872"/>
      <c r="R135" s="2874"/>
    </row>
    <row r="136" s="2366" customFormat="1" spans="2:18">
      <c r="B136" s="2872"/>
      <c r="C136" s="2872"/>
      <c r="D136" s="2872"/>
      <c r="E136" s="2872"/>
      <c r="F136" s="2872"/>
      <c r="G136" s="2873"/>
      <c r="H136" s="2872"/>
      <c r="I136" s="2873"/>
      <c r="J136" s="2872"/>
      <c r="K136" s="2872"/>
      <c r="L136" s="2873"/>
      <c r="M136" s="2872"/>
      <c r="N136" s="2872"/>
      <c r="O136" s="2873"/>
      <c r="P136" s="2872"/>
      <c r="Q136" s="2872"/>
      <c r="R136" s="2874"/>
    </row>
    <row r="137" s="2366" customFormat="1" spans="2:18">
      <c r="B137" s="2872"/>
      <c r="C137" s="2872"/>
      <c r="D137" s="2872"/>
      <c r="E137" s="2872"/>
      <c r="F137" s="2872"/>
      <c r="G137" s="2873"/>
      <c r="H137" s="2872"/>
      <c r="I137" s="2873"/>
      <c r="J137" s="2872"/>
      <c r="K137" s="2872"/>
      <c r="L137" s="2873"/>
      <c r="M137" s="2872"/>
      <c r="N137" s="2872"/>
      <c r="O137" s="2873"/>
      <c r="P137" s="2872"/>
      <c r="Q137" s="2872"/>
      <c r="R137" s="2874"/>
    </row>
    <row r="138" s="2366" customFormat="1" spans="2:18">
      <c r="B138" s="2872"/>
      <c r="C138" s="2872"/>
      <c r="D138" s="2872"/>
      <c r="E138" s="2872"/>
      <c r="F138" s="2872"/>
      <c r="G138" s="2873"/>
      <c r="H138" s="2872"/>
      <c r="I138" s="2873"/>
      <c r="J138" s="2872"/>
      <c r="K138" s="2872"/>
      <c r="L138" s="2873"/>
      <c r="M138" s="2872"/>
      <c r="N138" s="2872"/>
      <c r="O138" s="2873"/>
      <c r="P138" s="2872"/>
      <c r="Q138" s="2872"/>
      <c r="R138" s="2874"/>
    </row>
    <row r="139" s="2366" customFormat="1" spans="2:18">
      <c r="B139" s="2872"/>
      <c r="C139" s="2872"/>
      <c r="D139" s="2872"/>
      <c r="E139" s="2872"/>
      <c r="F139" s="2872"/>
      <c r="G139" s="2873"/>
      <c r="H139" s="2872"/>
      <c r="I139" s="2873"/>
      <c r="J139" s="2872"/>
      <c r="K139" s="2872"/>
      <c r="L139" s="2873"/>
      <c r="M139" s="2872"/>
      <c r="N139" s="2872"/>
      <c r="O139" s="2873"/>
      <c r="P139" s="2872"/>
      <c r="Q139" s="2872"/>
      <c r="R139" s="2874"/>
    </row>
    <row r="140" s="2366" customFormat="1" spans="2:18">
      <c r="B140" s="2872"/>
      <c r="C140" s="2872"/>
      <c r="D140" s="2872"/>
      <c r="E140" s="2872"/>
      <c r="F140" s="2872"/>
      <c r="G140" s="2873"/>
      <c r="H140" s="2872"/>
      <c r="I140" s="2873"/>
      <c r="J140" s="2872"/>
      <c r="K140" s="2872"/>
      <c r="L140" s="2873"/>
      <c r="M140" s="2872"/>
      <c r="N140" s="2872"/>
      <c r="O140" s="2873"/>
      <c r="P140" s="2872"/>
      <c r="Q140" s="2872"/>
      <c r="R140" s="2874"/>
    </row>
    <row r="141" s="2366" customFormat="1" spans="2:18">
      <c r="B141" s="2872"/>
      <c r="C141" s="2872"/>
      <c r="D141" s="2872"/>
      <c r="E141" s="2872"/>
      <c r="F141" s="2872"/>
      <c r="G141" s="2873"/>
      <c r="H141" s="2872"/>
      <c r="I141" s="2873"/>
      <c r="J141" s="2872"/>
      <c r="K141" s="2872"/>
      <c r="L141" s="2873"/>
      <c r="M141" s="2872"/>
      <c r="N141" s="2872"/>
      <c r="O141" s="2873"/>
      <c r="P141" s="2872"/>
      <c r="Q141" s="2872"/>
      <c r="R141" s="2874"/>
    </row>
    <row r="142" s="2366" customFormat="1" spans="2:18">
      <c r="B142" s="2872"/>
      <c r="C142" s="2872"/>
      <c r="D142" s="2872"/>
      <c r="E142" s="2872"/>
      <c r="F142" s="2872"/>
      <c r="G142" s="2873"/>
      <c r="H142" s="2872"/>
      <c r="I142" s="2873"/>
      <c r="J142" s="2872"/>
      <c r="K142" s="2872"/>
      <c r="L142" s="2873"/>
      <c r="M142" s="2872"/>
      <c r="N142" s="2872"/>
      <c r="O142" s="2873"/>
      <c r="P142" s="2872"/>
      <c r="Q142" s="2872"/>
      <c r="R142" s="2874"/>
    </row>
    <row r="143" s="2366" customFormat="1" spans="2:18">
      <c r="B143" s="2872"/>
      <c r="C143" s="2872"/>
      <c r="D143" s="2872"/>
      <c r="E143" s="2872"/>
      <c r="F143" s="2872"/>
      <c r="G143" s="2873"/>
      <c r="H143" s="2872"/>
      <c r="I143" s="2873"/>
      <c r="J143" s="2872"/>
      <c r="K143" s="2872"/>
      <c r="L143" s="2873"/>
      <c r="M143" s="2872"/>
      <c r="N143" s="2872"/>
      <c r="O143" s="2873"/>
      <c r="P143" s="2872"/>
      <c r="Q143" s="2872"/>
      <c r="R143" s="2874"/>
    </row>
    <row r="144" s="2366" customFormat="1" spans="2:18">
      <c r="B144" s="2872"/>
      <c r="C144" s="2872"/>
      <c r="D144" s="2872"/>
      <c r="E144" s="2872"/>
      <c r="F144" s="2872"/>
      <c r="G144" s="2873"/>
      <c r="H144" s="2872"/>
      <c r="I144" s="2873"/>
      <c r="J144" s="2872"/>
      <c r="K144" s="2872"/>
      <c r="L144" s="2873"/>
      <c r="M144" s="2872"/>
      <c r="N144" s="2872"/>
      <c r="O144" s="2873"/>
      <c r="P144" s="2872"/>
      <c r="Q144" s="2872"/>
      <c r="R144" s="2874"/>
    </row>
    <row r="145" s="2366" customFormat="1" spans="2:18">
      <c r="B145" s="2872"/>
      <c r="C145" s="2872"/>
      <c r="D145" s="2872"/>
      <c r="E145" s="2872"/>
      <c r="F145" s="2872"/>
      <c r="G145" s="2873"/>
      <c r="H145" s="2872"/>
      <c r="I145" s="2873"/>
      <c r="J145" s="2872"/>
      <c r="K145" s="2872"/>
      <c r="L145" s="2873"/>
      <c r="M145" s="2872"/>
      <c r="N145" s="2872"/>
      <c r="O145" s="2873"/>
      <c r="P145" s="2872"/>
      <c r="Q145" s="2872"/>
      <c r="R145" s="2874"/>
    </row>
    <row r="146" s="2366" customFormat="1" spans="2:18">
      <c r="B146" s="2872"/>
      <c r="C146" s="2872"/>
      <c r="D146" s="2872"/>
      <c r="E146" s="2872"/>
      <c r="F146" s="2872"/>
      <c r="G146" s="2873"/>
      <c r="H146" s="2872"/>
      <c r="I146" s="2873"/>
      <c r="J146" s="2872"/>
      <c r="K146" s="2872"/>
      <c r="L146" s="2873"/>
      <c r="M146" s="2872"/>
      <c r="N146" s="2872"/>
      <c r="O146" s="2873"/>
      <c r="P146" s="2872"/>
      <c r="Q146" s="2872"/>
      <c r="R146" s="2874"/>
    </row>
    <row r="147" s="2366" customFormat="1" spans="2:18">
      <c r="B147" s="2872"/>
      <c r="C147" s="2872"/>
      <c r="D147" s="2872"/>
      <c r="E147" s="2872"/>
      <c r="F147" s="2872"/>
      <c r="G147" s="2873"/>
      <c r="H147" s="2872"/>
      <c r="I147" s="2873"/>
      <c r="J147" s="2872"/>
      <c r="K147" s="2872"/>
      <c r="L147" s="2873"/>
      <c r="M147" s="2872"/>
      <c r="N147" s="2872"/>
      <c r="O147" s="2873"/>
      <c r="P147" s="2872"/>
      <c r="Q147" s="2872"/>
      <c r="R147" s="2874"/>
    </row>
    <row r="148" s="2366" customFormat="1" spans="2:18">
      <c r="B148" s="2872"/>
      <c r="C148" s="2872"/>
      <c r="D148" s="2872"/>
      <c r="E148" s="2872"/>
      <c r="F148" s="2872"/>
      <c r="G148" s="2873"/>
      <c r="H148" s="2872"/>
      <c r="I148" s="2873"/>
      <c r="J148" s="2872"/>
      <c r="K148" s="2872"/>
      <c r="L148" s="2873"/>
      <c r="M148" s="2872"/>
      <c r="N148" s="2872"/>
      <c r="O148" s="2873"/>
      <c r="P148" s="2872"/>
      <c r="Q148" s="2872"/>
      <c r="R148" s="2874"/>
    </row>
    <row r="149" s="2366" customFormat="1" spans="2:18">
      <c r="B149" s="2872"/>
      <c r="C149" s="2872"/>
      <c r="D149" s="2872"/>
      <c r="E149" s="2872"/>
      <c r="F149" s="2872"/>
      <c r="G149" s="2873"/>
      <c r="H149" s="2872"/>
      <c r="I149" s="2873"/>
      <c r="J149" s="2872"/>
      <c r="K149" s="2872"/>
      <c r="L149" s="2873"/>
      <c r="M149" s="2872"/>
      <c r="N149" s="2872"/>
      <c r="O149" s="2873"/>
      <c r="P149" s="2872"/>
      <c r="Q149" s="2872"/>
      <c r="R149" s="2874"/>
    </row>
    <row r="150" s="2366" customFormat="1" spans="2:18">
      <c r="B150" s="2872"/>
      <c r="C150" s="2872"/>
      <c r="D150" s="2872"/>
      <c r="E150" s="2872"/>
      <c r="F150" s="2872"/>
      <c r="G150" s="2873"/>
      <c r="H150" s="2872"/>
      <c r="I150" s="2873"/>
      <c r="J150" s="2872"/>
      <c r="K150" s="2872"/>
      <c r="L150" s="2873"/>
      <c r="M150" s="2872"/>
      <c r="N150" s="2872"/>
      <c r="O150" s="2873"/>
      <c r="P150" s="2872"/>
      <c r="Q150" s="2872"/>
      <c r="R150" s="2874"/>
    </row>
    <row r="151" s="2366" customFormat="1" spans="2:18">
      <c r="B151" s="2872"/>
      <c r="C151" s="2872"/>
      <c r="D151" s="2872"/>
      <c r="E151" s="2872"/>
      <c r="F151" s="2872"/>
      <c r="G151" s="2873"/>
      <c r="H151" s="2872"/>
      <c r="I151" s="2873"/>
      <c r="J151" s="2872"/>
      <c r="K151" s="2872"/>
      <c r="L151" s="2873"/>
      <c r="M151" s="2872"/>
      <c r="N151" s="2872"/>
      <c r="O151" s="2873"/>
      <c r="P151" s="2872"/>
      <c r="Q151" s="2872"/>
      <c r="R151" s="2874"/>
    </row>
    <row r="152" s="2366" customFormat="1" spans="2:18">
      <c r="B152" s="2872"/>
      <c r="C152" s="2872"/>
      <c r="D152" s="2872"/>
      <c r="E152" s="2872"/>
      <c r="F152" s="2872"/>
      <c r="G152" s="2873"/>
      <c r="H152" s="2872"/>
      <c r="I152" s="2873"/>
      <c r="J152" s="2872"/>
      <c r="K152" s="2872"/>
      <c r="L152" s="2873"/>
      <c r="M152" s="2872"/>
      <c r="N152" s="2872"/>
      <c r="O152" s="2873"/>
      <c r="P152" s="2872"/>
      <c r="Q152" s="2872"/>
      <c r="R152" s="2874"/>
    </row>
    <row r="153" s="2366" customFormat="1" spans="2:18">
      <c r="B153" s="2872"/>
      <c r="C153" s="2872"/>
      <c r="D153" s="2872"/>
      <c r="E153" s="2872"/>
      <c r="F153" s="2872"/>
      <c r="G153" s="2873"/>
      <c r="H153" s="2872"/>
      <c r="I153" s="2873"/>
      <c r="J153" s="2872"/>
      <c r="K153" s="2872"/>
      <c r="L153" s="2873"/>
      <c r="M153" s="2872"/>
      <c r="N153" s="2872"/>
      <c r="O153" s="2873"/>
      <c r="P153" s="2872"/>
      <c r="Q153" s="2872"/>
      <c r="R153" s="2874"/>
    </row>
    <row r="154" s="2366" customFormat="1" spans="2:18">
      <c r="B154" s="2872"/>
      <c r="C154" s="2872"/>
      <c r="D154" s="2872"/>
      <c r="E154" s="2872"/>
      <c r="F154" s="2872"/>
      <c r="G154" s="2873"/>
      <c r="H154" s="2872"/>
      <c r="I154" s="2873"/>
      <c r="J154" s="2872"/>
      <c r="K154" s="2872"/>
      <c r="L154" s="2873"/>
      <c r="M154" s="2872"/>
      <c r="N154" s="2872"/>
      <c r="O154" s="2873"/>
      <c r="P154" s="2872"/>
      <c r="Q154" s="2872"/>
      <c r="R154" s="2874"/>
    </row>
    <row r="155" s="2366" customFormat="1" spans="2:18">
      <c r="B155" s="2872"/>
      <c r="C155" s="2872"/>
      <c r="D155" s="2872"/>
      <c r="E155" s="2872"/>
      <c r="F155" s="2872"/>
      <c r="G155" s="2873"/>
      <c r="H155" s="2872"/>
      <c r="I155" s="2873"/>
      <c r="J155" s="2872"/>
      <c r="K155" s="2872"/>
      <c r="L155" s="2873"/>
      <c r="M155" s="2872"/>
      <c r="N155" s="2872"/>
      <c r="O155" s="2873"/>
      <c r="P155" s="2872"/>
      <c r="Q155" s="2872"/>
      <c r="R155" s="2874"/>
    </row>
    <row r="156" s="2366" customFormat="1" spans="2:18">
      <c r="B156" s="2872"/>
      <c r="C156" s="2872"/>
      <c r="D156" s="2872"/>
      <c r="E156" s="2872"/>
      <c r="F156" s="2872"/>
      <c r="G156" s="2873"/>
      <c r="H156" s="2872"/>
      <c r="I156" s="2873"/>
      <c r="J156" s="2872"/>
      <c r="K156" s="2872"/>
      <c r="L156" s="2873"/>
      <c r="M156" s="2872"/>
      <c r="N156" s="2872"/>
      <c r="O156" s="2873"/>
      <c r="P156" s="2872"/>
      <c r="Q156" s="2872"/>
      <c r="R156" s="2874"/>
    </row>
    <row r="157" s="2366" customFormat="1" spans="2:18">
      <c r="B157" s="2872"/>
      <c r="C157" s="2872"/>
      <c r="D157" s="2872"/>
      <c r="E157" s="2872"/>
      <c r="F157" s="2872"/>
      <c r="G157" s="2873"/>
      <c r="H157" s="2872"/>
      <c r="I157" s="2873"/>
      <c r="J157" s="2872"/>
      <c r="K157" s="2872"/>
      <c r="L157" s="2873"/>
      <c r="M157" s="2872"/>
      <c r="N157" s="2872"/>
      <c r="O157" s="2873"/>
      <c r="P157" s="2872"/>
      <c r="Q157" s="2872"/>
      <c r="R157" s="2874"/>
    </row>
    <row r="158" s="2366" customFormat="1" spans="2:18">
      <c r="B158" s="2872"/>
      <c r="C158" s="2872"/>
      <c r="D158" s="2872"/>
      <c r="E158" s="2872"/>
      <c r="F158" s="2872"/>
      <c r="G158" s="2873"/>
      <c r="H158" s="2872"/>
      <c r="I158" s="2873"/>
      <c r="J158" s="2872"/>
      <c r="K158" s="2872"/>
      <c r="L158" s="2873"/>
      <c r="M158" s="2872"/>
      <c r="N158" s="2872"/>
      <c r="O158" s="2873"/>
      <c r="P158" s="2872"/>
      <c r="Q158" s="2872"/>
      <c r="R158" s="2874"/>
    </row>
    <row r="159" s="2366" customFormat="1" spans="2:18">
      <c r="B159" s="2872"/>
      <c r="C159" s="2872"/>
      <c r="D159" s="2872"/>
      <c r="E159" s="2872"/>
      <c r="F159" s="2872"/>
      <c r="G159" s="2873"/>
      <c r="H159" s="2872"/>
      <c r="I159" s="2873"/>
      <c r="J159" s="2872"/>
      <c r="K159" s="2872"/>
      <c r="L159" s="2873"/>
      <c r="M159" s="2872"/>
      <c r="N159" s="2872"/>
      <c r="O159" s="2873"/>
      <c r="P159" s="2872"/>
      <c r="Q159" s="2872"/>
      <c r="R159" s="2874"/>
    </row>
    <row r="160" s="2366" customFormat="1" spans="2:18">
      <c r="B160" s="2872"/>
      <c r="C160" s="2872"/>
      <c r="D160" s="2872"/>
      <c r="E160" s="2872"/>
      <c r="F160" s="2872"/>
      <c r="G160" s="2873"/>
      <c r="H160" s="2872"/>
      <c r="I160" s="2873"/>
      <c r="J160" s="2872"/>
      <c r="K160" s="2872"/>
      <c r="L160" s="2873"/>
      <c r="M160" s="2872"/>
      <c r="N160" s="2872"/>
      <c r="O160" s="2873"/>
      <c r="P160" s="2872"/>
      <c r="Q160" s="2872"/>
      <c r="R160" s="2874"/>
    </row>
    <row r="161" s="2366" customFormat="1" spans="2:18">
      <c r="B161" s="2872"/>
      <c r="C161" s="2872"/>
      <c r="D161" s="2872"/>
      <c r="E161" s="2872"/>
      <c r="F161" s="2872"/>
      <c r="G161" s="2873"/>
      <c r="H161" s="2872"/>
      <c r="I161" s="2873"/>
      <c r="J161" s="2872"/>
      <c r="K161" s="2872"/>
      <c r="L161" s="2873"/>
      <c r="M161" s="2872"/>
      <c r="N161" s="2872"/>
      <c r="O161" s="2873"/>
      <c r="P161" s="2872"/>
      <c r="Q161" s="2872"/>
      <c r="R161" s="2874"/>
    </row>
    <row r="162" s="2366" customFormat="1" spans="2:18">
      <c r="B162" s="2872"/>
      <c r="C162" s="2872"/>
      <c r="D162" s="2872"/>
      <c r="E162" s="2872"/>
      <c r="F162" s="2872"/>
      <c r="G162" s="2873"/>
      <c r="H162" s="2872"/>
      <c r="I162" s="2873"/>
      <c r="J162" s="2872"/>
      <c r="K162" s="2872"/>
      <c r="L162" s="2873"/>
      <c r="M162" s="2872"/>
      <c r="N162" s="2872"/>
      <c r="O162" s="2873"/>
      <c r="P162" s="2872"/>
      <c r="Q162" s="2872"/>
      <c r="R162" s="2874"/>
    </row>
    <row r="163" s="2366" customFormat="1" spans="2:18">
      <c r="B163" s="2872"/>
      <c r="C163" s="2872"/>
      <c r="D163" s="2872"/>
      <c r="E163" s="2872"/>
      <c r="F163" s="2872"/>
      <c r="G163" s="2873"/>
      <c r="H163" s="2872"/>
      <c r="I163" s="2873"/>
      <c r="J163" s="2872"/>
      <c r="K163" s="2872"/>
      <c r="L163" s="2873"/>
      <c r="M163" s="2872"/>
      <c r="N163" s="2872"/>
      <c r="O163" s="2873"/>
      <c r="P163" s="2872"/>
      <c r="Q163" s="2872"/>
      <c r="R163" s="2874"/>
    </row>
    <row r="164" s="2366" customFormat="1" spans="2:18">
      <c r="B164" s="2872"/>
      <c r="C164" s="2872"/>
      <c r="D164" s="2872"/>
      <c r="E164" s="2872"/>
      <c r="F164" s="2872"/>
      <c r="G164" s="2873"/>
      <c r="H164" s="2872"/>
      <c r="I164" s="2873"/>
      <c r="J164" s="2872"/>
      <c r="K164" s="2872"/>
      <c r="L164" s="2873"/>
      <c r="M164" s="2872"/>
      <c r="N164" s="2872"/>
      <c r="O164" s="2873"/>
      <c r="P164" s="2872"/>
      <c r="Q164" s="2872"/>
      <c r="R164" s="2874"/>
    </row>
    <row r="165" s="2366" customFormat="1" spans="2:18">
      <c r="B165" s="2872"/>
      <c r="C165" s="2872"/>
      <c r="D165" s="2872"/>
      <c r="E165" s="2872"/>
      <c r="F165" s="2872"/>
      <c r="G165" s="2873"/>
      <c r="H165" s="2872"/>
      <c r="I165" s="2873"/>
      <c r="J165" s="2872"/>
      <c r="K165" s="2872"/>
      <c r="L165" s="2873"/>
      <c r="M165" s="2872"/>
      <c r="N165" s="2872"/>
      <c r="O165" s="2873"/>
      <c r="P165" s="2872"/>
      <c r="Q165" s="2872"/>
      <c r="R165" s="2874"/>
    </row>
    <row r="166" s="2366" customFormat="1" spans="2:18">
      <c r="B166" s="2872"/>
      <c r="C166" s="2872"/>
      <c r="D166" s="2872"/>
      <c r="E166" s="2872"/>
      <c r="F166" s="2872"/>
      <c r="G166" s="2873"/>
      <c r="H166" s="2872"/>
      <c r="I166" s="2873"/>
      <c r="J166" s="2872"/>
      <c r="K166" s="2872"/>
      <c r="L166" s="2873"/>
      <c r="M166" s="2872"/>
      <c r="N166" s="2872"/>
      <c r="O166" s="2873"/>
      <c r="P166" s="2872"/>
      <c r="Q166" s="2872"/>
      <c r="R166" s="2874"/>
    </row>
    <row r="167" s="2366" customFormat="1" spans="2:18">
      <c r="B167" s="2872"/>
      <c r="C167" s="2872"/>
      <c r="D167" s="2872"/>
      <c r="E167" s="2872"/>
      <c r="F167" s="2872"/>
      <c r="G167" s="2873"/>
      <c r="H167" s="2872"/>
      <c r="I167" s="2873"/>
      <c r="J167" s="2872"/>
      <c r="K167" s="2872"/>
      <c r="L167" s="2873"/>
      <c r="M167" s="2872"/>
      <c r="N167" s="2872"/>
      <c r="O167" s="2873"/>
      <c r="P167" s="2872"/>
      <c r="Q167" s="2872"/>
      <c r="R167" s="2874"/>
    </row>
    <row r="168" s="2366" customFormat="1" spans="2:18">
      <c r="B168" s="2872"/>
      <c r="C168" s="2872"/>
      <c r="D168" s="2872"/>
      <c r="E168" s="2872"/>
      <c r="F168" s="2872"/>
      <c r="G168" s="2873"/>
      <c r="H168" s="2872"/>
      <c r="I168" s="2873"/>
      <c r="J168" s="2872"/>
      <c r="K168" s="2872"/>
      <c r="L168" s="2873"/>
      <c r="M168" s="2872"/>
      <c r="N168" s="2872"/>
      <c r="O168" s="2873"/>
      <c r="P168" s="2872"/>
      <c r="Q168" s="2872"/>
      <c r="R168" s="2874"/>
    </row>
    <row r="169" s="2366" customFormat="1" spans="2:18">
      <c r="B169" s="2872"/>
      <c r="C169" s="2872"/>
      <c r="D169" s="2872"/>
      <c r="E169" s="2872"/>
      <c r="F169" s="2872"/>
      <c r="G169" s="2873"/>
      <c r="H169" s="2872"/>
      <c r="I169" s="2873"/>
      <c r="J169" s="2872"/>
      <c r="K169" s="2872"/>
      <c r="L169" s="2873"/>
      <c r="M169" s="2872"/>
      <c r="N169" s="2872"/>
      <c r="O169" s="2873"/>
      <c r="P169" s="2872"/>
      <c r="Q169" s="2872"/>
      <c r="R169" s="2874"/>
    </row>
    <row r="170" s="2366" customFormat="1" spans="2:18">
      <c r="B170" s="2872"/>
      <c r="C170" s="2872"/>
      <c r="D170" s="2872"/>
      <c r="E170" s="2872"/>
      <c r="F170" s="2872"/>
      <c r="G170" s="2873"/>
      <c r="H170" s="2872"/>
      <c r="I170" s="2873"/>
      <c r="J170" s="2872"/>
      <c r="K170" s="2872"/>
      <c r="L170" s="2873"/>
      <c r="M170" s="2872"/>
      <c r="N170" s="2872"/>
      <c r="O170" s="2873"/>
      <c r="P170" s="2872"/>
      <c r="Q170" s="2872"/>
      <c r="R170" s="2874"/>
    </row>
    <row r="171" s="2366" customFormat="1" spans="2:18">
      <c r="B171" s="2872"/>
      <c r="C171" s="2872"/>
      <c r="D171" s="2872"/>
      <c r="E171" s="2872"/>
      <c r="F171" s="2872"/>
      <c r="G171" s="2873"/>
      <c r="H171" s="2872"/>
      <c r="I171" s="2873"/>
      <c r="J171" s="2872"/>
      <c r="K171" s="2872"/>
      <c r="L171" s="2873"/>
      <c r="M171" s="2872"/>
      <c r="N171" s="2872"/>
      <c r="O171" s="2873"/>
      <c r="P171" s="2872"/>
      <c r="Q171" s="2872"/>
      <c r="R171" s="2874"/>
    </row>
    <row r="172" s="2366" customFormat="1" spans="2:18">
      <c r="B172" s="2872"/>
      <c r="C172" s="2872"/>
      <c r="D172" s="2872"/>
      <c r="E172" s="2872"/>
      <c r="F172" s="2872"/>
      <c r="G172" s="2873"/>
      <c r="H172" s="2872"/>
      <c r="I172" s="2873"/>
      <c r="J172" s="2872"/>
      <c r="K172" s="2872"/>
      <c r="L172" s="2873"/>
      <c r="M172" s="2872"/>
      <c r="N172" s="2872"/>
      <c r="O172" s="2873"/>
      <c r="P172" s="2872"/>
      <c r="Q172" s="2872"/>
      <c r="R172" s="2874"/>
    </row>
    <row r="173" s="2366" customFormat="1" spans="2:18">
      <c r="B173" s="2872"/>
      <c r="C173" s="2872"/>
      <c r="D173" s="2872"/>
      <c r="E173" s="2872"/>
      <c r="F173" s="2872"/>
      <c r="G173" s="2873"/>
      <c r="H173" s="2872"/>
      <c r="I173" s="2873"/>
      <c r="J173" s="2872"/>
      <c r="K173" s="2872"/>
      <c r="L173" s="2873"/>
      <c r="M173" s="2872"/>
      <c r="N173" s="2872"/>
      <c r="O173" s="2873"/>
      <c r="P173" s="2872"/>
      <c r="Q173" s="2872"/>
      <c r="R173" s="2874"/>
    </row>
    <row r="174" s="2366" customFormat="1" spans="2:18">
      <c r="B174" s="2872"/>
      <c r="C174" s="2872"/>
      <c r="D174" s="2872"/>
      <c r="E174" s="2872"/>
      <c r="F174" s="2872"/>
      <c r="G174" s="2873"/>
      <c r="H174" s="2872"/>
      <c r="I174" s="2873"/>
      <c r="J174" s="2872"/>
      <c r="K174" s="2872"/>
      <c r="L174" s="2873"/>
      <c r="M174" s="2872"/>
      <c r="N174" s="2872"/>
      <c r="O174" s="2873"/>
      <c r="P174" s="2872"/>
      <c r="Q174" s="2872"/>
      <c r="R174" s="2874"/>
    </row>
    <row r="175" s="2366" customFormat="1" spans="2:18">
      <c r="B175" s="2872"/>
      <c r="C175" s="2872"/>
      <c r="D175" s="2872"/>
      <c r="E175" s="2872"/>
      <c r="F175" s="2872"/>
      <c r="G175" s="2873"/>
      <c r="H175" s="2872"/>
      <c r="I175" s="2873"/>
      <c r="J175" s="2872"/>
      <c r="K175" s="2872"/>
      <c r="L175" s="2873"/>
      <c r="M175" s="2872"/>
      <c r="N175" s="2872"/>
      <c r="O175" s="2873"/>
      <c r="P175" s="2872"/>
      <c r="Q175" s="2872"/>
      <c r="R175" s="2874"/>
    </row>
    <row r="176" s="2366" customFormat="1" spans="2:18">
      <c r="B176" s="2872"/>
      <c r="C176" s="2872"/>
      <c r="D176" s="2872"/>
      <c r="E176" s="2872"/>
      <c r="F176" s="2872"/>
      <c r="G176" s="2873"/>
      <c r="H176" s="2872"/>
      <c r="I176" s="2873"/>
      <c r="J176" s="2872"/>
      <c r="K176" s="2872"/>
      <c r="L176" s="2873"/>
      <c r="M176" s="2872"/>
      <c r="N176" s="2872"/>
      <c r="O176" s="2873"/>
      <c r="P176" s="2872"/>
      <c r="Q176" s="2872"/>
      <c r="R176" s="2874"/>
    </row>
    <row r="177" s="2366" customFormat="1" spans="2:18">
      <c r="B177" s="2872"/>
      <c r="C177" s="2872"/>
      <c r="D177" s="2872"/>
      <c r="E177" s="2872"/>
      <c r="F177" s="2872"/>
      <c r="G177" s="2873"/>
      <c r="H177" s="2872"/>
      <c r="I177" s="2873"/>
      <c r="J177" s="2872"/>
      <c r="K177" s="2872"/>
      <c r="L177" s="2873"/>
      <c r="M177" s="2872"/>
      <c r="N177" s="2872"/>
      <c r="O177" s="2873"/>
      <c r="P177" s="2872"/>
      <c r="Q177" s="2872"/>
      <c r="R177" s="2874"/>
    </row>
    <row r="178" s="2366" customFormat="1" spans="2:18">
      <c r="B178" s="2872"/>
      <c r="C178" s="2872"/>
      <c r="D178" s="2872"/>
      <c r="E178" s="2872"/>
      <c r="F178" s="2872"/>
      <c r="G178" s="2873"/>
      <c r="H178" s="2872"/>
      <c r="I178" s="2873"/>
      <c r="J178" s="2872"/>
      <c r="K178" s="2872"/>
      <c r="L178" s="2873"/>
      <c r="M178" s="2872"/>
      <c r="N178" s="2872"/>
      <c r="O178" s="2873"/>
      <c r="P178" s="2872"/>
      <c r="Q178" s="2872"/>
      <c r="R178" s="2874"/>
    </row>
    <row r="179" s="2366" customFormat="1" spans="2:18">
      <c r="B179" s="2872"/>
      <c r="C179" s="2872"/>
      <c r="D179" s="2872"/>
      <c r="E179" s="2872"/>
      <c r="F179" s="2872"/>
      <c r="G179" s="2873"/>
      <c r="H179" s="2872"/>
      <c r="I179" s="2873"/>
      <c r="J179" s="2872"/>
      <c r="K179" s="2872"/>
      <c r="L179" s="2873"/>
      <c r="M179" s="2872"/>
      <c r="N179" s="2872"/>
      <c r="O179" s="2873"/>
      <c r="P179" s="2872"/>
      <c r="Q179" s="2872"/>
      <c r="R179" s="2874"/>
    </row>
    <row r="180" s="2366" customFormat="1" spans="2:18">
      <c r="B180" s="2872"/>
      <c r="C180" s="2872"/>
      <c r="D180" s="2872"/>
      <c r="E180" s="2872"/>
      <c r="F180" s="2872"/>
      <c r="G180" s="2873"/>
      <c r="H180" s="2872"/>
      <c r="I180" s="2873"/>
      <c r="J180" s="2872"/>
      <c r="K180" s="2872"/>
      <c r="L180" s="2873"/>
      <c r="M180" s="2872"/>
      <c r="N180" s="2872"/>
      <c r="O180" s="2873"/>
      <c r="P180" s="2872"/>
      <c r="Q180" s="2872"/>
      <c r="R180" s="2874"/>
    </row>
    <row r="181" s="2366" customFormat="1" spans="2:18">
      <c r="B181" s="2872"/>
      <c r="C181" s="2872"/>
      <c r="D181" s="2872"/>
      <c r="E181" s="2872"/>
      <c r="F181" s="2872"/>
      <c r="G181" s="2873"/>
      <c r="H181" s="2872"/>
      <c r="I181" s="2873"/>
      <c r="J181" s="2872"/>
      <c r="K181" s="2872"/>
      <c r="L181" s="2873"/>
      <c r="M181" s="2872"/>
      <c r="N181" s="2872"/>
      <c r="O181" s="2873"/>
      <c r="P181" s="2872"/>
      <c r="Q181" s="2872"/>
      <c r="R181" s="2874"/>
    </row>
    <row r="182" s="2366" customFormat="1" spans="2:18">
      <c r="B182" s="2872"/>
      <c r="C182" s="2872"/>
      <c r="D182" s="2872"/>
      <c r="E182" s="2872"/>
      <c r="F182" s="2872"/>
      <c r="G182" s="2873"/>
      <c r="H182" s="2872"/>
      <c r="I182" s="2873"/>
      <c r="J182" s="2872"/>
      <c r="K182" s="2872"/>
      <c r="L182" s="2873"/>
      <c r="M182" s="2872"/>
      <c r="N182" s="2872"/>
      <c r="O182" s="2873"/>
      <c r="P182" s="2872"/>
      <c r="Q182" s="2872"/>
      <c r="R182" s="2874"/>
    </row>
    <row r="183" s="2366" customFormat="1" spans="2:18">
      <c r="B183" s="2872"/>
      <c r="C183" s="2872"/>
      <c r="D183" s="2872"/>
      <c r="E183" s="2872"/>
      <c r="F183" s="2872"/>
      <c r="G183" s="2873"/>
      <c r="H183" s="2872"/>
      <c r="I183" s="2873"/>
      <c r="J183" s="2872"/>
      <c r="K183" s="2872"/>
      <c r="L183" s="2873"/>
      <c r="M183" s="2872"/>
      <c r="N183" s="2872"/>
      <c r="O183" s="2873"/>
      <c r="P183" s="2872"/>
      <c r="Q183" s="2872"/>
      <c r="R183" s="2874"/>
    </row>
    <row r="184" s="2366" customFormat="1" spans="2:18">
      <c r="B184" s="2872"/>
      <c r="C184" s="2872"/>
      <c r="D184" s="2872"/>
      <c r="E184" s="2872"/>
      <c r="F184" s="2872"/>
      <c r="G184" s="2873"/>
      <c r="H184" s="2872"/>
      <c r="I184" s="2873"/>
      <c r="J184" s="2872"/>
      <c r="K184" s="2872"/>
      <c r="L184" s="2873"/>
      <c r="M184" s="2872"/>
      <c r="N184" s="2872"/>
      <c r="O184" s="2873"/>
      <c r="P184" s="2872"/>
      <c r="Q184" s="2872"/>
      <c r="R184" s="2874"/>
    </row>
    <row r="185" s="2366"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66"/>
      <c r="B186" s="2872"/>
      <c r="C186" s="2872"/>
      <c r="E186" s="2872"/>
      <c r="F186" s="2872"/>
      <c r="G186" s="2873"/>
    </row>
    <row r="187" spans="1:7">
      <c r="A187" s="2366"/>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view="pageBreakPreview" zoomScale="80" zoomScaleNormal="80" workbookViewId="0">
      <selection activeCell="E36" sqref="E36"/>
    </sheetView>
  </sheetViews>
  <sheetFormatPr defaultColWidth="9" defaultRowHeight="14"/>
  <cols>
    <col min="1" max="1" width="25" style="2849" customWidth="1"/>
    <col min="2" max="9" width="15.7545454545455" style="2849" customWidth="1"/>
    <col min="10" max="16384" width="9" style="2849"/>
  </cols>
  <sheetData>
    <row r="1" ht="16.5" spans="1:11">
      <c r="A1" s="2850" t="s">
        <v>757</v>
      </c>
      <c r="B1" s="2850">
        <f>SUM(B14:B23)</f>
        <v>164404.66</v>
      </c>
      <c r="C1" s="2851"/>
      <c r="D1" s="2851"/>
      <c r="E1" s="2851"/>
      <c r="F1" s="2851"/>
      <c r="G1" s="2852"/>
      <c r="H1" s="2853"/>
      <c r="I1" s="2853"/>
      <c r="J1" s="2853"/>
      <c r="K1" s="2853"/>
    </row>
    <row r="2" ht="16.5" spans="1:11">
      <c r="A2" s="2850" t="s">
        <v>758</v>
      </c>
      <c r="B2" s="2850">
        <f>SUM(C14:C23)</f>
        <v>48853.65</v>
      </c>
      <c r="C2" s="2851"/>
      <c r="D2" s="2851"/>
      <c r="E2" s="2851"/>
      <c r="F2" s="2851"/>
      <c r="G2" s="2852"/>
      <c r="H2" s="2853"/>
      <c r="I2" s="2853"/>
      <c r="J2" s="2853"/>
      <c r="K2" s="2853"/>
    </row>
    <row r="3" ht="16.5" spans="1:11">
      <c r="A3" s="2850" t="s">
        <v>759</v>
      </c>
      <c r="B3" s="2854">
        <f>项目基本情况!D3</f>
        <v>45861</v>
      </c>
      <c r="C3" s="2851"/>
      <c r="D3" s="2851"/>
      <c r="E3" s="2851"/>
      <c r="F3" s="2851"/>
      <c r="G3" s="2852"/>
      <c r="H3" s="2853"/>
      <c r="I3" s="2853"/>
      <c r="J3" s="2853"/>
      <c r="K3" s="2853"/>
    </row>
    <row r="4" ht="33" spans="1:11">
      <c r="A4" s="2850" t="s">
        <v>760</v>
      </c>
      <c r="B4" s="2850" t="s">
        <v>761</v>
      </c>
      <c r="C4" s="2850" t="s">
        <v>762</v>
      </c>
      <c r="D4" s="2850" t="s">
        <v>763</v>
      </c>
      <c r="E4" s="2851"/>
      <c r="F4" s="2852"/>
      <c r="G4" s="2852"/>
      <c r="H4" s="2853"/>
      <c r="I4" s="2853"/>
      <c r="J4" s="2853"/>
      <c r="K4" s="2853"/>
    </row>
    <row r="5" ht="16.5" spans="1:11">
      <c r="A5" s="2850" t="s">
        <v>764</v>
      </c>
      <c r="B5" s="2850">
        <f ca="1">SUM(D14:D23)</f>
        <v>21480</v>
      </c>
      <c r="C5" s="2850">
        <f ca="1">IF(B5=D14,结果表!H102,ROUND(B5*10000/$B$1,0))</f>
        <v>1307</v>
      </c>
      <c r="D5" s="2850">
        <f ca="1">ROUND(B5*10000/$B$2,0)</f>
        <v>4397</v>
      </c>
      <c r="E5" s="2851"/>
      <c r="F5" s="2852"/>
      <c r="G5" s="2852"/>
      <c r="H5" s="2853"/>
      <c r="I5" s="2853"/>
      <c r="J5" s="2853"/>
      <c r="K5" s="2853"/>
    </row>
    <row r="6" ht="16.5" spans="1:11">
      <c r="A6" s="2850" t="s">
        <v>765</v>
      </c>
      <c r="B6" s="2850">
        <f ca="1">SUM(G14:G23)</f>
        <v>21480</v>
      </c>
      <c r="C6" s="2850">
        <f ca="1">IF(B6=G14,结果表!H108,ROUND(B6*10000/$B$1,0))</f>
        <v>1307</v>
      </c>
      <c r="D6" s="2850">
        <f ca="1">ROUND(B6*10000/$B$2,0)</f>
        <v>4397</v>
      </c>
      <c r="E6" s="2851"/>
      <c r="F6" s="2852"/>
      <c r="G6" s="2852"/>
      <c r="H6" s="2853"/>
      <c r="I6" s="2853"/>
      <c r="J6" s="2853"/>
      <c r="K6" s="2853"/>
    </row>
    <row r="7" ht="16.5" spans="1:11">
      <c r="A7" s="2850" t="s">
        <v>766</v>
      </c>
      <c r="B7" s="2850">
        <f>SUM(H14:H23)</f>
        <v>0</v>
      </c>
      <c r="C7" s="2850" t="str">
        <f ca="1">IF(B7=H14,结果表!H110,ROUND(B7*10000/$B$1,0))</f>
        <v>——</v>
      </c>
      <c r="D7" s="2850">
        <f>ROUND(B7*10000/$B$2,0)</f>
        <v>0</v>
      </c>
      <c r="E7" s="2851"/>
      <c r="F7" s="2852"/>
      <c r="G7" s="2852"/>
      <c r="H7" s="2853"/>
      <c r="I7" s="2853"/>
      <c r="J7" s="2853"/>
      <c r="K7" s="2853"/>
    </row>
    <row r="8" ht="16.5" spans="1:11">
      <c r="A8" s="2850" t="s">
        <v>336</v>
      </c>
      <c r="B8" s="2850">
        <f>SUM(I14:I23)</f>
        <v>0</v>
      </c>
      <c r="C8" s="2850" t="str">
        <f ca="1">IF(B8=I14,结果表!H112,ROUND(B8*10000/$B$1,0))</f>
        <v>——</v>
      </c>
      <c r="D8" s="2850">
        <f>ROUND(B8*10000/$B$2,0)</f>
        <v>0</v>
      </c>
      <c r="E8" s="2851"/>
      <c r="F8" s="2852"/>
      <c r="G8" s="2852"/>
      <c r="H8" s="2853"/>
      <c r="I8" s="2853"/>
      <c r="J8" s="2853"/>
      <c r="K8" s="2853"/>
    </row>
    <row r="9" ht="16.5" spans="1:11">
      <c r="A9" s="2850" t="s">
        <v>767</v>
      </c>
      <c r="B9" s="2855"/>
      <c r="C9" s="2851"/>
      <c r="D9" s="2851"/>
      <c r="E9" s="2851"/>
      <c r="F9" s="2852"/>
      <c r="G9" s="2852"/>
      <c r="H9" s="2853"/>
      <c r="I9" s="2853"/>
      <c r="J9" s="2853"/>
      <c r="K9" s="2853"/>
    </row>
    <row r="10" ht="16.5" spans="1:11">
      <c r="A10" s="2850" t="s">
        <v>768</v>
      </c>
      <c r="B10" s="2850">
        <f>IF(E10="",0,ROUND(B1*(E10*365/G10)/10000,0))</f>
        <v>0</v>
      </c>
      <c r="C10" s="2850" t="s">
        <v>769</v>
      </c>
      <c r="D10" s="2850" t="s">
        <v>768</v>
      </c>
      <c r="E10" s="2856"/>
      <c r="F10" s="2857" t="s">
        <v>770</v>
      </c>
      <c r="G10" s="2858"/>
      <c r="H10" s="2853"/>
      <c r="I10" s="2853"/>
      <c r="J10" s="2853"/>
      <c r="K10" s="2853"/>
    </row>
    <row r="11" ht="16.5" spans="1:11">
      <c r="A11" s="2850" t="s">
        <v>771</v>
      </c>
      <c r="B11" s="2855"/>
      <c r="C11" s="2851"/>
      <c r="D11" s="2851"/>
      <c r="E11" s="2851"/>
      <c r="F11" s="2852"/>
      <c r="G11" s="2852"/>
      <c r="H11" s="2853"/>
      <c r="I11" s="2853"/>
      <c r="J11" s="2853"/>
      <c r="K11" s="2853"/>
    </row>
    <row r="12" ht="16.5" spans="1:11">
      <c r="A12" s="2851"/>
      <c r="B12" s="2851"/>
      <c r="C12" s="2851"/>
      <c r="D12" s="2851"/>
      <c r="E12" s="2851"/>
      <c r="F12" s="2852"/>
      <c r="G12" s="2852"/>
      <c r="H12" s="2853"/>
      <c r="I12" s="2853"/>
      <c r="J12" s="2853"/>
      <c r="K12" s="2853"/>
    </row>
    <row r="13" ht="33" spans="1:11">
      <c r="A13" s="2859" t="s">
        <v>772</v>
      </c>
      <c r="B13" s="2860" t="s">
        <v>757</v>
      </c>
      <c r="C13" s="2860" t="s">
        <v>758</v>
      </c>
      <c r="D13" s="2860" t="s">
        <v>773</v>
      </c>
      <c r="E13" s="2850" t="s">
        <v>762</v>
      </c>
      <c r="F13" s="2850" t="s">
        <v>763</v>
      </c>
      <c r="G13" s="2860" t="s">
        <v>774</v>
      </c>
      <c r="H13" s="2860" t="s">
        <v>775</v>
      </c>
      <c r="I13" s="2860" t="s">
        <v>776</v>
      </c>
      <c r="J13" s="2852"/>
      <c r="K13" s="2853"/>
    </row>
    <row r="14" ht="16.5" spans="1:11">
      <c r="A14" s="2861" t="s">
        <v>777</v>
      </c>
      <c r="B14" s="2862">
        <f>'数据-汇总表'!E3</f>
        <v>54377.37</v>
      </c>
      <c r="C14" s="2862">
        <f>'数据-汇总表'!D3</f>
        <v>11805</v>
      </c>
      <c r="D14" s="2862">
        <f ca="1">结果表!G19</f>
        <v>9734</v>
      </c>
      <c r="E14" s="2862">
        <f ca="1">ROUND(D14*10000/B14,0)</f>
        <v>1790</v>
      </c>
      <c r="F14" s="2862">
        <f ca="1">ROUND(D14*10000/C14,0)</f>
        <v>8246</v>
      </c>
      <c r="G14" s="2862">
        <f ca="1">D14</f>
        <v>9734</v>
      </c>
      <c r="H14" s="2862"/>
      <c r="I14" s="2862"/>
      <c r="J14" s="2852"/>
      <c r="K14" s="2853"/>
    </row>
    <row r="15" ht="16.5" spans="1:11">
      <c r="A15" s="2861" t="s">
        <v>778</v>
      </c>
      <c r="B15" s="2863">
        <f>'[2]数据-汇总表'!$E$3</f>
        <v>110027.29</v>
      </c>
      <c r="C15" s="2863">
        <f>'[2]数据-汇总表'!$D$3</f>
        <v>37048.65</v>
      </c>
      <c r="D15" s="2863">
        <f>[2]结果表!$G$19</f>
        <v>11746</v>
      </c>
      <c r="E15" s="2862">
        <f t="shared" ref="E15:E23" si="0">ROUND(D15*10000/B15,0)</f>
        <v>1068</v>
      </c>
      <c r="F15" s="2862">
        <f t="shared" ref="F15:F23" si="1">ROUND(D15*10000/C15,0)</f>
        <v>3170</v>
      </c>
      <c r="G15" s="2864">
        <f>D15</f>
        <v>11746</v>
      </c>
      <c r="H15" s="2864"/>
      <c r="I15" s="2863"/>
      <c r="J15" s="2852"/>
      <c r="K15" s="2853"/>
    </row>
    <row r="16" ht="16.5" spans="1:11">
      <c r="A16" s="2861" t="s">
        <v>779</v>
      </c>
      <c r="B16" s="2863"/>
      <c r="C16" s="2863"/>
      <c r="D16" s="2863"/>
      <c r="E16" s="2862" t="e">
        <f t="shared" si="0"/>
        <v>#DIV/0!</v>
      </c>
      <c r="F16" s="2862" t="e">
        <f t="shared" si="1"/>
        <v>#DIV/0!</v>
      </c>
      <c r="G16" s="2864"/>
      <c r="H16" s="2864"/>
      <c r="I16" s="2863"/>
      <c r="J16" s="2853"/>
      <c r="K16" s="2853"/>
    </row>
    <row r="17" ht="16.5" spans="1:11">
      <c r="A17" s="2861" t="s">
        <v>780</v>
      </c>
      <c r="B17" s="2863"/>
      <c r="C17" s="2863"/>
      <c r="D17" s="2863"/>
      <c r="E17" s="2862" t="e">
        <f t="shared" si="0"/>
        <v>#DIV/0!</v>
      </c>
      <c r="F17" s="2862" t="e">
        <f t="shared" si="1"/>
        <v>#DIV/0!</v>
      </c>
      <c r="G17" s="2864"/>
      <c r="H17" s="2864"/>
      <c r="I17" s="2863"/>
      <c r="J17" s="2853"/>
      <c r="K17" s="2853"/>
    </row>
    <row r="18" ht="16.5" spans="1:11">
      <c r="A18" s="2861" t="s">
        <v>781</v>
      </c>
      <c r="B18" s="2863"/>
      <c r="C18" s="2863"/>
      <c r="D18" s="2863"/>
      <c r="E18" s="2862" t="e">
        <f t="shared" si="0"/>
        <v>#DIV/0!</v>
      </c>
      <c r="F18" s="2862" t="e">
        <f t="shared" si="1"/>
        <v>#DIV/0!</v>
      </c>
      <c r="G18" s="2863"/>
      <c r="H18" s="2863"/>
      <c r="I18" s="2863"/>
      <c r="J18" s="2853"/>
      <c r="K18" s="2853"/>
    </row>
    <row r="19" ht="16.5" spans="1:11">
      <c r="A19" s="2861" t="s">
        <v>782</v>
      </c>
      <c r="B19" s="2863"/>
      <c r="C19" s="2863"/>
      <c r="D19" s="2863"/>
      <c r="E19" s="2862" t="e">
        <f t="shared" si="0"/>
        <v>#DIV/0!</v>
      </c>
      <c r="F19" s="2862" t="e">
        <f t="shared" si="1"/>
        <v>#DIV/0!</v>
      </c>
      <c r="G19" s="2863"/>
      <c r="H19" s="2863"/>
      <c r="I19" s="2863"/>
      <c r="J19" s="2853"/>
      <c r="K19" s="2853"/>
    </row>
    <row r="20" ht="16.5" spans="1:11">
      <c r="A20" s="2861" t="s">
        <v>783</v>
      </c>
      <c r="B20" s="2863"/>
      <c r="C20" s="2863"/>
      <c r="D20" s="2863"/>
      <c r="E20" s="2862" t="e">
        <f t="shared" si="0"/>
        <v>#DIV/0!</v>
      </c>
      <c r="F20" s="2862" t="e">
        <f t="shared" si="1"/>
        <v>#DIV/0!</v>
      </c>
      <c r="G20" s="2863"/>
      <c r="H20" s="2863"/>
      <c r="I20" s="2863"/>
      <c r="J20" s="2853"/>
      <c r="K20" s="2853"/>
    </row>
    <row r="21" ht="16.5" spans="1:11">
      <c r="A21" s="2861" t="s">
        <v>784</v>
      </c>
      <c r="B21" s="2863"/>
      <c r="C21" s="2863"/>
      <c r="D21" s="2863"/>
      <c r="E21" s="2862" t="e">
        <f t="shared" si="0"/>
        <v>#DIV/0!</v>
      </c>
      <c r="F21" s="2862" t="e">
        <f t="shared" si="1"/>
        <v>#DIV/0!</v>
      </c>
      <c r="G21" s="2863"/>
      <c r="H21" s="2863"/>
      <c r="I21" s="2863"/>
      <c r="J21" s="2853"/>
      <c r="K21" s="2853"/>
    </row>
    <row r="22" ht="16.5" spans="1:11">
      <c r="A22" s="2861" t="s">
        <v>785</v>
      </c>
      <c r="B22" s="2863"/>
      <c r="C22" s="2863"/>
      <c r="D22" s="2863"/>
      <c r="E22" s="2862" t="e">
        <f t="shared" si="0"/>
        <v>#DIV/0!</v>
      </c>
      <c r="F22" s="2862" t="e">
        <f t="shared" si="1"/>
        <v>#DIV/0!</v>
      </c>
      <c r="G22" s="2863"/>
      <c r="H22" s="2863"/>
      <c r="I22" s="2863"/>
      <c r="J22" s="2853"/>
      <c r="K22" s="2853"/>
    </row>
    <row r="23" ht="16.5" spans="1:11">
      <c r="A23" s="2861" t="s">
        <v>786</v>
      </c>
      <c r="B23" s="2863"/>
      <c r="C23" s="2863"/>
      <c r="D23" s="2863"/>
      <c r="E23" s="2855" t="e">
        <f t="shared" si="0"/>
        <v>#DIV/0!</v>
      </c>
      <c r="F23" s="2855" t="e">
        <f t="shared" si="1"/>
        <v>#DIV/0!</v>
      </c>
      <c r="G23" s="2863"/>
      <c r="H23" s="2863"/>
      <c r="I23" s="2863"/>
      <c r="J23" s="2853"/>
      <c r="K23" s="2853"/>
    </row>
    <row r="24" spans="1:11">
      <c r="A24" s="2853"/>
      <c r="B24" s="2853" t="s">
        <v>199</v>
      </c>
      <c r="C24" s="2853" t="s">
        <v>787</v>
      </c>
      <c r="D24" s="2853" t="s">
        <v>788</v>
      </c>
      <c r="E24" s="2853"/>
      <c r="F24" s="2853"/>
      <c r="G24" s="2853"/>
      <c r="H24" s="2853"/>
      <c r="I24" s="2853"/>
      <c r="J24" s="2853"/>
      <c r="K24" s="2853"/>
    </row>
    <row r="25" spans="1:11">
      <c r="A25" s="2853"/>
      <c r="B25" s="2853">
        <f ca="1">结果表!D118</f>
        <v>1966</v>
      </c>
      <c r="C25" s="2853">
        <f ca="1">结果表!F118</f>
        <v>7768</v>
      </c>
      <c r="D25" s="2853">
        <f ca="1">结果表!H118</f>
        <v>9734</v>
      </c>
      <c r="E25" s="2853"/>
      <c r="F25" s="2853"/>
      <c r="G25" s="2853"/>
      <c r="H25" s="2853"/>
      <c r="I25" s="2853"/>
      <c r="J25" s="2853"/>
      <c r="K25" s="2853"/>
    </row>
    <row r="26" spans="1:11">
      <c r="A26" s="2853"/>
      <c r="B26" s="2853">
        <f>[2]结果表!$G$19</f>
        <v>11746</v>
      </c>
      <c r="C26" s="2853">
        <v>0</v>
      </c>
      <c r="D26" s="2853">
        <f>B26</f>
        <v>11746</v>
      </c>
      <c r="E26" s="2853"/>
      <c r="F26" s="2853"/>
      <c r="G26" s="2853"/>
      <c r="H26" s="2853"/>
      <c r="I26" s="2853"/>
      <c r="J26" s="2853"/>
      <c r="K26" s="2853"/>
    </row>
    <row r="27" spans="2:4">
      <c r="B27" s="2849">
        <f ca="1">B25+B26</f>
        <v>13712</v>
      </c>
      <c r="C27" s="2849">
        <f ca="1">C25+C26</f>
        <v>7768</v>
      </c>
      <c r="D27" s="2849">
        <f ca="1">D25+D26</f>
        <v>21480</v>
      </c>
    </row>
    <row r="28" spans="2:4">
      <c r="B28" s="2865">
        <f ca="1">B27*10000</f>
        <v>137120000</v>
      </c>
      <c r="C28" s="2865">
        <f ca="1">C27*10000</f>
        <v>77680000</v>
      </c>
      <c r="D28" s="2865">
        <f ca="1">D27*10000</f>
        <v>214800000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3" workbookViewId="0">
      <selection activeCell="D119" sqref="D119:I123"/>
    </sheetView>
  </sheetViews>
  <sheetFormatPr defaultColWidth="12.6272727272727" defaultRowHeight="21.75" customHeight="1"/>
  <cols>
    <col min="1" max="2" width="12.6272727272727" style="2499"/>
    <col min="3" max="4" width="12.6272727272727" style="2499" customWidth="1"/>
    <col min="5" max="9" width="12.6272727272727" style="2499"/>
    <col min="10" max="11" width="12.6272727272727" style="1005" customWidth="1"/>
    <col min="12" max="12" width="12.6272727272727" style="1005"/>
    <col min="13" max="13" width="14.1272727272727" style="1005" customWidth="1"/>
    <col min="14" max="26" width="12.6272727272727" style="1005"/>
    <col min="27" max="35" width="12.6272727272727" style="2498"/>
    <col min="36" max="16384" width="12.6272727272727" style="2499"/>
  </cols>
  <sheetData>
    <row r="1" customHeight="1" spans="1:9">
      <c r="A1" s="2500" t="s">
        <v>789</v>
      </c>
      <c r="B1" s="2501"/>
      <c r="C1" s="2502"/>
      <c r="D1" s="2501"/>
      <c r="E1" s="2501"/>
      <c r="F1" s="2503" t="s">
        <v>790</v>
      </c>
      <c r="G1" s="2504"/>
      <c r="H1" s="2505" t="str">
        <f>IF(G1="现房","——","估价对象范围")</f>
        <v>估价对象范围</v>
      </c>
      <c r="I1" s="2665"/>
    </row>
    <row r="2" customHeight="1" spans="1:9">
      <c r="A2" s="2506" t="str">
        <f>项目基本情况!S2</f>
        <v>房地产</v>
      </c>
      <c r="B2" s="2507"/>
      <c r="C2" s="2507"/>
      <c r="D2" s="2507"/>
      <c r="E2" s="2507"/>
      <c r="F2" s="2507"/>
      <c r="G2" s="2507"/>
      <c r="H2" s="2507"/>
      <c r="I2" s="2666"/>
    </row>
    <row r="3" ht="14" spans="1:9">
      <c r="A3" s="2508" t="s">
        <v>791</v>
      </c>
      <c r="B3" s="2155"/>
      <c r="C3" s="2155"/>
      <c r="D3" s="2155"/>
      <c r="E3" s="2155"/>
      <c r="F3" s="2155"/>
      <c r="G3" s="2155"/>
      <c r="H3" s="2155"/>
      <c r="I3" s="2155"/>
    </row>
    <row r="4" ht="14" spans="1:12">
      <c r="A4" s="2509" t="s">
        <v>792</v>
      </c>
      <c r="B4" s="2510" t="s">
        <v>793</v>
      </c>
      <c r="C4" s="2511" t="s">
        <v>794</v>
      </c>
      <c r="D4" s="2511" t="s">
        <v>795</v>
      </c>
      <c r="E4" s="2512" t="s">
        <v>796</v>
      </c>
      <c r="F4" s="2513"/>
      <c r="G4" s="2513"/>
      <c r="H4" s="2513"/>
      <c r="I4" s="2667"/>
      <c r="K4" s="1006" t="str">
        <f>IF(ISNUMBER(FIND("比较法",结果表!C4)),"比较法",IF(ISNUMBER(FIND("成本法",结果表!C4)),"成本法",IF(ISNUMBER(FIND("假设开发法",结果表!C4)),"假设开发法",IF(ISNUMBER(FIND("收益法",结果表!C4)),"收益法","基准地价系数修正法"))))</f>
        <v>成本法</v>
      </c>
      <c r="L4" s="1006" t="str">
        <f>IF(ISNUMBER(FIND("比较法",结果表!D4)),"比较法",IF(ISNUMBER(FIND("成本法",结果表!D4)),"成本法",IF(ISNUMBER(FIND("假设开发法",结果表!D4)),"假设开发法",IF(ISNUMBER(FIND("收益法",结果表!D4)),"收益法","基准地价系数修正法"))))</f>
        <v>假设开发法</v>
      </c>
    </row>
    <row r="5" ht="14" spans="1:9">
      <c r="A5" s="2514" t="s">
        <v>797</v>
      </c>
      <c r="B5" s="1371">
        <v>25</v>
      </c>
      <c r="C5" s="2515"/>
      <c r="D5" s="2516"/>
      <c r="E5" s="2144" t="s">
        <v>798</v>
      </c>
      <c r="F5" s="2517"/>
      <c r="G5" s="2517"/>
      <c r="H5" s="2517"/>
      <c r="I5" s="2360"/>
    </row>
    <row r="6" ht="14" spans="1:9">
      <c r="A6" s="2514"/>
      <c r="B6" s="1371"/>
      <c r="C6" s="2518"/>
      <c r="D6" s="2516"/>
      <c r="E6" s="2144" t="s">
        <v>799</v>
      </c>
      <c r="F6" s="2517"/>
      <c r="G6" s="2517"/>
      <c r="H6" s="2517"/>
      <c r="I6" s="2360"/>
    </row>
    <row r="7" ht="14" spans="1:9">
      <c r="A7" s="2514"/>
      <c r="B7" s="1371"/>
      <c r="C7" s="2519"/>
      <c r="D7" s="2516"/>
      <c r="E7" s="2144" t="s">
        <v>800</v>
      </c>
      <c r="F7" s="2517"/>
      <c r="G7" s="2517"/>
      <c r="H7" s="2517"/>
      <c r="I7" s="2360"/>
    </row>
    <row r="8" ht="14" spans="1:9">
      <c r="A8" s="2514" t="s">
        <v>801</v>
      </c>
      <c r="B8" s="1371">
        <v>15</v>
      </c>
      <c r="C8" s="2515"/>
      <c r="D8" s="2516"/>
      <c r="E8" s="2144" t="s">
        <v>802</v>
      </c>
      <c r="F8" s="2517"/>
      <c r="G8" s="2517"/>
      <c r="H8" s="2517"/>
      <c r="I8" s="2360"/>
    </row>
    <row r="9" ht="14" spans="1:9">
      <c r="A9" s="2514"/>
      <c r="B9" s="1371"/>
      <c r="C9" s="2519"/>
      <c r="D9" s="2516"/>
      <c r="E9" s="2144" t="s">
        <v>803</v>
      </c>
      <c r="F9" s="2517"/>
      <c r="G9" s="2517"/>
      <c r="H9" s="2517"/>
      <c r="I9" s="2360"/>
    </row>
    <row r="10" ht="14" spans="1:9">
      <c r="A10" s="2514" t="s">
        <v>804</v>
      </c>
      <c r="B10" s="1371">
        <v>15</v>
      </c>
      <c r="C10" s="2515"/>
      <c r="D10" s="2516"/>
      <c r="E10" s="2144" t="s">
        <v>805</v>
      </c>
      <c r="F10" s="2517"/>
      <c r="G10" s="2517"/>
      <c r="H10" s="2517"/>
      <c r="I10" s="2360"/>
    </row>
    <row r="11" ht="14" spans="1:9">
      <c r="A11" s="2514"/>
      <c r="B11" s="1371"/>
      <c r="C11" s="2519"/>
      <c r="D11" s="2516"/>
      <c r="E11" s="2144" t="s">
        <v>806</v>
      </c>
      <c r="F11" s="2517"/>
      <c r="G11" s="2517"/>
      <c r="H11" s="2517"/>
      <c r="I11" s="2360"/>
    </row>
    <row r="12" ht="14" spans="1:9">
      <c r="A12" s="2514" t="s">
        <v>807</v>
      </c>
      <c r="B12" s="1371">
        <v>15</v>
      </c>
      <c r="C12" s="2515"/>
      <c r="D12" s="2516"/>
      <c r="E12" s="2144" t="s">
        <v>808</v>
      </c>
      <c r="F12" s="2517"/>
      <c r="G12" s="2517"/>
      <c r="H12" s="2517"/>
      <c r="I12" s="2360"/>
    </row>
    <row r="13" ht="14" spans="1:9">
      <c r="A13" s="2514"/>
      <c r="B13" s="1371"/>
      <c r="C13" s="2519"/>
      <c r="D13" s="2516"/>
      <c r="E13" s="2144" t="s">
        <v>809</v>
      </c>
      <c r="F13" s="2517"/>
      <c r="G13" s="2517"/>
      <c r="H13" s="2517"/>
      <c r="I13" s="2360"/>
    </row>
    <row r="14" ht="14" spans="1:9">
      <c r="A14" s="2514" t="s">
        <v>810</v>
      </c>
      <c r="B14" s="1371">
        <v>30</v>
      </c>
      <c r="C14" s="2515">
        <v>6</v>
      </c>
      <c r="D14" s="2516">
        <v>4</v>
      </c>
      <c r="E14" s="2144" t="s">
        <v>811</v>
      </c>
      <c r="F14" s="2517"/>
      <c r="G14" s="2517"/>
      <c r="H14" s="2517"/>
      <c r="I14" s="2360"/>
    </row>
    <row r="15" ht="14" spans="1:9">
      <c r="A15" s="2514"/>
      <c r="B15" s="1371"/>
      <c r="C15" s="2518"/>
      <c r="D15" s="2516"/>
      <c r="E15" s="2144" t="s">
        <v>812</v>
      </c>
      <c r="F15" s="2517"/>
      <c r="G15" s="2517"/>
      <c r="H15" s="2517"/>
      <c r="I15" s="2360"/>
    </row>
    <row r="16" ht="14" spans="1:9">
      <c r="A16" s="2514"/>
      <c r="B16" s="1371"/>
      <c r="C16" s="2519"/>
      <c r="D16" s="2516"/>
      <c r="E16" s="2144" t="s">
        <v>813</v>
      </c>
      <c r="F16" s="2517"/>
      <c r="G16" s="2517"/>
      <c r="H16" s="2517"/>
      <c r="I16" s="2360"/>
    </row>
    <row r="17" ht="14" spans="1:13">
      <c r="A17" s="2520" t="s">
        <v>814</v>
      </c>
      <c r="B17" s="2521"/>
      <c r="C17" s="2522">
        <f>SUM(C5:C16)</f>
        <v>6</v>
      </c>
      <c r="D17" s="2522">
        <f>SUM(D5:D16)</f>
        <v>4</v>
      </c>
      <c r="E17" s="1049"/>
      <c r="F17" s="1049"/>
      <c r="G17" s="1049"/>
      <c r="H17" s="1049"/>
      <c r="I17" s="1049"/>
      <c r="K17" s="2102"/>
      <c r="L17" s="2102" t="s">
        <v>815</v>
      </c>
      <c r="M17" s="2102" t="s">
        <v>816</v>
      </c>
    </row>
    <row r="18" ht="31.9" customHeight="1" spans="1:13">
      <c r="A18" s="2523" t="s">
        <v>817</v>
      </c>
      <c r="B18" s="2524"/>
      <c r="C18" s="2525">
        <f>ROUND(C17/SUM(C17:D17),2)</f>
        <v>0.6</v>
      </c>
      <c r="D18" s="2525">
        <f>1-C18</f>
        <v>0.4</v>
      </c>
      <c r="E18" s="2526" t="s">
        <v>818</v>
      </c>
      <c r="F18" s="2527"/>
      <c r="G18" s="2527"/>
      <c r="H18" s="2527"/>
      <c r="I18" s="2527"/>
      <c r="K18" s="2102" t="s">
        <v>469</v>
      </c>
      <c r="L18" s="2102">
        <f>IF(C1="",'数据-汇总表'!E3,SUMIF(项目类型,C1,'数据-汇总表'!E17:E26)+SUMIF(项目类型,C1,'数据-汇总表'!I17:I26))</f>
        <v>54377.37</v>
      </c>
      <c r="M18" s="2102">
        <f>IF(C1="",'数据-汇总表'!E3,SUMIF(项目类型,C1,'数据-汇总表'!E17:E26))</f>
        <v>54377.37</v>
      </c>
    </row>
    <row r="19" ht="14" spans="1:13">
      <c r="A19" s="2528" t="s">
        <v>819</v>
      </c>
      <c r="B19" s="2529" t="s">
        <v>820</v>
      </c>
      <c r="C19" s="2530">
        <f ca="1">SUMIF(INDIRECT("'"&amp;C4&amp;"'"&amp;"!A:A"),结果表!B19,INDIRECT("'"&amp;C4&amp;"'"&amp;"!B:B"))</f>
        <v>13058</v>
      </c>
      <c r="D19" s="1532">
        <f ca="1">SUMIF(INDIRECT("'"&amp;D4&amp;"'"&amp;"!A:A"),结果表!B19,INDIRECT("'"&amp;D4&amp;"'"&amp;"!B:B"))</f>
        <v>4749</v>
      </c>
      <c r="E19" s="2528" t="s">
        <v>821</v>
      </c>
      <c r="F19" s="2529" t="s">
        <v>820</v>
      </c>
      <c r="G19" s="2531">
        <f ca="1">ROUND(C19*$C$18+D19*$D$18,0)</f>
        <v>9734</v>
      </c>
      <c r="H19" s="2532" t="s">
        <v>822</v>
      </c>
      <c r="I19" s="1049"/>
      <c r="K19" s="2102" t="s">
        <v>473</v>
      </c>
      <c r="L19" s="2102">
        <f>IF(C1="",'数据-汇总表'!D3,SUMIF(项目类型,C1,'数据-汇总表'!D17:D26)+SUMIF(项目类型,C1,'数据-汇总表'!H17:H27))</f>
        <v>11805</v>
      </c>
      <c r="M19" s="2102">
        <f>IF(C1="",'数据-汇总表'!D3,SUMIF(项目类型,C1,'数据-汇总表'!D17:D26))</f>
        <v>11805</v>
      </c>
    </row>
    <row r="20" ht="14" spans="1:9">
      <c r="A20" s="2533"/>
      <c r="B20" s="2534" t="s">
        <v>823</v>
      </c>
      <c r="C20" s="1819">
        <f ca="1">SUMIF(INDIRECT("'"&amp;C4&amp;"'"&amp;"!A:A"),结果表!B20,INDIRECT("'"&amp;C4&amp;"'"&amp;"!B:B"))</f>
        <v>2401</v>
      </c>
      <c r="D20" s="1822">
        <f ca="1">SUMIF(INDIRECT("'"&amp;D4&amp;"'"&amp;"!A:A"),结果表!B20,INDIRECT("'"&amp;D4&amp;"'"&amp;"!B:B"))</f>
        <v>873</v>
      </c>
      <c r="E20" s="2533"/>
      <c r="F20" s="2534" t="s">
        <v>823</v>
      </c>
      <c r="G20" s="2535">
        <f ca="1">ROUND(C20*$C$18+D20*$D$18,0)</f>
        <v>1790</v>
      </c>
      <c r="H20" s="2260" t="s">
        <v>824</v>
      </c>
      <c r="I20" s="1049"/>
    </row>
    <row r="21" ht="15" customHeight="1" spans="1:9">
      <c r="A21" s="2441"/>
      <c r="B21" s="2536" t="s">
        <v>825</v>
      </c>
      <c r="C21" s="2537">
        <f ca="1">ROUND(C19*10000/L19,0)</f>
        <v>11061</v>
      </c>
      <c r="D21" s="2538">
        <f ca="1">ROUND(D19*10000/L19,0)</f>
        <v>4023</v>
      </c>
      <c r="E21" s="2441"/>
      <c r="F21" s="2536" t="s">
        <v>825</v>
      </c>
      <c r="G21" s="2539">
        <f ca="1">ROUND(G19*10000/L19,0)</f>
        <v>8246</v>
      </c>
      <c r="H21" s="2540" t="s">
        <v>824</v>
      </c>
      <c r="I21" s="1049"/>
    </row>
    <row r="22" ht="14.75" spans="1:9">
      <c r="A22" s="2541" t="s">
        <v>826</v>
      </c>
      <c r="B22" s="2542"/>
      <c r="C22" s="2543"/>
      <c r="D22" s="2544">
        <f ca="1">IF(C19&lt;D19,D19/C19-1,C19/D19-1)</f>
        <v>1.74963150136871</v>
      </c>
      <c r="E22" s="1049"/>
      <c r="F22" s="2545"/>
      <c r="G22" s="1049"/>
      <c r="H22" s="1049"/>
      <c r="I22" s="1049"/>
    </row>
    <row r="23" ht="14.75" spans="1:9">
      <c r="A23" s="2501"/>
      <c r="B23" s="2501"/>
      <c r="C23" s="2501"/>
      <c r="D23" s="2501"/>
      <c r="E23" s="1049"/>
      <c r="F23" s="2545"/>
      <c r="G23" s="1049"/>
      <c r="H23" s="1049"/>
      <c r="I23" s="1049"/>
    </row>
    <row r="24" ht="14" spans="1:9">
      <c r="A24" s="2546" t="s">
        <v>827</v>
      </c>
      <c r="B24" s="2529" t="s">
        <v>820</v>
      </c>
      <c r="C24" s="2531">
        <f>IF(B30=0,0,D30)</f>
        <v>0</v>
      </c>
      <c r="D24" s="2547"/>
      <c r="E24" s="1049"/>
      <c r="F24" s="1049"/>
      <c r="G24" s="1049"/>
      <c r="H24" s="1049"/>
      <c r="I24" s="1049"/>
    </row>
    <row r="25" ht="14" spans="1:9">
      <c r="A25" s="2548"/>
      <c r="B25" s="2534" t="s">
        <v>823</v>
      </c>
      <c r="C25" s="2549">
        <f>IF(B30=0,0,C30)</f>
        <v>0</v>
      </c>
      <c r="D25" s="2550"/>
      <c r="E25" s="1049"/>
      <c r="F25" s="1049"/>
      <c r="G25" s="1049"/>
      <c r="H25" s="1049"/>
      <c r="I25" s="1049"/>
    </row>
    <row r="26" ht="13.5" customHeight="1" spans="1:9">
      <c r="A26" s="2551" t="s">
        <v>828</v>
      </c>
      <c r="B26" s="2552" t="s">
        <v>829</v>
      </c>
      <c r="C26" s="2552" t="s">
        <v>830</v>
      </c>
      <c r="D26" s="2553" t="s">
        <v>831</v>
      </c>
      <c r="E26" s="1049"/>
      <c r="F26" s="1049"/>
      <c r="G26" s="1049"/>
      <c r="H26" s="1049"/>
      <c r="I26" s="1049"/>
    </row>
    <row r="27" ht="14" spans="1:9">
      <c r="A27" s="2551"/>
      <c r="B27" s="2552">
        <v>0</v>
      </c>
      <c r="C27" s="2552">
        <v>0</v>
      </c>
      <c r="D27" s="2553">
        <f>ROUND(C27*B27/10000,0)</f>
        <v>0</v>
      </c>
      <c r="E27" s="1049"/>
      <c r="F27" s="1049"/>
      <c r="G27" s="1049"/>
      <c r="H27" s="1049"/>
      <c r="I27" s="1049"/>
    </row>
    <row r="28" ht="14" spans="1:9">
      <c r="A28" s="2551"/>
      <c r="B28" s="2552"/>
      <c r="C28" s="2552"/>
      <c r="D28" s="2553"/>
      <c r="E28" s="1049"/>
      <c r="F28" s="1049"/>
      <c r="G28" s="1049"/>
      <c r="H28" s="1049"/>
      <c r="I28" s="1049"/>
    </row>
    <row r="29" ht="14" spans="1:9">
      <c r="A29" s="2551"/>
      <c r="B29" s="2552"/>
      <c r="C29" s="2552"/>
      <c r="D29" s="2553"/>
      <c r="E29" s="1049"/>
      <c r="F29" s="1049"/>
      <c r="G29" s="1049"/>
      <c r="H29" s="1049"/>
      <c r="I29" s="1049"/>
    </row>
    <row r="30" ht="14.75" spans="1:9">
      <c r="A30" s="2552" t="s">
        <v>832</v>
      </c>
      <c r="B30" s="2552"/>
      <c r="C30" s="2552"/>
      <c r="D30" s="2552"/>
      <c r="E30" s="2554" t="s">
        <v>833</v>
      </c>
      <c r="F30" s="1049"/>
      <c r="G30" s="1049"/>
      <c r="H30" s="1049"/>
      <c r="I30" s="1049"/>
    </row>
    <row r="31" s="2495" customFormat="1" ht="26.45" customHeight="1" spans="1:36">
      <c r="A31" s="2555"/>
      <c r="B31" s="2556"/>
      <c r="C31" s="2556"/>
      <c r="D31" s="2556"/>
      <c r="E31" s="2556"/>
      <c r="F31" s="2556"/>
      <c r="G31" s="2556"/>
      <c r="H31" s="2556"/>
      <c r="I31" s="2668" t="s">
        <v>834</v>
      </c>
      <c r="J31" s="2669"/>
      <c r="K31" s="2670"/>
      <c r="L31" s="2670"/>
      <c r="M31" s="2670"/>
      <c r="N31" s="2670"/>
      <c r="O31" s="2670"/>
      <c r="P31" s="2670"/>
      <c r="Q31" s="2670"/>
      <c r="R31" s="2670"/>
      <c r="S31" s="2670"/>
      <c r="T31" s="2670"/>
      <c r="U31" s="2670"/>
      <c r="V31" s="2670"/>
      <c r="W31" s="2670"/>
      <c r="X31" s="2670"/>
      <c r="Y31" s="2670"/>
      <c r="Z31" s="2670"/>
      <c r="AA31" s="2670"/>
      <c r="AB31" s="2704"/>
      <c r="AC31" s="2704"/>
      <c r="AD31" s="2704"/>
      <c r="AE31" s="2704"/>
      <c r="AF31" s="2704"/>
      <c r="AG31" s="2704"/>
      <c r="AH31" s="2704"/>
      <c r="AI31" s="2704"/>
      <c r="AJ31" s="2704"/>
    </row>
    <row r="32" ht="15.5" spans="1:9">
      <c r="A32" s="2557" t="s">
        <v>835</v>
      </c>
      <c r="B32" s="2558"/>
      <c r="C32" s="2559">
        <f ca="1">IF(D32="总价",G19-C24,G20-C25)</f>
        <v>9734</v>
      </c>
      <c r="D32" s="2560" t="s">
        <v>836</v>
      </c>
      <c r="E32" s="1049"/>
      <c r="F32" s="1049"/>
      <c r="G32" s="1049"/>
      <c r="H32" s="1049"/>
      <c r="I32" s="1049"/>
    </row>
    <row r="33" ht="14" spans="1:9">
      <c r="A33" s="2382" t="s">
        <v>837</v>
      </c>
      <c r="B33" s="2561"/>
      <c r="C33" s="2562" t="s">
        <v>838</v>
      </c>
      <c r="D33" s="2563" t="s">
        <v>794</v>
      </c>
      <c r="E33" s="2564" t="s">
        <v>839</v>
      </c>
      <c r="F33" s="2565" t="str">
        <f>IF(D32="楼面单价","取值（单价）","取值（总价）")</f>
        <v>取值（总价）</v>
      </c>
      <c r="G33" s="1049"/>
      <c r="H33" s="1049"/>
      <c r="I33" s="1049"/>
    </row>
    <row r="34" ht="14" spans="1:9">
      <c r="A34" s="2566"/>
      <c r="B34" s="2567" t="s">
        <v>840</v>
      </c>
      <c r="C34" s="2568">
        <f ca="1">IF(C33="自定义",F34,C32-C35)</f>
        <v>1966</v>
      </c>
      <c r="D34" s="2569">
        <f ca="1">IF(C33="自定义",ROUND(C34/C32,3),IF(C33="收益比率",SUMIF(INDIRECT("'"&amp;D33&amp;"'"&amp;"!b:b"),"土地收益比率",INDIRECT("'"&amp;D33&amp;"'"&amp;"!c:c")),SUMIF(INDIRECT("'"&amp;D33&amp;"'"&amp;"!b:b"),"土地成本比率",INDIRECT("'"&amp;D33&amp;"'"&amp;"!c:c"))))</f>
        <v>0.202</v>
      </c>
      <c r="E34" s="2570" t="s">
        <v>841</v>
      </c>
      <c r="F34" s="2571"/>
      <c r="G34" s="1049"/>
      <c r="H34" s="1049"/>
      <c r="I34" s="1049"/>
    </row>
    <row r="35" ht="14.75" spans="1:9">
      <c r="A35" s="2572"/>
      <c r="B35" s="2573" t="s">
        <v>842</v>
      </c>
      <c r="C35" s="2574">
        <f ca="1">IF(C33="自定义",F35,ROUND(C32*D35,0))</f>
        <v>7768</v>
      </c>
      <c r="D35" s="2575">
        <f ca="1">IF(C33="自定义",ROUND(C35/C32,3),IF(C33="收益比率",SUMIF(INDIRECT("'"&amp;D33&amp;"'"&amp;"!b:b"),"建筑物收益比率",INDIRECT("'"&amp;D33&amp;"'"&amp;"!c:c")),SUMIF(INDIRECT("'"&amp;D33&amp;"'"&amp;"!b:b"),"建筑物成本比率",INDIRECT("'"&amp;D33&amp;"'"&amp;"!c:c"))))</f>
        <v>0.798</v>
      </c>
      <c r="E35" s="2576" t="s">
        <v>843</v>
      </c>
      <c r="F35" s="2577"/>
      <c r="G35" s="1049"/>
      <c r="H35" s="1049"/>
      <c r="I35" s="1049"/>
    </row>
    <row r="36" ht="14.75" spans="1:9">
      <c r="A36" s="2578" t="s">
        <v>844</v>
      </c>
      <c r="B36" s="2579" t="s">
        <v>845</v>
      </c>
      <c r="C36" s="2580"/>
      <c r="D36" s="2581"/>
      <c r="E36" s="2582"/>
      <c r="F36" s="2583"/>
      <c r="G36" s="1049"/>
      <c r="H36" s="1049"/>
      <c r="I36" s="1049"/>
    </row>
    <row r="37" ht="14.75" spans="1:9">
      <c r="A37" s="2584"/>
      <c r="B37" s="2585" t="s">
        <v>846</v>
      </c>
      <c r="C37" s="2586"/>
      <c r="D37" s="2587"/>
      <c r="E37" s="2587"/>
      <c r="F37" s="2583"/>
      <c r="G37" s="1049"/>
      <c r="H37" s="1049"/>
      <c r="I37" s="1049"/>
    </row>
    <row r="38" ht="14.75" spans="1:9">
      <c r="A38" s="2588"/>
      <c r="B38" s="2589" t="s">
        <v>847</v>
      </c>
      <c r="C38" s="2590"/>
      <c r="D38" s="2591" t="s">
        <v>848</v>
      </c>
      <c r="E38" s="2587"/>
      <c r="F38" s="2583"/>
      <c r="G38" s="1049"/>
      <c r="H38" s="1049"/>
      <c r="I38" s="1049"/>
    </row>
    <row r="39" ht="14" spans="1:9">
      <c r="A39" s="2533" t="s">
        <v>849</v>
      </c>
      <c r="B39" s="2592" t="s">
        <v>829</v>
      </c>
      <c r="C39" s="2593" t="s">
        <v>830</v>
      </c>
      <c r="D39" s="2593" t="s">
        <v>850</v>
      </c>
      <c r="E39" s="2594" t="s">
        <v>831</v>
      </c>
      <c r="F39" s="2583"/>
      <c r="G39" s="1049"/>
      <c r="H39" s="1049"/>
      <c r="I39" s="1049"/>
    </row>
    <row r="40" ht="14" spans="1:9">
      <c r="A40" s="2595" t="s">
        <v>851</v>
      </c>
      <c r="B40" s="2596"/>
      <c r="C40" s="1067"/>
      <c r="D40" s="1067"/>
      <c r="E40" s="2597"/>
      <c r="F40" s="2583"/>
      <c r="G40" s="1049"/>
      <c r="H40" s="1049"/>
      <c r="I40" s="1049"/>
    </row>
    <row r="41" ht="14" spans="1:9">
      <c r="A41" s="2595" t="s">
        <v>852</v>
      </c>
      <c r="B41" s="2596"/>
      <c r="C41" s="1067"/>
      <c r="D41" s="1067"/>
      <c r="E41" s="2597"/>
      <c r="F41" s="2583"/>
      <c r="G41" s="1049"/>
      <c r="H41" s="1049"/>
      <c r="I41" s="1049"/>
    </row>
    <row r="42" ht="14.75" spans="1:9">
      <c r="A42" s="2598"/>
      <c r="B42" s="2599"/>
      <c r="C42" s="2600"/>
      <c r="D42" s="2600"/>
      <c r="E42" s="2577"/>
      <c r="F42" s="2583"/>
      <c r="G42" s="1049"/>
      <c r="H42" s="1049"/>
      <c r="I42" s="1049"/>
    </row>
    <row r="43" ht="14" spans="1:9">
      <c r="A43" s="2601"/>
      <c r="B43" s="2601"/>
      <c r="C43" s="2601"/>
      <c r="D43" s="2601"/>
      <c r="E43" s="2601"/>
      <c r="F43" s="2602"/>
      <c r="G43" s="2602"/>
      <c r="H43" s="2602"/>
      <c r="I43" s="2671"/>
    </row>
    <row r="44" ht="18" spans="1:15">
      <c r="A44" s="2603" t="s">
        <v>853</v>
      </c>
      <c r="B44" s="2604"/>
      <c r="C44" s="2604"/>
      <c r="D44" s="2605"/>
      <c r="E44" s="2605"/>
      <c r="F44" s="2606"/>
      <c r="G44" s="2606"/>
      <c r="H44" s="2606"/>
      <c r="I44" s="2606"/>
      <c r="J44" s="2672" t="s">
        <v>854</v>
      </c>
      <c r="K44" s="2673"/>
      <c r="L44" s="2673"/>
      <c r="M44" s="2673"/>
      <c r="N44" s="2673"/>
      <c r="O44" s="2673"/>
    </row>
    <row r="45" ht="14.25" customHeight="1" spans="1:15">
      <c r="A45" s="2607" t="s">
        <v>855</v>
      </c>
      <c r="B45" s="2608"/>
      <c r="C45" s="2609"/>
      <c r="D45" s="2101">
        <f ca="1">ROUND(H101*F45,0)</f>
        <v>9734</v>
      </c>
      <c r="E45" s="2610" t="s">
        <v>856</v>
      </c>
      <c r="F45" s="2611">
        <v>1</v>
      </c>
      <c r="G45" s="2612" t="s">
        <v>857</v>
      </c>
      <c r="H45" s="1049"/>
      <c r="I45" s="1049"/>
      <c r="J45" s="2674" t="s">
        <v>858</v>
      </c>
      <c r="K45" s="2674"/>
      <c r="L45" s="2674"/>
      <c r="M45" s="2674"/>
      <c r="N45" s="2674"/>
      <c r="O45" s="2674"/>
    </row>
    <row r="46" ht="14.25" customHeight="1" spans="1:15">
      <c r="A46" s="2613" t="s">
        <v>859</v>
      </c>
      <c r="B46" s="2614"/>
      <c r="C46" s="2614"/>
      <c r="D46" s="2614"/>
      <c r="E46" s="2614"/>
      <c r="F46" s="2614"/>
      <c r="G46" s="2615"/>
      <c r="H46" s="2616"/>
      <c r="I46" s="1050"/>
      <c r="J46" s="662">
        <v>1</v>
      </c>
      <c r="K46" s="2675" t="s">
        <v>860</v>
      </c>
      <c r="L46" s="2675"/>
      <c r="M46" s="2676"/>
      <c r="N46" s="2676"/>
      <c r="O46" s="2676"/>
    </row>
    <row r="47" ht="12" customHeight="1" spans="1:15">
      <c r="A47" s="2617" t="s">
        <v>861</v>
      </c>
      <c r="B47" s="2618"/>
      <c r="C47" s="2619"/>
      <c r="D47" s="2154" t="s">
        <v>862</v>
      </c>
      <c r="E47" s="2102" t="s">
        <v>863</v>
      </c>
      <c r="F47" s="2620" t="s">
        <v>864</v>
      </c>
      <c r="G47" s="2621" t="s">
        <v>865</v>
      </c>
      <c r="H47" s="2622"/>
      <c r="I47" s="1050"/>
      <c r="J47" s="662">
        <v>2</v>
      </c>
      <c r="K47" s="2675" t="s">
        <v>866</v>
      </c>
      <c r="L47" s="2675"/>
      <c r="M47" s="2677">
        <f>'数据-取费表'!B2</f>
        <v>45861</v>
      </c>
      <c r="N47" s="2677"/>
      <c r="O47" s="2677"/>
    </row>
    <row r="48" ht="26" spans="1:15">
      <c r="A48" s="2623" t="s">
        <v>867</v>
      </c>
      <c r="B48" s="2158"/>
      <c r="C48" s="2158"/>
      <c r="D48" s="2258" t="b">
        <f ca="1">IF(H48="情况1",0,IF(H48="情况2",D52,IF(H48="情况3",D53,IF(H48="情况4",D54))))</f>
        <v>0</v>
      </c>
      <c r="E48" s="2158" t="str">
        <f>IF(H48="情况4","(销售额-原购置价)×税（费）率","销售额×税（费）率")</f>
        <v>销售额×税（费）率</v>
      </c>
      <c r="F48" s="2624">
        <f>IF(H48="情况1","免征",'数据-取费表'!B41)</f>
        <v>0.055</v>
      </c>
      <c r="G48" s="2625" t="s">
        <v>868</v>
      </c>
      <c r="H48" s="2626"/>
      <c r="I48" s="2616"/>
      <c r="J48" s="662">
        <v>3</v>
      </c>
      <c r="K48" s="2675" t="s">
        <v>869</v>
      </c>
      <c r="L48" s="2675"/>
      <c r="M48" s="2678">
        <f ca="1">H101</f>
        <v>9734</v>
      </c>
      <c r="N48" s="2678"/>
      <c r="O48" s="2678"/>
    </row>
    <row r="49" ht="25.5" customHeight="1" spans="1:15">
      <c r="A49" s="2623" t="s">
        <v>870</v>
      </c>
      <c r="B49" s="2136" t="s">
        <v>871</v>
      </c>
      <c r="C49" s="2136"/>
      <c r="D49" s="2627">
        <v>0</v>
      </c>
      <c r="E49" s="2164" t="s">
        <v>872</v>
      </c>
      <c r="F49" s="2628" t="s">
        <v>124</v>
      </c>
      <c r="G49" s="2629"/>
      <c r="H49" s="2630" t="s">
        <v>873</v>
      </c>
      <c r="I49" s="2679"/>
      <c r="J49" s="662">
        <v>4</v>
      </c>
      <c r="K49" s="2675" t="str">
        <f>IF(项目基本情况!E8="房地产抵押价值","房地产抵押价值","抵押担保权已注销时的房地产抵押价值")</f>
        <v>房地产抵押价值</v>
      </c>
      <c r="L49" s="2675"/>
      <c r="M49" s="2678">
        <f ca="1">IF(项目基本情况!E8="房地产抵押价值",H107,H109)</f>
        <v>9734</v>
      </c>
      <c r="N49" s="2678"/>
      <c r="O49" s="2678"/>
    </row>
    <row r="50" ht="25.5" customHeight="1" spans="1:15">
      <c r="A50" s="2631"/>
      <c r="B50" s="2136" t="s">
        <v>874</v>
      </c>
      <c r="C50" s="2136"/>
      <c r="D50" s="2632"/>
      <c r="E50" s="2179"/>
      <c r="F50" s="2628"/>
      <c r="G50" s="2633"/>
      <c r="H50" s="2634" t="s">
        <v>875</v>
      </c>
      <c r="I50" s="2679"/>
      <c r="J50" s="2674" t="s">
        <v>876</v>
      </c>
      <c r="K50" s="2674"/>
      <c r="L50" s="2674"/>
      <c r="M50" s="2674"/>
      <c r="N50" s="2674"/>
      <c r="O50" s="2674"/>
    </row>
    <row r="51" ht="20.45" customHeight="1" spans="1:15">
      <c r="A51" s="2635"/>
      <c r="B51" s="2136" t="s">
        <v>877</v>
      </c>
      <c r="C51" s="2136"/>
      <c r="D51" s="2154"/>
      <c r="E51" s="2168"/>
      <c r="F51" s="2628"/>
      <c r="G51" s="2636"/>
      <c r="H51" s="2634" t="s">
        <v>878</v>
      </c>
      <c r="I51" s="2679"/>
      <c r="J51" s="2675" t="s">
        <v>879</v>
      </c>
      <c r="K51" s="2675" t="s">
        <v>880</v>
      </c>
      <c r="L51" s="2675"/>
      <c r="M51" s="2675" t="s">
        <v>881</v>
      </c>
      <c r="N51" s="2675" t="s">
        <v>882</v>
      </c>
      <c r="O51" s="2675" t="s">
        <v>883</v>
      </c>
    </row>
    <row r="52" ht="24" customHeight="1" spans="1:15">
      <c r="A52" s="2637" t="s">
        <v>884</v>
      </c>
      <c r="B52" s="2136" t="s">
        <v>885</v>
      </c>
      <c r="C52" s="2136"/>
      <c r="D52" s="2154">
        <f ca="1">ROUND(D45*'数据-取费表'!B41/(1+'数据-取费表'!C42),0)</f>
        <v>510</v>
      </c>
      <c r="E52" s="2158" t="s">
        <v>886</v>
      </c>
      <c r="F52" s="2638">
        <f>'数据-取费表'!B41</f>
        <v>0.055</v>
      </c>
      <c r="G52" s="2639"/>
      <c r="H52" s="2273"/>
      <c r="I52" s="2680"/>
      <c r="J52" s="662">
        <v>1</v>
      </c>
      <c r="K52" s="662" t="s">
        <v>887</v>
      </c>
      <c r="L52" s="662"/>
      <c r="M52" s="2681" t="b">
        <f ca="1">D48</f>
        <v>0</v>
      </c>
      <c r="N52" s="662" t="str">
        <f>E48</f>
        <v>销售额×税（费）率</v>
      </c>
      <c r="O52" s="2682">
        <f>F48</f>
        <v>0.055</v>
      </c>
    </row>
    <row r="53" ht="12" customHeight="1" spans="1:15">
      <c r="A53" s="2637" t="s">
        <v>888</v>
      </c>
      <c r="B53" s="2135" t="s">
        <v>889</v>
      </c>
      <c r="C53" s="2640"/>
      <c r="D53" s="2154">
        <f ca="1">ROUND(D45*'数据-取费表'!B41/(1+'数据-取费表'!C42),0)</f>
        <v>510</v>
      </c>
      <c r="E53" s="2158" t="s">
        <v>886</v>
      </c>
      <c r="F53" s="2638">
        <f>'数据-取费表'!B41</f>
        <v>0.055</v>
      </c>
      <c r="G53" s="2639"/>
      <c r="H53" s="2273"/>
      <c r="I53" s="2680"/>
      <c r="J53" s="662">
        <v>2</v>
      </c>
      <c r="K53" s="662" t="s">
        <v>890</v>
      </c>
      <c r="L53" s="662"/>
      <c r="M53" s="2681">
        <f ca="1" t="shared" ref="M53:O54" si="0">D55</f>
        <v>5</v>
      </c>
      <c r="N53" s="662" t="str">
        <f t="shared" si="0"/>
        <v>销售额×税（费）率</v>
      </c>
      <c r="O53" s="2682" t="str">
        <f t="shared" si="0"/>
        <v>免征</v>
      </c>
    </row>
    <row r="54" ht="12" customHeight="1" spans="1:15">
      <c r="A54" s="2637" t="s">
        <v>891</v>
      </c>
      <c r="B54" s="2135" t="s">
        <v>892</v>
      </c>
      <c r="C54" s="2640"/>
      <c r="D54" s="2154">
        <f ca="1">C68</f>
        <v>510</v>
      </c>
      <c r="E54" s="2168" t="s">
        <v>893</v>
      </c>
      <c r="F54" s="2638">
        <f>'数据-取费表'!B41</f>
        <v>0.055</v>
      </c>
      <c r="G54" s="2639"/>
      <c r="H54" s="2641"/>
      <c r="I54" s="2680"/>
      <c r="J54" s="662">
        <v>3</v>
      </c>
      <c r="K54" s="662" t="s">
        <v>894</v>
      </c>
      <c r="L54" s="662"/>
      <c r="M54" s="2681">
        <f ca="1" t="shared" si="0"/>
        <v>5518</v>
      </c>
      <c r="N54" s="662" t="str">
        <f t="shared" si="0"/>
        <v>增值额×税（费）率</v>
      </c>
      <c r="O54" s="2683" t="str">
        <f t="shared" si="0"/>
        <v>免征</v>
      </c>
    </row>
    <row r="55" ht="24" customHeight="1" spans="1:15">
      <c r="A55" s="2637" t="s">
        <v>895</v>
      </c>
      <c r="B55" s="2158"/>
      <c r="C55" s="2158"/>
      <c r="D55" s="2258">
        <f ca="1">IF(H55="个人住宅",0,ROUND(D45*I55,0))</f>
        <v>5</v>
      </c>
      <c r="E55" s="2158" t="s">
        <v>896</v>
      </c>
      <c r="F55" s="2638" t="str">
        <f>IF(H55="正常",I55,"免征")</f>
        <v>免征</v>
      </c>
      <c r="G55" s="2639"/>
      <c r="H55" s="2626"/>
      <c r="I55" s="2684">
        <f>'数据-取费表'!B49</f>
        <v>0.0005</v>
      </c>
      <c r="J55" s="662">
        <f>IF(H59="非个人房产","",4)</f>
        <v>4</v>
      </c>
      <c r="K55" s="662" t="str">
        <f>IF(H59="非个人房产","——","个人所得税")</f>
        <v>个人所得税</v>
      </c>
      <c r="L55" s="662"/>
      <c r="M55" s="2685">
        <f ca="1">D59</f>
        <v>93</v>
      </c>
      <c r="N55" s="643" t="str">
        <f>E59</f>
        <v>差额计税</v>
      </c>
      <c r="O55" s="2686">
        <f>F59</f>
        <v>0.01</v>
      </c>
    </row>
    <row r="56" ht="26" spans="1:15">
      <c r="A56" s="2637" t="s">
        <v>897</v>
      </c>
      <c r="B56" s="2158"/>
      <c r="C56" s="2158"/>
      <c r="D56" s="2258">
        <f ca="1">IF(H56="个人住宅",D57,D58)</f>
        <v>5518</v>
      </c>
      <c r="E56" s="2158" t="s">
        <v>898</v>
      </c>
      <c r="F56" s="2638" t="str">
        <f>IF(H56="正常",F58,"免征")</f>
        <v>免征</v>
      </c>
      <c r="G56" s="2642" t="s">
        <v>899</v>
      </c>
      <c r="H56" s="2643"/>
      <c r="I56" s="2654"/>
      <c r="J56" s="662" t="str">
        <f>IF(项目基本情况!K6="上海银行",IF(J55="",4,J55+1),"")</f>
        <v/>
      </c>
      <c r="K56" s="2258" t="str">
        <f>IF(项目基本情况!K6="上海银行","其他处置费用","")</f>
        <v/>
      </c>
      <c r="L56" s="2409"/>
      <c r="M56" s="2681" t="str">
        <f ca="1">IF(项目基本情况!K6="上海银行",M69,"")</f>
        <v/>
      </c>
      <c r="N56" s="2258" t="str">
        <f>IF(项目基本情况!K6="上海银行","包含处置中涉及的律师、诉讼、拍卖、评估等费用","")</f>
        <v/>
      </c>
      <c r="O56" s="2108"/>
    </row>
    <row r="57" ht="14" spans="1:16">
      <c r="A57" s="2637" t="s">
        <v>870</v>
      </c>
      <c r="B57" s="2135" t="s">
        <v>900</v>
      </c>
      <c r="C57" s="2640"/>
      <c r="D57" s="2627">
        <v>0</v>
      </c>
      <c r="E57" s="2164" t="s">
        <v>872</v>
      </c>
      <c r="F57" s="2102"/>
      <c r="G57" s="2639"/>
      <c r="H57" s="2644"/>
      <c r="I57" s="2654"/>
      <c r="J57" s="662">
        <f>IF(AND(J55="",J56=""),4,IF(项目基本情况!K6="上海银行",结果表!J56+1,结果表!J55+1))</f>
        <v>5</v>
      </c>
      <c r="K57" s="662" t="s">
        <v>901</v>
      </c>
      <c r="L57" s="2687" t="s">
        <v>902</v>
      </c>
      <c r="M57" s="2688"/>
      <c r="N57" s="2689">
        <f ca="1">SUMIF(M52:M56,"&lt;9e307")</f>
        <v>5616</v>
      </c>
      <c r="O57" s="2690"/>
      <c r="P57" s="2691">
        <f ca="1">N57/M49</f>
        <v>0.576946784466817</v>
      </c>
    </row>
    <row r="58" ht="26" spans="1:15">
      <c r="A58" s="2637" t="s">
        <v>884</v>
      </c>
      <c r="B58" s="2135" t="s">
        <v>903</v>
      </c>
      <c r="C58" s="2136"/>
      <c r="D58" s="2258">
        <f ca="1">IF(H58="转让取得",C81,C97)</f>
        <v>5518</v>
      </c>
      <c r="E58" s="2158" t="s">
        <v>898</v>
      </c>
      <c r="F58" s="2102" t="s">
        <v>124</v>
      </c>
      <c r="G58" s="2639"/>
      <c r="H58" s="2643"/>
      <c r="I58" s="2654"/>
      <c r="J58" s="662"/>
      <c r="K58" s="662"/>
      <c r="L58" s="2687" t="s">
        <v>904</v>
      </c>
      <c r="M58" s="2692"/>
      <c r="N58" s="2693" t="str">
        <f ca="1">NUMBERSTRING(INT(N57*10000),2)&amp;"元整"</f>
        <v>伍仟陆佰壹拾陆万元整</v>
      </c>
      <c r="O58" s="2694"/>
    </row>
    <row r="59" ht="26.75" spans="1:15">
      <c r="A59" s="2645" t="s">
        <v>905</v>
      </c>
      <c r="B59" s="2646"/>
      <c r="C59" s="2646"/>
      <c r="D59" s="2647">
        <f ca="1">IF(H59="非个人房产","——",IF(H59="个人住宅（满五唯一有凭证）",0,IF(H59="个人其他（无凭证）",ROUND(D45*F59,0),ROUND(C67*F59,0))))</f>
        <v>93</v>
      </c>
      <c r="E59" s="2648" t="str">
        <f>IF(H59="非个人房产","——",IF(H59="个人其他（无凭证）","销售额×税（费）率",IF(H59="个人住宅（满五唯一有凭证）","免征","差额计税")))</f>
        <v>差额计税</v>
      </c>
      <c r="F59" s="2649">
        <f>IF(OR(H59="非个人房产",H59="个人住宅（满五唯一有凭证）"),"——",IF(H59="个人其他（有凭证）",20%,1%))</f>
        <v>0.01</v>
      </c>
      <c r="G59" s="2650" t="s">
        <v>899</v>
      </c>
      <c r="H59" s="2651"/>
      <c r="I59" s="2695" t="s">
        <v>906</v>
      </c>
      <c r="J59" s="643">
        <f>J57+1</f>
        <v>6</v>
      </c>
      <c r="K59" s="662" t="s">
        <v>907</v>
      </c>
      <c r="L59" s="662" t="s">
        <v>902</v>
      </c>
      <c r="M59" s="2696"/>
      <c r="N59" s="2697">
        <f ca="1">M49-N57</f>
        <v>4118</v>
      </c>
      <c r="O59" s="2698"/>
    </row>
    <row r="60" ht="12" customHeight="1" spans="1:15">
      <c r="A60" s="2652"/>
      <c r="B60" s="2501"/>
      <c r="C60" s="2501"/>
      <c r="D60" s="2501"/>
      <c r="E60" s="2653"/>
      <c r="F60" s="2654"/>
      <c r="G60" s="2654"/>
      <c r="H60" s="2655"/>
      <c r="I60" s="1049"/>
      <c r="J60" s="648"/>
      <c r="K60" s="662"/>
      <c r="L60" s="2687" t="s">
        <v>904</v>
      </c>
      <c r="M60" s="2692"/>
      <c r="N60" s="2693" t="str">
        <f ca="1">NUMBERSTRING(INT(N59*10000),2)&amp;"元整"</f>
        <v>肆仟壹佰壹拾捌万元整</v>
      </c>
      <c r="O60" s="2694"/>
    </row>
    <row r="61" ht="14.75" spans="1:15">
      <c r="A61" s="2656" t="s">
        <v>908</v>
      </c>
      <c r="B61" s="2656"/>
      <c r="C61" s="2656"/>
      <c r="D61" s="2656"/>
      <c r="E61" s="2656"/>
      <c r="F61" s="2654"/>
      <c r="G61" s="2654"/>
      <c r="H61" s="2655"/>
      <c r="I61" s="1049"/>
      <c r="J61" s="662">
        <f>J59+1</f>
        <v>7</v>
      </c>
      <c r="K61" s="662" t="s">
        <v>909</v>
      </c>
      <c r="L61" s="662"/>
      <c r="M61" s="2699"/>
      <c r="N61" s="2700">
        <f ca="1">ROUND(N59*10000/'数据-汇总表'!E3,0)</f>
        <v>757</v>
      </c>
      <c r="O61" s="2701"/>
    </row>
    <row r="62" ht="14" spans="1:9">
      <c r="A62" s="2657" t="s">
        <v>910</v>
      </c>
      <c r="B62" s="613"/>
      <c r="C62" s="613"/>
      <c r="D62" s="613" t="s">
        <v>911</v>
      </c>
      <c r="E62" s="2658" t="s">
        <v>865</v>
      </c>
      <c r="F62" s="2654"/>
      <c r="G62" s="2654"/>
      <c r="H62" s="2655"/>
      <c r="I62" s="1049"/>
    </row>
    <row r="63" ht="14" spans="1:35">
      <c r="A63" s="2659" t="s">
        <v>912</v>
      </c>
      <c r="B63" s="673" t="s">
        <v>913</v>
      </c>
      <c r="C63" s="2660">
        <f ca="1">ROUND((C64+C65)/(1+'数据-取费表'!C42),0)</f>
        <v>9270</v>
      </c>
      <c r="D63" s="673"/>
      <c r="E63" s="2661"/>
      <c r="F63" s="2654"/>
      <c r="G63" s="2654"/>
      <c r="H63" s="2655"/>
      <c r="I63" s="1049"/>
      <c r="J63" s="2702" t="s">
        <v>914</v>
      </c>
      <c r="K63" s="2702" t="s">
        <v>915</v>
      </c>
      <c r="L63" s="2702">
        <f ca="1">IF(M49&gt;10000,M49*0.5%,IF(AND(M49&gt;1000,M49&lt;=10000),M49*1%,IF(AND(M49&gt;100,M49&lt;=1000),M49*3%,IF(AND(M49&gt;10,M49&lt;=100),M49*5%,M49*8%))))</f>
        <v>97.34</v>
      </c>
      <c r="M63" s="2102">
        <f ca="1">ROUND(L63,1)</f>
        <v>97.3</v>
      </c>
      <c r="N63" s="2703"/>
      <c r="Z63" s="2498"/>
      <c r="AI63" s="2499"/>
    </row>
    <row r="64" ht="14.25" customHeight="1" spans="1:35">
      <c r="A64" s="2662" t="s">
        <v>916</v>
      </c>
      <c r="B64" s="596" t="s">
        <v>917</v>
      </c>
      <c r="C64" s="2663">
        <f ca="1">D45</f>
        <v>9734</v>
      </c>
      <c r="D64" s="596" t="s">
        <v>124</v>
      </c>
      <c r="E64" s="2664"/>
      <c r="F64" s="2654"/>
      <c r="G64" s="2654"/>
      <c r="H64" s="2655"/>
      <c r="I64" s="1049"/>
      <c r="J64" s="2702"/>
      <c r="K64" s="2702" t="s">
        <v>918</v>
      </c>
      <c r="L64" s="2702">
        <f ca="1">IF(M49&gt;2000,M49*0.5%,IF(AND(M49&gt;1000,M49&lt;=2000),M49*0.6%,IF(AND(M49&gt;500,M49&lt;=1000),M49*0.7%,IF(AND(M49&gt;200,M49&lt;=500),M49*0.8%,IF(AND(M49&gt;100,M49&lt;=200),M49*0.9%,IF(AND(M49&gt;50,M49&lt;=100),M49*1%,IF(AND(M49&gt;20,M49&lt;=50),M49*1.5%,IF(AND(M49&gt;10,M49&lt;=20),M49*2%,IF(AND(M49&gt;1,M49&lt;=10),M49*2.5%)))))))))</f>
        <v>48.67</v>
      </c>
      <c r="M64" s="2102">
        <f ca="1" t="shared" ref="M64:M65" si="1">ROUND(L64,1)</f>
        <v>48.7</v>
      </c>
      <c r="N64" s="2273" t="s">
        <v>919</v>
      </c>
      <c r="Z64" s="2498"/>
      <c r="AI64" s="2499"/>
    </row>
    <row r="65" ht="14.25" customHeight="1" spans="1:35">
      <c r="A65" s="2662" t="s">
        <v>920</v>
      </c>
      <c r="B65" s="596" t="s">
        <v>921</v>
      </c>
      <c r="C65" s="2705"/>
      <c r="D65" s="596"/>
      <c r="E65" s="2664"/>
      <c r="F65" s="2654"/>
      <c r="G65" s="2654"/>
      <c r="H65" s="2655"/>
      <c r="I65" s="1049"/>
      <c r="J65" s="2702"/>
      <c r="K65" s="2702" t="s">
        <v>922</v>
      </c>
      <c r="L65" s="2702">
        <f ca="1">IF(M49&gt;1000,M49*0.1%,IF(AND(M49&gt;500,M49&lt;=1000),M49*0.5%,IF(AND(M49&gt;50,M49&lt;=500),M49*1%,IF(AND(M49&gt;1,M49&lt;=50),M49*1.5%))))</f>
        <v>9.734</v>
      </c>
      <c r="M65" s="2102">
        <f ca="1" t="shared" si="1"/>
        <v>9.7</v>
      </c>
      <c r="N65" s="2273" t="s">
        <v>919</v>
      </c>
      <c r="Z65" s="2498"/>
      <c r="AI65" s="2499"/>
    </row>
    <row r="66" ht="14.25" customHeight="1" spans="1:35">
      <c r="A66" s="2659" t="s">
        <v>923</v>
      </c>
      <c r="B66" s="2706" t="s">
        <v>924</v>
      </c>
      <c r="C66" s="2707"/>
      <c r="D66" s="2706" t="s">
        <v>124</v>
      </c>
      <c r="E66" s="2708" t="s">
        <v>925</v>
      </c>
      <c r="F66" s="2654"/>
      <c r="G66" s="2654"/>
      <c r="H66" s="2655"/>
      <c r="I66" s="1049"/>
      <c r="J66" s="2702"/>
      <c r="K66" s="2702" t="s">
        <v>926</v>
      </c>
      <c r="L66" s="2702">
        <f ca="1">M49*0.5%</f>
        <v>48.67</v>
      </c>
      <c r="M66" s="2102">
        <f ca="1">IF(L66&gt;0.5,0.5,ROUND(L66,0))</f>
        <v>0.5</v>
      </c>
      <c r="N66" s="2273" t="s">
        <v>927</v>
      </c>
      <c r="Z66" s="2498"/>
      <c r="AI66" s="2499"/>
    </row>
    <row r="67" ht="14.25" customHeight="1" spans="1:35">
      <c r="A67" s="2659" t="s">
        <v>928</v>
      </c>
      <c r="B67" s="2706" t="s">
        <v>929</v>
      </c>
      <c r="C67" s="2709">
        <f ca="1">C63-C66</f>
        <v>9270</v>
      </c>
      <c r="D67" s="596" t="s">
        <v>124</v>
      </c>
      <c r="E67" s="2664"/>
      <c r="F67" s="2654"/>
      <c r="G67" s="2654"/>
      <c r="H67" s="2655"/>
      <c r="I67" s="1049"/>
      <c r="J67" s="2702"/>
      <c r="K67" s="2702" t="s">
        <v>930</v>
      </c>
      <c r="L67" s="2702">
        <f ca="1">IF(M49&gt;=10000,(8.25+(M49-10000)*0.01%),IF(AND(M49&gt;=8000,M49&lt;10000),(7.85+(M49-8000)*0.02%),IF(AND(M49&gt;=5000,M49&lt;8000),(6.65+(M49-5000)*0.04%),IF(AND(M49&gt;=2000,M49&lt;5000),(4.25+(PM49-2000)*0.08%),IF(AND(M49&gt;=1000,M49&lt;2000),(2.75+(M49-1000)*0.15%),IF(AND(M49&gt;=100,M49&lt;1000),(0.5+(M49-100)*0.25%),IF(AND(M49&gt;0,M49&lt;100),M49*0.5%)))))))</f>
        <v>8.1968</v>
      </c>
      <c r="M67" s="2102">
        <f ca="1">ROUND(L67*0.9,1)</f>
        <v>7.4</v>
      </c>
      <c r="N67" s="2703"/>
      <c r="Z67" s="2498"/>
      <c r="AI67" s="2499"/>
    </row>
    <row r="68" ht="14.25" customHeight="1" spans="1:35">
      <c r="A68" s="2710" t="s">
        <v>931</v>
      </c>
      <c r="B68" s="2711" t="s">
        <v>932</v>
      </c>
      <c r="C68" s="2712">
        <f ca="1">IF(C67&lt;=0,0,ROUND(C67*D68,0))</f>
        <v>510</v>
      </c>
      <c r="D68" s="871">
        <f>'数据-取费表'!B41</f>
        <v>0.055</v>
      </c>
      <c r="E68" s="2713"/>
      <c r="F68" s="2654"/>
      <c r="G68" s="2654"/>
      <c r="H68" s="2655"/>
      <c r="I68" s="1049"/>
      <c r="J68" s="2702"/>
      <c r="K68" s="2702" t="s">
        <v>933</v>
      </c>
      <c r="L68" s="2702">
        <f ca="1">IF(M49&gt;10000,M49*0.5%,IF(AND(M49&gt;5000,M49&lt;=10000),M49*1%,IF(AND(M49&gt;1000,M49&lt;=5000),M49*2%,IF(AND(M49&gt;200,M49&lt;=1000),M49*3%,M49*5%))))</f>
        <v>97.34</v>
      </c>
      <c r="M68" s="2102">
        <f ca="1">ROUND(L68,1)</f>
        <v>97.3</v>
      </c>
      <c r="N68" s="2703"/>
      <c r="Z68" s="2498"/>
      <c r="AI68" s="2499"/>
    </row>
    <row r="69" s="2496" customFormat="1" ht="16.5" customHeight="1" spans="1:34">
      <c r="A69" s="2714"/>
      <c r="B69" s="2715"/>
      <c r="C69" s="2716"/>
      <c r="D69" s="787"/>
      <c r="E69" s="2717"/>
      <c r="F69" s="2653"/>
      <c r="G69" s="2653"/>
      <c r="H69" s="2601"/>
      <c r="I69" s="2501"/>
      <c r="J69" s="2702"/>
      <c r="K69" s="2702" t="s">
        <v>934</v>
      </c>
      <c r="L69" s="2702"/>
      <c r="M69" s="2102">
        <f ca="1">ROUND(SUM(M63:M68),0)</f>
        <v>261</v>
      </c>
      <c r="N69" s="2815">
        <f ca="1">M69/M49</f>
        <v>0.026813231970413</v>
      </c>
      <c r="O69" s="1005"/>
      <c r="P69" s="1005"/>
      <c r="Q69" s="1005"/>
      <c r="R69" s="1005"/>
      <c r="S69" s="1005"/>
      <c r="T69" s="1005"/>
      <c r="U69" s="1005"/>
      <c r="V69" s="1005"/>
      <c r="W69" s="1005"/>
      <c r="X69" s="1005"/>
      <c r="Y69" s="1005"/>
      <c r="Z69" s="2498"/>
      <c r="AA69" s="2498"/>
      <c r="AB69" s="2498"/>
      <c r="AC69" s="2498"/>
      <c r="AD69" s="2498"/>
      <c r="AE69" s="2498"/>
      <c r="AF69" s="2498"/>
      <c r="AG69" s="2498"/>
      <c r="AH69" s="2498"/>
    </row>
    <row r="70" s="2497" customFormat="1" ht="14.75" spans="1:35">
      <c r="A70" s="2718" t="s">
        <v>935</v>
      </c>
      <c r="B70" s="2719"/>
      <c r="C70" s="2719"/>
      <c r="D70" s="2719"/>
      <c r="E70" s="2719"/>
      <c r="F70" s="2719"/>
      <c r="G70" s="2719"/>
      <c r="H70" s="2719"/>
      <c r="I70" s="2816"/>
      <c r="J70" s="2817"/>
      <c r="K70" s="2817"/>
      <c r="L70" s="2817"/>
      <c r="M70" s="2817"/>
      <c r="N70" s="2818"/>
      <c r="O70" s="2818"/>
      <c r="P70" s="2818"/>
      <c r="Q70" s="2818"/>
      <c r="R70" s="2818"/>
      <c r="S70" s="2818"/>
      <c r="T70" s="2818"/>
      <c r="U70" s="2818"/>
      <c r="V70" s="2818"/>
      <c r="W70" s="2818"/>
      <c r="X70" s="2818"/>
      <c r="Y70" s="2818"/>
      <c r="Z70" s="2818"/>
      <c r="AA70" s="2825"/>
      <c r="AB70" s="2825"/>
      <c r="AC70" s="2825"/>
      <c r="AD70" s="2825"/>
      <c r="AE70" s="2825"/>
      <c r="AF70" s="2825"/>
      <c r="AG70" s="2825"/>
      <c r="AH70" s="2825"/>
      <c r="AI70" s="2825"/>
    </row>
    <row r="71" s="2497" customFormat="1" ht="14" spans="1:35">
      <c r="A71" s="2657" t="s">
        <v>910</v>
      </c>
      <c r="B71" s="613"/>
      <c r="C71" s="613"/>
      <c r="D71" s="613" t="s">
        <v>911</v>
      </c>
      <c r="E71" s="2720" t="s">
        <v>865</v>
      </c>
      <c r="F71" s="2721"/>
      <c r="G71" s="2721"/>
      <c r="H71" s="2722"/>
      <c r="I71" s="2819"/>
      <c r="J71" s="2817"/>
      <c r="K71" s="2817"/>
      <c r="L71" s="2817"/>
      <c r="M71" s="2817"/>
      <c r="N71" s="2818"/>
      <c r="O71" s="2818"/>
      <c r="P71" s="2818"/>
      <c r="Q71" s="2818"/>
      <c r="R71" s="2818"/>
      <c r="S71" s="2818"/>
      <c r="T71" s="2818"/>
      <c r="U71" s="2818"/>
      <c r="V71" s="2818"/>
      <c r="W71" s="2818"/>
      <c r="X71" s="2818"/>
      <c r="Y71" s="2818"/>
      <c r="Z71" s="2818"/>
      <c r="AA71" s="2825"/>
      <c r="AB71" s="2825"/>
      <c r="AC71" s="2825"/>
      <c r="AD71" s="2825"/>
      <c r="AE71" s="2825"/>
      <c r="AF71" s="2825"/>
      <c r="AG71" s="2825"/>
      <c r="AH71" s="2825"/>
      <c r="AI71" s="2825"/>
    </row>
    <row r="72" s="2497" customFormat="1" ht="14" spans="1:35">
      <c r="A72" s="2659" t="s">
        <v>912</v>
      </c>
      <c r="B72" s="2706" t="s">
        <v>936</v>
      </c>
      <c r="C72" s="2709">
        <f ca="1">ROUND(D45/(1+'数据-取费表'!C42),0)</f>
        <v>9270</v>
      </c>
      <c r="D72" s="596" t="s">
        <v>124</v>
      </c>
      <c r="E72" s="2135"/>
      <c r="F72" s="2136"/>
      <c r="G72" s="2136"/>
      <c r="H72" s="2723"/>
      <c r="I72" s="2819"/>
      <c r="J72" s="2817"/>
      <c r="K72" s="2817"/>
      <c r="L72" s="2817"/>
      <c r="M72" s="2817"/>
      <c r="N72" s="2818"/>
      <c r="O72" s="2818"/>
      <c r="P72" s="2818"/>
      <c r="Q72" s="2818"/>
      <c r="R72" s="2818"/>
      <c r="S72" s="2818"/>
      <c r="T72" s="2818"/>
      <c r="U72" s="2818"/>
      <c r="V72" s="2818"/>
      <c r="W72" s="2818"/>
      <c r="X72" s="2818"/>
      <c r="Y72" s="2818"/>
      <c r="Z72" s="2818"/>
      <c r="AA72" s="2825"/>
      <c r="AB72" s="2825"/>
      <c r="AC72" s="2825"/>
      <c r="AD72" s="2825"/>
      <c r="AE72" s="2825"/>
      <c r="AF72" s="2825"/>
      <c r="AG72" s="2825"/>
      <c r="AH72" s="2825"/>
      <c r="AI72" s="2825"/>
    </row>
    <row r="73" s="2497" customFormat="1" ht="14" spans="1:35">
      <c r="A73" s="2659" t="s">
        <v>923</v>
      </c>
      <c r="B73" s="2620" t="s">
        <v>937</v>
      </c>
      <c r="C73" s="2709">
        <f ca="1">C74+C78</f>
        <v>46</v>
      </c>
      <c r="D73" s="596" t="s">
        <v>124</v>
      </c>
      <c r="E73" s="2135"/>
      <c r="F73" s="2136"/>
      <c r="G73" s="2136"/>
      <c r="H73" s="2723"/>
      <c r="I73" s="2819"/>
      <c r="J73" s="2818"/>
      <c r="K73" s="2818"/>
      <c r="L73" s="2818"/>
      <c r="M73" s="2818"/>
      <c r="N73" s="2818"/>
      <c r="O73" s="2818"/>
      <c r="P73" s="2818"/>
      <c r="Q73" s="2818"/>
      <c r="R73" s="2818"/>
      <c r="S73" s="2818"/>
      <c r="T73" s="2818"/>
      <c r="U73" s="2818"/>
      <c r="V73" s="2818"/>
      <c r="W73" s="2818"/>
      <c r="X73" s="2818"/>
      <c r="Y73" s="2818"/>
      <c r="Z73" s="2818"/>
      <c r="AA73" s="2825"/>
      <c r="AB73" s="2825"/>
      <c r="AC73" s="2825"/>
      <c r="AD73" s="2825"/>
      <c r="AE73" s="2825"/>
      <c r="AF73" s="2825"/>
      <c r="AG73" s="2825"/>
      <c r="AH73" s="2825"/>
      <c r="AI73" s="2825"/>
    </row>
    <row r="74" s="2497" customFormat="1" ht="26" spans="1:35">
      <c r="A74" s="2662" t="s">
        <v>916</v>
      </c>
      <c r="B74" s="596" t="s">
        <v>938</v>
      </c>
      <c r="C74" s="596">
        <f>ROUND(IF(G77="2016年5月1日后购买",C75/(1+'数据-取费表'!C42)+C76+C77,C75+C76+C77),0)</f>
        <v>0</v>
      </c>
      <c r="D74" s="596" t="s">
        <v>124</v>
      </c>
      <c r="E74" s="2135"/>
      <c r="F74" s="2136"/>
      <c r="G74" s="2136"/>
      <c r="H74" s="2723"/>
      <c r="I74" s="2819"/>
      <c r="J74" s="2818"/>
      <c r="K74" s="2818"/>
      <c r="L74" s="2818"/>
      <c r="M74" s="2818"/>
      <c r="N74" s="2818"/>
      <c r="O74" s="2818"/>
      <c r="P74" s="2818"/>
      <c r="Q74" s="2818"/>
      <c r="R74" s="2818"/>
      <c r="S74" s="2818"/>
      <c r="T74" s="2818"/>
      <c r="U74" s="2818"/>
      <c r="V74" s="2818"/>
      <c r="W74" s="2818"/>
      <c r="X74" s="2818"/>
      <c r="Y74" s="2818"/>
      <c r="Z74" s="2818"/>
      <c r="AA74" s="2825"/>
      <c r="AB74" s="2825"/>
      <c r="AC74" s="2825"/>
      <c r="AD74" s="2825"/>
      <c r="AE74" s="2825"/>
      <c r="AF74" s="2825"/>
      <c r="AG74" s="2825"/>
      <c r="AH74" s="2825"/>
      <c r="AI74" s="2825"/>
    </row>
    <row r="75" s="2497" customFormat="1" ht="28" spans="1:35">
      <c r="A75" s="2662" t="s">
        <v>939</v>
      </c>
      <c r="B75" s="596" t="s">
        <v>940</v>
      </c>
      <c r="C75" s="2724"/>
      <c r="D75" s="596" t="s">
        <v>124</v>
      </c>
      <c r="E75" s="2725" t="s">
        <v>941</v>
      </c>
      <c r="F75" s="2726"/>
      <c r="G75" s="2725" t="s">
        <v>942</v>
      </c>
      <c r="H75" s="2727"/>
      <c r="I75" s="890"/>
      <c r="J75" s="2818"/>
      <c r="K75" s="2818"/>
      <c r="L75" s="2818"/>
      <c r="M75" s="2818"/>
      <c r="N75" s="2818"/>
      <c r="O75" s="2818"/>
      <c r="P75" s="2818"/>
      <c r="Q75" s="2818"/>
      <c r="R75" s="2818"/>
      <c r="S75" s="2818"/>
      <c r="T75" s="2818"/>
      <c r="U75" s="2818"/>
      <c r="V75" s="2818"/>
      <c r="W75" s="2818"/>
      <c r="X75" s="2818"/>
      <c r="Y75" s="2818"/>
      <c r="Z75" s="2818"/>
      <c r="AA75" s="2825"/>
      <c r="AB75" s="2825"/>
      <c r="AC75" s="2825"/>
      <c r="AD75" s="2825"/>
      <c r="AE75" s="2825"/>
      <c r="AF75" s="2825"/>
      <c r="AG75" s="2825"/>
      <c r="AH75" s="2825"/>
      <c r="AI75" s="2825"/>
    </row>
    <row r="76" s="2497" customFormat="1" ht="24.75" customHeight="1" spans="1:35">
      <c r="A76" s="2662" t="s">
        <v>943</v>
      </c>
      <c r="B76" s="2728" t="s">
        <v>944</v>
      </c>
      <c r="C76" s="596">
        <f>IF(F75="购房发票",ROUND(C75*H75*D76,0),0)</f>
        <v>0</v>
      </c>
      <c r="D76" s="2729">
        <v>0.05</v>
      </c>
      <c r="E76" s="2135" t="s">
        <v>945</v>
      </c>
      <c r="F76" s="2136"/>
      <c r="G76" s="2136"/>
      <c r="H76" s="2730"/>
      <c r="I76" s="2819"/>
      <c r="J76" s="2818"/>
      <c r="K76" s="2818"/>
      <c r="L76" s="2818"/>
      <c r="M76" s="2818"/>
      <c r="N76" s="2818"/>
      <c r="O76" s="2818"/>
      <c r="P76" s="2818"/>
      <c r="Q76" s="2818"/>
      <c r="R76" s="2818"/>
      <c r="S76" s="2818"/>
      <c r="T76" s="2818"/>
      <c r="U76" s="2818"/>
      <c r="V76" s="2818"/>
      <c r="W76" s="2818"/>
      <c r="X76" s="2818"/>
      <c r="Y76" s="2818"/>
      <c r="Z76" s="2818"/>
      <c r="AA76" s="2825"/>
      <c r="AB76" s="2825"/>
      <c r="AC76" s="2825"/>
      <c r="AD76" s="2825"/>
      <c r="AE76" s="2825"/>
      <c r="AF76" s="2825"/>
      <c r="AG76" s="2825"/>
      <c r="AH76" s="2825"/>
      <c r="AI76" s="2825"/>
    </row>
    <row r="77" s="2497" customFormat="1" ht="24.75" customHeight="1" spans="1:35">
      <c r="A77" s="2662" t="s">
        <v>946</v>
      </c>
      <c r="B77" s="596" t="s">
        <v>947</v>
      </c>
      <c r="C77" s="596">
        <f>ROUND(IF(G77="个人住宅",0,IF(G77="2016年5月1日前购买",C75*D77,C75*D77/(1+'数据-取费表'!C42))),0)</f>
        <v>0</v>
      </c>
      <c r="D77" s="2731">
        <f>'数据-取费表'!B48+'数据-取费表'!B49</f>
        <v>0.0405</v>
      </c>
      <c r="E77" s="2258" t="s">
        <v>948</v>
      </c>
      <c r="F77" s="2732"/>
      <c r="G77" s="2733"/>
      <c r="H77" s="2730" t="str">
        <f>IF(G77="个人买卖住房","免征印花税"," ")</f>
        <v> </v>
      </c>
      <c r="I77" s="2819"/>
      <c r="J77" s="2818"/>
      <c r="K77" s="2818"/>
      <c r="L77" s="2818"/>
      <c r="M77" s="2818"/>
      <c r="N77" s="2818"/>
      <c r="O77" s="2818"/>
      <c r="P77" s="2818"/>
      <c r="Q77" s="2818"/>
      <c r="R77" s="2818"/>
      <c r="S77" s="2818"/>
      <c r="T77" s="2818"/>
      <c r="U77" s="2818"/>
      <c r="V77" s="2818"/>
      <c r="W77" s="2818"/>
      <c r="X77" s="2818"/>
      <c r="Y77" s="2818"/>
      <c r="Z77" s="2818"/>
      <c r="AA77" s="2825"/>
      <c r="AB77" s="2825"/>
      <c r="AC77" s="2825"/>
      <c r="AD77" s="2825"/>
      <c r="AE77" s="2825"/>
      <c r="AF77" s="2825"/>
      <c r="AG77" s="2825"/>
      <c r="AH77" s="2825"/>
      <c r="AI77" s="2825"/>
    </row>
    <row r="78" s="2497" customFormat="1" ht="24.75" customHeight="1" spans="1:35">
      <c r="A78" s="2662" t="s">
        <v>920</v>
      </c>
      <c r="B78" s="596" t="s">
        <v>949</v>
      </c>
      <c r="C78" s="2734">
        <f ca="1">ROUND(D45*D78/(1+'数据-取费表'!C42),0)</f>
        <v>46</v>
      </c>
      <c r="D78" s="2735">
        <f>'数据-取费表'!B43</f>
        <v>0.005</v>
      </c>
      <c r="E78" s="2736" t="s">
        <v>950</v>
      </c>
      <c r="F78" s="2737"/>
      <c r="G78" s="2737"/>
      <c r="H78" s="2738"/>
      <c r="I78" s="2820"/>
      <c r="J78" s="2818"/>
      <c r="K78" s="2818"/>
      <c r="L78" s="2818"/>
      <c r="M78" s="2818"/>
      <c r="N78" s="2818"/>
      <c r="O78" s="2818"/>
      <c r="P78" s="2818"/>
      <c r="Q78" s="2818"/>
      <c r="R78" s="2818"/>
      <c r="S78" s="2818"/>
      <c r="T78" s="2818"/>
      <c r="U78" s="2818"/>
      <c r="V78" s="2818"/>
      <c r="W78" s="2818"/>
      <c r="X78" s="2818"/>
      <c r="Y78" s="2818"/>
      <c r="Z78" s="2818"/>
      <c r="AA78" s="2825"/>
      <c r="AB78" s="2825"/>
      <c r="AC78" s="2825"/>
      <c r="AD78" s="2825"/>
      <c r="AE78" s="2825"/>
      <c r="AF78" s="2825"/>
      <c r="AG78" s="2825"/>
      <c r="AH78" s="2825"/>
      <c r="AI78" s="2825"/>
    </row>
    <row r="79" s="2497" customFormat="1" ht="14" spans="1:35">
      <c r="A79" s="2659" t="s">
        <v>928</v>
      </c>
      <c r="B79" s="2706" t="s">
        <v>951</v>
      </c>
      <c r="C79" s="2709">
        <f ca="1">C72-C73</f>
        <v>9224</v>
      </c>
      <c r="D79" s="596" t="s">
        <v>124</v>
      </c>
      <c r="E79" s="2135"/>
      <c r="F79" s="2136"/>
      <c r="G79" s="2136"/>
      <c r="H79" s="2723"/>
      <c r="I79" s="2819"/>
      <c r="J79" s="2818"/>
      <c r="K79" s="2818"/>
      <c r="L79" s="2818"/>
      <c r="M79" s="2818"/>
      <c r="N79" s="2818"/>
      <c r="O79" s="2818"/>
      <c r="P79" s="2818"/>
      <c r="Q79" s="2818"/>
      <c r="R79" s="2818"/>
      <c r="S79" s="2818"/>
      <c r="T79" s="2818"/>
      <c r="U79" s="2818"/>
      <c r="V79" s="2818"/>
      <c r="W79" s="2818"/>
      <c r="X79" s="2818"/>
      <c r="Y79" s="2818"/>
      <c r="Z79" s="2818"/>
      <c r="AA79" s="2825"/>
      <c r="AB79" s="2825"/>
      <c r="AC79" s="2825"/>
      <c r="AD79" s="2825"/>
      <c r="AE79" s="2825"/>
      <c r="AF79" s="2825"/>
      <c r="AG79" s="2825"/>
      <c r="AH79" s="2825"/>
      <c r="AI79" s="2825"/>
    </row>
    <row r="80" s="2497" customFormat="1" ht="26" spans="1:35">
      <c r="A80" s="2659" t="s">
        <v>931</v>
      </c>
      <c r="B80" s="2706" t="s">
        <v>952</v>
      </c>
      <c r="C80" s="2739">
        <f ca="1">IF(C79&lt;=0,0,C79/C73)</f>
        <v>200.521739130435</v>
      </c>
      <c r="D80" s="596" t="s">
        <v>124</v>
      </c>
      <c r="E80" s="2258" t="str">
        <f ca="1">IF(C80&gt;=200%,"增值额超过扣除项目金额200%",IF(C80&gt;=100%,"增值额超过扣除项目金额100%，未超过200%",IF(C80&gt;=50%,"增值额超过扣除项目金额50%，未超过100%",IF(C80&lt;50%,"增值额未超过扣除项目金额50%"))))</f>
        <v>增值额超过扣除项目金额200%</v>
      </c>
      <c r="F80" s="2136"/>
      <c r="G80" s="2136"/>
      <c r="H80" s="2723"/>
      <c r="I80" s="2819"/>
      <c r="J80" s="2818"/>
      <c r="K80" s="2818"/>
      <c r="L80" s="2818"/>
      <c r="M80" s="2818"/>
      <c r="N80" s="2818"/>
      <c r="O80" s="2818"/>
      <c r="P80" s="2818"/>
      <c r="Q80" s="2818"/>
      <c r="R80" s="2818"/>
      <c r="S80" s="2818"/>
      <c r="T80" s="2818"/>
      <c r="U80" s="2818"/>
      <c r="V80" s="2818"/>
      <c r="W80" s="2818"/>
      <c r="X80" s="2818"/>
      <c r="Y80" s="2818"/>
      <c r="Z80" s="2818"/>
      <c r="AA80" s="2825"/>
      <c r="AB80" s="2825"/>
      <c r="AC80" s="2825"/>
      <c r="AD80" s="2825"/>
      <c r="AE80" s="2825"/>
      <c r="AF80" s="2825"/>
      <c r="AG80" s="2825"/>
      <c r="AH80" s="2825"/>
      <c r="AI80" s="2825"/>
    </row>
    <row r="81" s="2497" customFormat="1" ht="26.75" spans="1:35">
      <c r="A81" s="2710" t="s">
        <v>953</v>
      </c>
      <c r="B81" s="2711" t="s">
        <v>954</v>
      </c>
      <c r="C81" s="2740">
        <f ca="1">ROUND(IF(C79&lt;=0,0,IF(C80&gt;=200%,C79*60%-C73*35%,IF(C80&gt;=100%,C79*50%-C73*15%,IF(C80&gt;=50%,C79*40%-C73*5%,IF(C80&lt;50%,C79*30%,0))))),0)</f>
        <v>5518</v>
      </c>
      <c r="D81" s="2741" t="s">
        <v>124</v>
      </c>
      <c r="E81" s="274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3"/>
      <c r="G81" s="2743"/>
      <c r="H81" s="2744"/>
      <c r="I81" s="2819"/>
      <c r="J81" s="2818"/>
      <c r="K81" s="2818"/>
      <c r="L81" s="2818"/>
      <c r="M81" s="2818"/>
      <c r="N81" s="2818"/>
      <c r="O81" s="2818"/>
      <c r="P81" s="2818"/>
      <c r="Q81" s="2818"/>
      <c r="R81" s="2818"/>
      <c r="S81" s="2818"/>
      <c r="T81" s="2818"/>
      <c r="U81" s="2818"/>
      <c r="V81" s="2818"/>
      <c r="W81" s="2818"/>
      <c r="X81" s="2818"/>
      <c r="Y81" s="2818"/>
      <c r="Z81" s="2818"/>
      <c r="AA81" s="2825"/>
      <c r="AB81" s="2825"/>
      <c r="AC81" s="2825"/>
      <c r="AD81" s="2825"/>
      <c r="AE81" s="2825"/>
      <c r="AF81" s="2825"/>
      <c r="AG81" s="2825"/>
      <c r="AH81" s="2825"/>
      <c r="AI81" s="2825"/>
    </row>
    <row r="82" s="2497" customFormat="1" ht="7.5" customHeight="1" spans="1:35">
      <c r="A82" s="2745"/>
      <c r="B82" s="2746"/>
      <c r="C82" s="771"/>
      <c r="D82" s="771"/>
      <c r="E82" s="2746"/>
      <c r="F82" s="2746"/>
      <c r="G82" s="2746"/>
      <c r="H82" s="2747"/>
      <c r="I82" s="2820"/>
      <c r="J82" s="2818"/>
      <c r="K82" s="2818"/>
      <c r="L82" s="2818"/>
      <c r="M82" s="2818"/>
      <c r="N82" s="2818"/>
      <c r="O82" s="2818"/>
      <c r="P82" s="2818"/>
      <c r="Q82" s="2818"/>
      <c r="R82" s="2818"/>
      <c r="S82" s="2818"/>
      <c r="T82" s="2818"/>
      <c r="U82" s="2818"/>
      <c r="V82" s="2818"/>
      <c r="W82" s="2818"/>
      <c r="X82" s="2818"/>
      <c r="Y82" s="2818"/>
      <c r="Z82" s="2818"/>
      <c r="AA82" s="2825"/>
      <c r="AB82" s="2825"/>
      <c r="AC82" s="2825"/>
      <c r="AD82" s="2825"/>
      <c r="AE82" s="2825"/>
      <c r="AF82" s="2825"/>
      <c r="AG82" s="2825"/>
      <c r="AH82" s="2825"/>
      <c r="AI82" s="2825"/>
    </row>
    <row r="83" s="2497" customFormat="1" ht="14.75" spans="1:35">
      <c r="A83" s="2718" t="s">
        <v>955</v>
      </c>
      <c r="B83" s="2719"/>
      <c r="C83" s="2719"/>
      <c r="D83" s="2719"/>
      <c r="E83" s="2719"/>
      <c r="F83" s="2719"/>
      <c r="G83" s="2719"/>
      <c r="H83" s="2719"/>
      <c r="I83" s="890"/>
      <c r="J83" s="2818"/>
      <c r="K83" s="2818"/>
      <c r="L83" s="2818"/>
      <c r="M83" s="2818"/>
      <c r="N83" s="2818"/>
      <c r="O83" s="2818"/>
      <c r="P83" s="2818"/>
      <c r="Q83" s="2818"/>
      <c r="R83" s="2818"/>
      <c r="S83" s="2818"/>
      <c r="T83" s="2818"/>
      <c r="U83" s="2818"/>
      <c r="V83" s="2818"/>
      <c r="W83" s="2818"/>
      <c r="X83" s="2818"/>
      <c r="Y83" s="2818"/>
      <c r="Z83" s="2818"/>
      <c r="AA83" s="2825"/>
      <c r="AB83" s="2825"/>
      <c r="AC83" s="2825"/>
      <c r="AD83" s="2825"/>
      <c r="AE83" s="2825"/>
      <c r="AF83" s="2825"/>
      <c r="AG83" s="2825"/>
      <c r="AH83" s="2825"/>
      <c r="AI83" s="2825"/>
    </row>
    <row r="84" s="2497" customFormat="1" ht="14" spans="1:35">
      <c r="A84" s="2657" t="s">
        <v>910</v>
      </c>
      <c r="B84" s="613"/>
      <c r="C84" s="613"/>
      <c r="D84" s="613" t="s">
        <v>911</v>
      </c>
      <c r="E84" s="2720" t="s">
        <v>865</v>
      </c>
      <c r="F84" s="2721"/>
      <c r="G84" s="2721"/>
      <c r="H84" s="2748"/>
      <c r="I84" s="890"/>
      <c r="J84" s="2818"/>
      <c r="K84" s="2818"/>
      <c r="L84" s="2818"/>
      <c r="M84" s="2818"/>
      <c r="N84" s="2818"/>
      <c r="O84" s="2818"/>
      <c r="P84" s="2818"/>
      <c r="Q84" s="2818"/>
      <c r="R84" s="2818"/>
      <c r="S84" s="2818"/>
      <c r="T84" s="2818"/>
      <c r="U84" s="2818"/>
      <c r="V84" s="2818"/>
      <c r="W84" s="2818"/>
      <c r="X84" s="2818"/>
      <c r="Y84" s="2818"/>
      <c r="Z84" s="2818"/>
      <c r="AA84" s="2825"/>
      <c r="AB84" s="2825"/>
      <c r="AC84" s="2825"/>
      <c r="AD84" s="2825"/>
      <c r="AE84" s="2825"/>
      <c r="AF84" s="2825"/>
      <c r="AG84" s="2825"/>
      <c r="AH84" s="2825"/>
      <c r="AI84" s="2825"/>
    </row>
    <row r="85" s="2497" customFormat="1" ht="14" spans="1:35">
      <c r="A85" s="2659" t="s">
        <v>912</v>
      </c>
      <c r="B85" s="2706" t="s">
        <v>936</v>
      </c>
      <c r="C85" s="2709">
        <f ca="1">ROUND(D45/(1+'数据-取费表'!C42),0)</f>
        <v>9270</v>
      </c>
      <c r="D85" s="596" t="s">
        <v>124</v>
      </c>
      <c r="E85" s="2135"/>
      <c r="F85" s="2136"/>
      <c r="G85" s="2136"/>
      <c r="H85" s="2749"/>
      <c r="I85" s="890"/>
      <c r="J85" s="2818"/>
      <c r="K85" s="2818"/>
      <c r="L85" s="2818"/>
      <c r="M85" s="2818"/>
      <c r="N85" s="2818"/>
      <c r="O85" s="2818"/>
      <c r="P85" s="2818"/>
      <c r="Q85" s="2818"/>
      <c r="R85" s="2818"/>
      <c r="S85" s="2818"/>
      <c r="T85" s="2818"/>
      <c r="U85" s="2818"/>
      <c r="V85" s="2818"/>
      <c r="W85" s="2818"/>
      <c r="X85" s="2818"/>
      <c r="Y85" s="2818"/>
      <c r="Z85" s="2818"/>
      <c r="AA85" s="2825"/>
      <c r="AB85" s="2825"/>
      <c r="AC85" s="2825"/>
      <c r="AD85" s="2825"/>
      <c r="AE85" s="2825"/>
      <c r="AF85" s="2825"/>
      <c r="AG85" s="2825"/>
      <c r="AH85" s="2825"/>
      <c r="AI85" s="2825"/>
    </row>
    <row r="86" s="2497" customFormat="1" ht="14" spans="1:35">
      <c r="A86" s="2659" t="s">
        <v>923</v>
      </c>
      <c r="B86" s="2620" t="s">
        <v>937</v>
      </c>
      <c r="C86" s="2709">
        <f ca="1">IF(H88="仅含出让金",C87+C90+C91+C92+C93+C94,C87+C91+C92+C93+C94)</f>
        <v>46</v>
      </c>
      <c r="D86" s="2750"/>
      <c r="E86" s="2135"/>
      <c r="F86" s="2136"/>
      <c r="G86" s="2136"/>
      <c r="H86" s="2749"/>
      <c r="I86" s="890"/>
      <c r="J86" s="2818"/>
      <c r="K86" s="2818"/>
      <c r="L86" s="2818"/>
      <c r="M86" s="2818"/>
      <c r="N86" s="2818"/>
      <c r="O86" s="2818"/>
      <c r="P86" s="2818"/>
      <c r="Q86" s="2818"/>
      <c r="R86" s="2818"/>
      <c r="S86" s="2818"/>
      <c r="T86" s="2818"/>
      <c r="U86" s="2818"/>
      <c r="V86" s="2818"/>
      <c r="W86" s="2818"/>
      <c r="X86" s="2818"/>
      <c r="Y86" s="2818"/>
      <c r="Z86" s="2818"/>
      <c r="AA86" s="2825"/>
      <c r="AB86" s="2825"/>
      <c r="AC86" s="2825"/>
      <c r="AD86" s="2825"/>
      <c r="AE86" s="2825"/>
      <c r="AF86" s="2825"/>
      <c r="AG86" s="2825"/>
      <c r="AH86" s="2825"/>
      <c r="AI86" s="2825"/>
    </row>
    <row r="87" s="2497" customFormat="1" ht="14" spans="1:35">
      <c r="A87" s="2662" t="s">
        <v>916</v>
      </c>
      <c r="B87" s="596" t="s">
        <v>956</v>
      </c>
      <c r="C87" s="2734">
        <f>C88+C89</f>
        <v>0</v>
      </c>
      <c r="D87" s="2735"/>
      <c r="E87" s="2736"/>
      <c r="F87" s="2737"/>
      <c r="G87" s="2737"/>
      <c r="H87" s="2738"/>
      <c r="I87" s="890"/>
      <c r="J87" s="2818"/>
      <c r="K87" s="2818"/>
      <c r="L87" s="2818"/>
      <c r="M87" s="2818"/>
      <c r="N87" s="2818"/>
      <c r="O87" s="2818"/>
      <c r="P87" s="2818"/>
      <c r="Q87" s="2818"/>
      <c r="R87" s="2818"/>
      <c r="S87" s="2818"/>
      <c r="T87" s="2818"/>
      <c r="U87" s="2818"/>
      <c r="V87" s="2818"/>
      <c r="W87" s="2818"/>
      <c r="X87" s="2818"/>
      <c r="Y87" s="2818"/>
      <c r="Z87" s="2818"/>
      <c r="AA87" s="2825"/>
      <c r="AB87" s="2825"/>
      <c r="AC87" s="2825"/>
      <c r="AD87" s="2825"/>
      <c r="AE87" s="2825"/>
      <c r="AF87" s="2825"/>
      <c r="AG87" s="2825"/>
      <c r="AH87" s="2825"/>
      <c r="AI87" s="2825"/>
    </row>
    <row r="88" s="2497" customFormat="1" ht="14" spans="1:35">
      <c r="A88" s="2662" t="s">
        <v>939</v>
      </c>
      <c r="B88" s="596" t="s">
        <v>957</v>
      </c>
      <c r="C88" s="2751"/>
      <c r="D88" s="2735"/>
      <c r="E88" s="2752" t="s">
        <v>958</v>
      </c>
      <c r="F88" s="2737"/>
      <c r="G88" s="2753" t="s">
        <v>959</v>
      </c>
      <c r="H88" s="2754"/>
      <c r="I88" s="890"/>
      <c r="J88" s="2821" t="s">
        <v>960</v>
      </c>
      <c r="K88" s="2818"/>
      <c r="L88" s="2818"/>
      <c r="M88" s="2818"/>
      <c r="N88" s="2818"/>
      <c r="O88" s="2818"/>
      <c r="P88" s="2818"/>
      <c r="Q88" s="2818"/>
      <c r="R88" s="2818"/>
      <c r="S88" s="2818"/>
      <c r="T88" s="2818"/>
      <c r="U88" s="2818"/>
      <c r="V88" s="2818"/>
      <c r="W88" s="2818"/>
      <c r="X88" s="2818"/>
      <c r="Y88" s="2818"/>
      <c r="Z88" s="2818"/>
      <c r="AA88" s="2825"/>
      <c r="AB88" s="2825"/>
      <c r="AC88" s="2825"/>
      <c r="AD88" s="2825"/>
      <c r="AE88" s="2825"/>
      <c r="AF88" s="2825"/>
      <c r="AG88" s="2825"/>
      <c r="AH88" s="2825"/>
      <c r="AI88" s="2825"/>
    </row>
    <row r="89" s="2497" customFormat="1" ht="14" spans="1:35">
      <c r="A89" s="2662" t="s">
        <v>943</v>
      </c>
      <c r="B89" s="596" t="s">
        <v>947</v>
      </c>
      <c r="C89" s="2734">
        <f>ROUND(C88*D89,0)</f>
        <v>0</v>
      </c>
      <c r="D89" s="2735">
        <f>'数据-取费表'!B48+'数据-取费表'!B49</f>
        <v>0.0405</v>
      </c>
      <c r="E89" s="2752" t="s">
        <v>961</v>
      </c>
      <c r="F89" s="2737"/>
      <c r="G89" s="2737"/>
      <c r="H89" s="2738"/>
      <c r="I89" s="890"/>
      <c r="J89" s="2818"/>
      <c r="K89" s="2818"/>
      <c r="L89" s="2818"/>
      <c r="M89" s="2818"/>
      <c r="N89" s="2818"/>
      <c r="O89" s="2818"/>
      <c r="P89" s="2818"/>
      <c r="Q89" s="2818"/>
      <c r="R89" s="2818"/>
      <c r="S89" s="2818"/>
      <c r="T89" s="2818"/>
      <c r="U89" s="2818"/>
      <c r="V89" s="2818"/>
      <c r="W89" s="2818"/>
      <c r="X89" s="2818"/>
      <c r="Y89" s="2818"/>
      <c r="Z89" s="2818"/>
      <c r="AA89" s="2825"/>
      <c r="AB89" s="2825"/>
      <c r="AC89" s="2825"/>
      <c r="AD89" s="2825"/>
      <c r="AE89" s="2825"/>
      <c r="AF89" s="2825"/>
      <c r="AG89" s="2825"/>
      <c r="AH89" s="2825"/>
      <c r="AI89" s="2825"/>
    </row>
    <row r="90" s="2497" customFormat="1" ht="14" spans="1:35">
      <c r="A90" s="2662" t="s">
        <v>920</v>
      </c>
      <c r="B90" s="596" t="s">
        <v>962</v>
      </c>
      <c r="C90" s="2751"/>
      <c r="D90" s="2735"/>
      <c r="E90" s="2752" t="str">
        <f>IF(H88="-","土地取得成本中已包含该笔费用"," ")</f>
        <v> </v>
      </c>
      <c r="F90" s="2737"/>
      <c r="G90" s="2755" t="s">
        <v>963</v>
      </c>
      <c r="H90" s="2756"/>
      <c r="I90" s="890"/>
      <c r="J90" s="2821" t="s">
        <v>964</v>
      </c>
      <c r="K90" s="2818"/>
      <c r="L90" s="2818"/>
      <c r="M90" s="2818"/>
      <c r="N90" s="2818"/>
      <c r="O90" s="2818"/>
      <c r="P90" s="2818"/>
      <c r="Q90" s="2818"/>
      <c r="R90" s="2818"/>
      <c r="S90" s="2818"/>
      <c r="T90" s="2818"/>
      <c r="U90" s="2818"/>
      <c r="V90" s="2818"/>
      <c r="W90" s="2818"/>
      <c r="X90" s="2818"/>
      <c r="Y90" s="2818"/>
      <c r="Z90" s="2818"/>
      <c r="AA90" s="2825"/>
      <c r="AB90" s="2825"/>
      <c r="AC90" s="2825"/>
      <c r="AD90" s="2825"/>
      <c r="AE90" s="2825"/>
      <c r="AF90" s="2825"/>
      <c r="AG90" s="2825"/>
      <c r="AH90" s="2825"/>
      <c r="AI90" s="2825"/>
    </row>
    <row r="91" s="2497" customFormat="1" ht="27.75" customHeight="1" spans="1:35">
      <c r="A91" s="2662" t="s">
        <v>965</v>
      </c>
      <c r="B91" s="596" t="s">
        <v>966</v>
      </c>
      <c r="C91" s="2734">
        <f ca="1">IF(H91="——",成本法!C33,I91)</f>
        <v>0</v>
      </c>
      <c r="D91" s="2735"/>
      <c r="E91" s="2736" t="s">
        <v>967</v>
      </c>
      <c r="F91" s="2737"/>
      <c r="G91" s="2737"/>
      <c r="H91" s="2757"/>
      <c r="I91" s="2822"/>
      <c r="J91" s="2818"/>
      <c r="K91" s="2818"/>
      <c r="L91" s="2818"/>
      <c r="M91" s="2818"/>
      <c r="N91" s="2818"/>
      <c r="O91" s="2818"/>
      <c r="P91" s="2818"/>
      <c r="Q91" s="2818"/>
      <c r="R91" s="2818"/>
      <c r="S91" s="2818"/>
      <c r="T91" s="2818"/>
      <c r="U91" s="2818"/>
      <c r="V91" s="2818"/>
      <c r="W91" s="2818"/>
      <c r="X91" s="2818"/>
      <c r="Y91" s="2818"/>
      <c r="Z91" s="2818"/>
      <c r="AA91" s="2825"/>
      <c r="AB91" s="2825"/>
      <c r="AC91" s="2825"/>
      <c r="AD91" s="2825"/>
      <c r="AE91" s="2825"/>
      <c r="AF91" s="2825"/>
      <c r="AG91" s="2825"/>
      <c r="AH91" s="2825"/>
      <c r="AI91" s="2825"/>
    </row>
    <row r="92" s="2497" customFormat="1" ht="25.5" customHeight="1" spans="1:35">
      <c r="A92" s="2662" t="s">
        <v>968</v>
      </c>
      <c r="B92" s="596" t="s">
        <v>969</v>
      </c>
      <c r="C92" s="2734">
        <f ca="1">ROUND((C87+C90+C91)*D92,0)</f>
        <v>0</v>
      </c>
      <c r="D92" s="2758"/>
      <c r="E92" s="2736" t="s">
        <v>970</v>
      </c>
      <c r="F92" s="2737"/>
      <c r="G92" s="2737"/>
      <c r="H92" s="2738"/>
      <c r="I92" s="890"/>
      <c r="J92" s="2823" t="s">
        <v>971</v>
      </c>
      <c r="K92" s="2818"/>
      <c r="L92" s="2818"/>
      <c r="M92" s="2818"/>
      <c r="N92" s="2818"/>
      <c r="O92" s="2818"/>
      <c r="P92" s="2818"/>
      <c r="Q92" s="2818"/>
      <c r="R92" s="2818"/>
      <c r="S92" s="2818"/>
      <c r="T92" s="2818"/>
      <c r="U92" s="2818"/>
      <c r="V92" s="2818"/>
      <c r="W92" s="2818"/>
      <c r="X92" s="2818"/>
      <c r="Y92" s="2818"/>
      <c r="Z92" s="2818"/>
      <c r="AA92" s="2825"/>
      <c r="AB92" s="2825"/>
      <c r="AC92" s="2825"/>
      <c r="AD92" s="2825"/>
      <c r="AE92" s="2825"/>
      <c r="AF92" s="2825"/>
      <c r="AG92" s="2825"/>
      <c r="AH92" s="2825"/>
      <c r="AI92" s="2825"/>
    </row>
    <row r="93" s="2497" customFormat="1" ht="25.5" customHeight="1" spans="1:35">
      <c r="A93" s="2662" t="s">
        <v>972</v>
      </c>
      <c r="B93" s="596" t="s">
        <v>949</v>
      </c>
      <c r="C93" s="2734">
        <f ca="1">ROUND(D45*D93/(1+'数据-取费表'!C42),0)</f>
        <v>46</v>
      </c>
      <c r="D93" s="2735">
        <f>'数据-取费表'!B43</f>
        <v>0.005</v>
      </c>
      <c r="E93" s="2736" t="s">
        <v>950</v>
      </c>
      <c r="F93" s="2737"/>
      <c r="G93" s="2737"/>
      <c r="H93" s="2738"/>
      <c r="I93" s="890"/>
      <c r="J93" s="2818"/>
      <c r="K93" s="2818"/>
      <c r="L93" s="2818"/>
      <c r="M93" s="2818"/>
      <c r="N93" s="2818"/>
      <c r="O93" s="2818"/>
      <c r="P93" s="2818"/>
      <c r="Q93" s="2818"/>
      <c r="R93" s="2818"/>
      <c r="S93" s="2818"/>
      <c r="T93" s="2818"/>
      <c r="U93" s="2818"/>
      <c r="V93" s="2818"/>
      <c r="W93" s="2818"/>
      <c r="X93" s="2818"/>
      <c r="Y93" s="2818"/>
      <c r="Z93" s="2818"/>
      <c r="AA93" s="2825"/>
      <c r="AB93" s="2825"/>
      <c r="AC93" s="2825"/>
      <c r="AD93" s="2825"/>
      <c r="AE93" s="2825"/>
      <c r="AF93" s="2825"/>
      <c r="AG93" s="2825"/>
      <c r="AH93" s="2825"/>
      <c r="AI93" s="2825"/>
    </row>
    <row r="94" s="2497" customFormat="1" ht="36.75" customHeight="1" spans="1:35">
      <c r="A94" s="2662" t="s">
        <v>973</v>
      </c>
      <c r="B94" s="596" t="s">
        <v>974</v>
      </c>
      <c r="C94" s="2751">
        <f ca="1">ROUND((C87+C90+C91)*D94,0)</f>
        <v>0</v>
      </c>
      <c r="D94" s="2735">
        <v>0.2</v>
      </c>
      <c r="E94" s="2759" t="s">
        <v>975</v>
      </c>
      <c r="F94" s="2760"/>
      <c r="G94" s="2760"/>
      <c r="H94" s="2761"/>
      <c r="I94" s="890"/>
      <c r="J94" s="2818"/>
      <c r="K94" s="2818"/>
      <c r="L94" s="2818"/>
      <c r="M94" s="2818"/>
      <c r="N94" s="2818"/>
      <c r="O94" s="2818"/>
      <c r="P94" s="2818"/>
      <c r="Q94" s="2818"/>
      <c r="R94" s="2818"/>
      <c r="S94" s="2818"/>
      <c r="T94" s="2818"/>
      <c r="U94" s="2818"/>
      <c r="V94" s="2818"/>
      <c r="W94" s="2818"/>
      <c r="X94" s="2818"/>
      <c r="Y94" s="2818"/>
      <c r="Z94" s="2818"/>
      <c r="AA94" s="2825"/>
      <c r="AB94" s="2825"/>
      <c r="AC94" s="2825"/>
      <c r="AD94" s="2825"/>
      <c r="AE94" s="2825"/>
      <c r="AF94" s="2825"/>
      <c r="AG94" s="2825"/>
      <c r="AH94" s="2825"/>
      <c r="AI94" s="2825"/>
    </row>
    <row r="95" s="2497" customFormat="1" ht="14" spans="1:35">
      <c r="A95" s="2659" t="s">
        <v>928</v>
      </c>
      <c r="B95" s="2706" t="s">
        <v>951</v>
      </c>
      <c r="C95" s="2709">
        <f ca="1">ROUND(C85-C86,0)</f>
        <v>9224</v>
      </c>
      <c r="D95" s="596" t="s">
        <v>124</v>
      </c>
      <c r="E95" s="2135"/>
      <c r="F95" s="2136"/>
      <c r="G95" s="2136"/>
      <c r="H95" s="2749"/>
      <c r="I95" s="890"/>
      <c r="J95" s="2818"/>
      <c r="K95" s="2818"/>
      <c r="L95" s="2818"/>
      <c r="M95" s="2818"/>
      <c r="N95" s="2818"/>
      <c r="O95" s="2818"/>
      <c r="P95" s="2818"/>
      <c r="Q95" s="2818"/>
      <c r="R95" s="2818"/>
      <c r="S95" s="2818"/>
      <c r="T95" s="2818"/>
      <c r="U95" s="2818"/>
      <c r="V95" s="2818"/>
      <c r="W95" s="2818"/>
      <c r="X95" s="2818"/>
      <c r="Y95" s="2818"/>
      <c r="Z95" s="2818"/>
      <c r="AA95" s="2825"/>
      <c r="AB95" s="2825"/>
      <c r="AC95" s="2825"/>
      <c r="AD95" s="2825"/>
      <c r="AE95" s="2825"/>
      <c r="AF95" s="2825"/>
      <c r="AG95" s="2825"/>
      <c r="AH95" s="2825"/>
      <c r="AI95" s="2825"/>
    </row>
    <row r="96" s="2497" customFormat="1" ht="26" spans="1:35">
      <c r="A96" s="2659" t="s">
        <v>931</v>
      </c>
      <c r="B96" s="2706" t="s">
        <v>952</v>
      </c>
      <c r="C96" s="2739">
        <f ca="1">IF(C95&lt;=0,0,C95/C86)</f>
        <v>200.521739130435</v>
      </c>
      <c r="D96" s="596" t="s">
        <v>124</v>
      </c>
      <c r="E96" s="2258" t="str">
        <f ca="1">IF(C96&gt;=200%,"增值额超过扣除项目金额200%",IF(C96&gt;=100%,"增值额超过扣除项目金额100%，未超过200%",IF(C96&gt;=50%,"增值额超过扣除项目金额50%，未超过100%",IF(C96&lt;50%,"增值额未超过扣除项目金额50%"))))</f>
        <v>增值额超过扣除项目金额200%</v>
      </c>
      <c r="F96" s="2136"/>
      <c r="G96" s="2136"/>
      <c r="H96" s="2749"/>
      <c r="I96" s="890"/>
      <c r="J96" s="2818"/>
      <c r="K96" s="2818"/>
      <c r="L96" s="2818"/>
      <c r="M96" s="2818"/>
      <c r="N96" s="2818"/>
      <c r="O96" s="2818"/>
      <c r="P96" s="2818"/>
      <c r="Q96" s="2818"/>
      <c r="R96" s="2818"/>
      <c r="S96" s="2818"/>
      <c r="T96" s="2818"/>
      <c r="U96" s="2818"/>
      <c r="V96" s="2818"/>
      <c r="W96" s="2818"/>
      <c r="X96" s="2818"/>
      <c r="Y96" s="2818"/>
      <c r="Z96" s="2818"/>
      <c r="AA96" s="2825"/>
      <c r="AB96" s="2825"/>
      <c r="AC96" s="2825"/>
      <c r="AD96" s="2825"/>
      <c r="AE96" s="2825"/>
      <c r="AF96" s="2825"/>
      <c r="AG96" s="2825"/>
      <c r="AH96" s="2825"/>
      <c r="AI96" s="2825"/>
    </row>
    <row r="97" s="2497" customFormat="1" ht="26.75" spans="1:35">
      <c r="A97" s="2710" t="s">
        <v>953</v>
      </c>
      <c r="B97" s="2711" t="s">
        <v>954</v>
      </c>
      <c r="C97" s="2740">
        <f ca="1">ROUND(IF(C95&lt;=0,0,IF(C96&gt;=200%,C95*60%-C86*35%,IF(C96&gt;=100%,C95*50%-C86*15%,IF(C96&gt;=50%,C95*40%-C86*5%,IF(C96&lt;50%,C95*30%,0))))),0)</f>
        <v>5518</v>
      </c>
      <c r="D97" s="2741" t="s">
        <v>124</v>
      </c>
      <c r="E97" s="274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3"/>
      <c r="G97" s="2743"/>
      <c r="H97" s="2762"/>
      <c r="I97" s="890"/>
      <c r="J97" s="2818"/>
      <c r="K97" s="2818"/>
      <c r="L97" s="2818"/>
      <c r="M97" s="2818"/>
      <c r="N97" s="2818"/>
      <c r="O97" s="2818"/>
      <c r="P97" s="2818"/>
      <c r="Q97" s="2818"/>
      <c r="R97" s="2818"/>
      <c r="S97" s="2818"/>
      <c r="T97" s="2818"/>
      <c r="U97" s="2818"/>
      <c r="V97" s="2818"/>
      <c r="W97" s="2818"/>
      <c r="X97" s="2818"/>
      <c r="Y97" s="2818"/>
      <c r="Z97" s="2818"/>
      <c r="AA97" s="2825"/>
      <c r="AB97" s="2825"/>
      <c r="AC97" s="2825"/>
      <c r="AD97" s="2825"/>
      <c r="AE97" s="2825"/>
      <c r="AF97" s="2825"/>
      <c r="AG97" s="2825"/>
      <c r="AH97" s="2825"/>
      <c r="AI97" s="2825"/>
    </row>
    <row r="98" customHeight="1" spans="1:9">
      <c r="A98" s="2652"/>
      <c r="B98" s="2501"/>
      <c r="C98" s="2501"/>
      <c r="D98" s="2501"/>
      <c r="E98" s="2653"/>
      <c r="F98" s="2653"/>
      <c r="G98" s="2653"/>
      <c r="H98" s="2601"/>
      <c r="I98" s="1049"/>
    </row>
    <row r="99" customHeight="1" spans="1:9">
      <c r="A99" s="2603" t="s">
        <v>976</v>
      </c>
      <c r="B99" s="2501"/>
      <c r="C99" s="2501"/>
      <c r="D99" s="2501"/>
      <c r="E99" s="2653"/>
      <c r="F99" s="2653"/>
      <c r="G99" s="2653"/>
      <c r="H99" s="2601"/>
      <c r="I99" s="1049"/>
    </row>
    <row r="100" ht="18.75" customHeight="1" spans="1:9">
      <c r="A100" s="2763" t="s">
        <v>977</v>
      </c>
      <c r="B100" s="2764"/>
      <c r="C100" s="2764"/>
      <c r="D100" s="2765"/>
      <c r="E100" s="2764" t="s">
        <v>978</v>
      </c>
      <c r="F100" s="2764"/>
      <c r="G100" s="2764"/>
      <c r="H100" s="2765"/>
      <c r="I100" s="1049"/>
    </row>
    <row r="101" ht="18.75" customHeight="1" spans="1:9">
      <c r="A101" s="2766" t="s">
        <v>979</v>
      </c>
      <c r="B101" s="2767"/>
      <c r="C101" s="2768" t="str">
        <f>C4</f>
        <v>成本法</v>
      </c>
      <c r="D101" s="2769" t="str">
        <f>D4</f>
        <v>假设开发法</v>
      </c>
      <c r="E101" s="2770" t="s">
        <v>980</v>
      </c>
      <c r="F101" s="2771"/>
      <c r="G101" s="2772" t="s">
        <v>981</v>
      </c>
      <c r="H101" s="2773">
        <f ca="1">H118</f>
        <v>9734</v>
      </c>
      <c r="I101" s="1049"/>
    </row>
    <row r="102" ht="18.75" customHeight="1" spans="1:9">
      <c r="A102" s="2774" t="s">
        <v>982</v>
      </c>
      <c r="B102" s="2775" t="s">
        <v>981</v>
      </c>
      <c r="C102" s="2768">
        <f ca="1">IF(D32="楼面单价",ROUND(C19,0),C19)</f>
        <v>13058</v>
      </c>
      <c r="D102" s="2769">
        <f ca="1">IF(D32="楼面单价",ROUND(D19,0),D19)</f>
        <v>4749</v>
      </c>
      <c r="E102" s="2770"/>
      <c r="F102" s="2771"/>
      <c r="G102" s="2772" t="s">
        <v>99</v>
      </c>
      <c r="H102" s="2639">
        <f ca="1">I118</f>
        <v>1790</v>
      </c>
      <c r="I102" s="1049"/>
    </row>
    <row r="103" ht="42.75" customHeight="1" spans="1:9">
      <c r="A103" s="2774"/>
      <c r="B103" s="2775" t="s">
        <v>99</v>
      </c>
      <c r="C103" s="2776">
        <f ca="1">C20</f>
        <v>2401</v>
      </c>
      <c r="D103" s="2777">
        <f ca="1">D20</f>
        <v>873</v>
      </c>
      <c r="E103" s="2778" t="s">
        <v>983</v>
      </c>
      <c r="F103" s="2779"/>
      <c r="G103" s="2780" t="s">
        <v>102</v>
      </c>
      <c r="H103" s="2773">
        <f>IF(D36="正常操作",H104+H105+H106,H105+H106)</f>
        <v>0</v>
      </c>
      <c r="I103" s="1049"/>
    </row>
    <row r="104" ht="18.75" customHeight="1" spans="1:9">
      <c r="A104" s="2774" t="s">
        <v>984</v>
      </c>
      <c r="B104" s="2781" t="s">
        <v>981</v>
      </c>
      <c r="C104" s="2782">
        <f ca="1">H118</f>
        <v>9734</v>
      </c>
      <c r="D104" s="2783"/>
      <c r="E104" s="2585" t="s">
        <v>985</v>
      </c>
      <c r="F104" s="2784"/>
      <c r="G104" s="2780" t="s">
        <v>102</v>
      </c>
      <c r="H104" s="2785">
        <f>IF(D36="同一抵押权人同一抵押物续贷",C36&amp;"（续贷，未扣减，详见特别提示）",C36)</f>
        <v>0</v>
      </c>
      <c r="I104" s="1049"/>
    </row>
    <row r="105" ht="18.75" customHeight="1" spans="1:9">
      <c r="A105" s="2786"/>
      <c r="B105" s="2787" t="s">
        <v>99</v>
      </c>
      <c r="C105" s="2788">
        <f ca="1">I118</f>
        <v>1790</v>
      </c>
      <c r="D105" s="2789"/>
      <c r="E105" s="2585" t="s">
        <v>986</v>
      </c>
      <c r="F105" s="2784"/>
      <c r="G105" s="2780" t="s">
        <v>102</v>
      </c>
      <c r="H105" s="2790">
        <f>C37</f>
        <v>0</v>
      </c>
      <c r="I105" s="1049"/>
    </row>
    <row r="106" ht="18.75" customHeight="1" spans="1:9">
      <c r="A106" s="2501" t="s">
        <v>987</v>
      </c>
      <c r="B106" s="2501"/>
      <c r="C106" s="2501"/>
      <c r="D106" s="2501"/>
      <c r="E106" s="2791" t="s">
        <v>988</v>
      </c>
      <c r="F106" s="2784"/>
      <c r="G106" s="2780" t="s">
        <v>102</v>
      </c>
      <c r="H106" s="2790">
        <f>C38</f>
        <v>0</v>
      </c>
      <c r="I106" s="1049"/>
    </row>
    <row r="107" ht="18.75" customHeight="1" spans="1:9">
      <c r="A107" s="1049"/>
      <c r="B107" s="1049"/>
      <c r="C107" s="1049"/>
      <c r="D107" s="1049"/>
      <c r="E107" s="2792" t="str">
        <f>IF(项目基本情况!E8="已注销","——","3.房地产抵押价值")</f>
        <v>3.房地产抵押价值</v>
      </c>
      <c r="F107" s="2771"/>
      <c r="G107" s="2772" t="s">
        <v>981</v>
      </c>
      <c r="H107" s="2773">
        <f ca="1">IF(E107="——","——",H101-H103)</f>
        <v>9734</v>
      </c>
      <c r="I107" s="1049"/>
    </row>
    <row r="108" ht="18.75" customHeight="1" spans="1:9">
      <c r="A108" s="1049"/>
      <c r="B108" s="1049"/>
      <c r="C108" s="1049"/>
      <c r="D108" s="1049"/>
      <c r="E108" s="2792"/>
      <c r="F108" s="2771"/>
      <c r="G108" s="2772" t="s">
        <v>99</v>
      </c>
      <c r="H108" s="2639">
        <f ca="1">IF(H107=H101,H102,ROUND(H107*10000/'数据-汇总表'!E3,0))</f>
        <v>1790</v>
      </c>
      <c r="I108" s="1049"/>
    </row>
    <row r="109" ht="18.75" customHeight="1" spans="1:9">
      <c r="A109" s="1049"/>
      <c r="B109" s="1049"/>
      <c r="C109" s="1049"/>
      <c r="D109" s="1049"/>
      <c r="E109" s="2792" t="str">
        <f>IF(项目基本情况!E8="已注销及未注销","4.抵押担保权已注销时的房地产抵押价值",IF(项目基本情况!E8="已注销","3.抵押担保权已注销时的房地产抵押价值","——"))</f>
        <v>——</v>
      </c>
      <c r="F109" s="2771"/>
      <c r="G109" s="2772" t="s">
        <v>981</v>
      </c>
      <c r="H109" s="2793" t="str">
        <f ca="1">IF(E109="——","——",H101-H105-H106)</f>
        <v>——</v>
      </c>
      <c r="I109" s="1049"/>
    </row>
    <row r="110" ht="18.75" customHeight="1" spans="1:9">
      <c r="A110" s="1049"/>
      <c r="B110" s="1049"/>
      <c r="C110" s="1049"/>
      <c r="D110" s="1049"/>
      <c r="E110" s="2792"/>
      <c r="F110" s="2771"/>
      <c r="G110" s="2772" t="s">
        <v>99</v>
      </c>
      <c r="H110" s="2639" t="str">
        <f ca="1">IF(H109="——","——",ROUND(H109*10000/'数据-汇总表'!E3,0))</f>
        <v>——</v>
      </c>
      <c r="I110" s="1049"/>
    </row>
    <row r="111" ht="18.75" customHeight="1" spans="1:9">
      <c r="A111" s="1049"/>
      <c r="B111" s="1049"/>
      <c r="C111" s="1049"/>
      <c r="D111" s="1049"/>
      <c r="E111" s="2794" t="str">
        <f>IF(项目基本情况!E9="抵押净值",IF(OR(项目基本情况!E8="已注销",项目基本情况!E8="房地产抵押价值"),"4.抵押净值","5.抵押净值"),"——")</f>
        <v>——</v>
      </c>
      <c r="F111" s="2795"/>
      <c r="G111" s="2772" t="s">
        <v>981</v>
      </c>
      <c r="H111" s="2773" t="str">
        <f ca="1">IF(E111="——","——",N59)</f>
        <v>——</v>
      </c>
      <c r="I111" s="1049"/>
    </row>
    <row r="112" ht="18.75" customHeight="1" spans="1:9">
      <c r="A112" s="1049"/>
      <c r="B112" s="1049"/>
      <c r="C112" s="1049"/>
      <c r="D112" s="1049"/>
      <c r="E112" s="2796"/>
      <c r="F112" s="2797"/>
      <c r="G112" s="2798" t="s">
        <v>99</v>
      </c>
      <c r="H112" s="2799" t="str">
        <f ca="1">IF(E111="——","——",N61)</f>
        <v>——</v>
      </c>
      <c r="I112" s="1049"/>
    </row>
    <row r="113" ht="18.75" customHeight="1" spans="1:9">
      <c r="A113" s="1049"/>
      <c r="B113" s="1049"/>
      <c r="C113" s="1049"/>
      <c r="D113" s="1049"/>
      <c r="E113" s="2800" t="s">
        <v>987</v>
      </c>
      <c r="F113" s="2800"/>
      <c r="G113" s="2800"/>
      <c r="H113" s="2800"/>
      <c r="I113" s="1049"/>
    </row>
    <row r="114" ht="3.75" customHeight="1" spans="1:9">
      <c r="A114" s="2501"/>
      <c r="B114" s="2501"/>
      <c r="C114" s="2501"/>
      <c r="D114" s="2501"/>
      <c r="E114" s="2652"/>
      <c r="F114" s="2652"/>
      <c r="G114" s="2652"/>
      <c r="H114" s="2652"/>
      <c r="I114" s="2501"/>
    </row>
    <row r="115" ht="18.75" customHeight="1" spans="1:9">
      <c r="A115" s="2801" t="s">
        <v>989</v>
      </c>
      <c r="B115" s="2802"/>
      <c r="C115" s="2802"/>
      <c r="D115" s="2802"/>
      <c r="E115" s="2802"/>
      <c r="F115" s="2802"/>
      <c r="G115" s="2802"/>
      <c r="H115" s="2802"/>
      <c r="I115" s="2824"/>
    </row>
    <row r="116" ht="27" customHeight="1" spans="1:9">
      <c r="A116" s="2514" t="s">
        <v>990</v>
      </c>
      <c r="B116" s="2803" t="s">
        <v>991</v>
      </c>
      <c r="C116" s="2803" t="s">
        <v>992</v>
      </c>
      <c r="D116" s="2804" t="s">
        <v>993</v>
      </c>
      <c r="E116" s="2805"/>
      <c r="F116" s="2806" t="s">
        <v>994</v>
      </c>
      <c r="G116" s="2806"/>
      <c r="H116" s="2514" t="s">
        <v>995</v>
      </c>
      <c r="I116" s="2514"/>
    </row>
    <row r="117" ht="18.75" customHeight="1" spans="1:9">
      <c r="A117" s="2514"/>
      <c r="B117" s="2807"/>
      <c r="C117" s="2807"/>
      <c r="D117" s="2514" t="s">
        <v>996</v>
      </c>
      <c r="E117" s="2514" t="s">
        <v>823</v>
      </c>
      <c r="F117" s="2514" t="s">
        <v>996</v>
      </c>
      <c r="G117" s="2514" t="s">
        <v>823</v>
      </c>
      <c r="H117" s="2514" t="s">
        <v>996</v>
      </c>
      <c r="I117" s="2514" t="s">
        <v>823</v>
      </c>
    </row>
    <row r="118" ht="24.75" customHeight="1" spans="1:9">
      <c r="A118" s="2808" t="str">
        <f>项目基本情况!S2</f>
        <v>房地产</v>
      </c>
      <c r="B118" s="2514">
        <f>M18</f>
        <v>54377.37</v>
      </c>
      <c r="C118" s="2514">
        <f>M19</f>
        <v>11805</v>
      </c>
      <c r="D118" s="2514">
        <f ca="1">ROUND(IF(D32="总价",C34,E118*B118/10000),0)</f>
        <v>1966</v>
      </c>
      <c r="E118" s="2514">
        <f ca="1">ROUND(IF(C33="自定义",IF(D32="楼面单价",C34,D118*10000/B118),I118-G118),0)</f>
        <v>361</v>
      </c>
      <c r="F118" s="2514">
        <f ca="1">ROUND(IF(D32="总价",C35,G118*B118/10000),0)</f>
        <v>7768</v>
      </c>
      <c r="G118" s="2514">
        <f ca="1">ROUND(IF(D32="楼面单价",C35,F118*10000/B118),0)</f>
        <v>1429</v>
      </c>
      <c r="H118" s="2514">
        <f ca="1">ROUND(IF(D32="总价",C32,I118*B118/10000),0)</f>
        <v>9734</v>
      </c>
      <c r="I118" s="2514">
        <f ca="1">ROUND(IF(D32="楼面单价",C32,H118*10000/B118),0)</f>
        <v>1790</v>
      </c>
    </row>
    <row r="119" ht="18.75" customHeight="1" spans="1:9">
      <c r="A119" s="2514" t="s">
        <v>997</v>
      </c>
      <c r="B119" s="2514"/>
      <c r="C119" s="2514"/>
      <c r="D119" s="2809" t="str">
        <f ca="1">NUMBERSTRING(INT(D118*10000),2)&amp;"元整"</f>
        <v>壹仟玖佰陆拾陆万元整</v>
      </c>
      <c r="E119" s="2810"/>
      <c r="F119" s="2809" t="str">
        <f ca="1">NUMBERSTRING(INT(F118*10000),2)&amp;"元整"</f>
        <v>柒仟柒佰陆拾捌万元整</v>
      </c>
      <c r="G119" s="2810"/>
      <c r="H119" s="2809" t="str">
        <f ca="1">NUMBERSTRING(INT(H118*10000),2)&amp;"元整"</f>
        <v>玖仟柒佰叁拾肆万元整</v>
      </c>
      <c r="I119" s="2810"/>
    </row>
    <row r="120" ht="18.75" customHeight="1" spans="1:19">
      <c r="A120" s="2811" t="str">
        <f>IF(项目基本情况!B9="房地产市场价值","",MID(E103,3,LEN(E103)-2))</f>
        <v>估价师知悉的法定优先受偿款</v>
      </c>
      <c r="B120" s="2812"/>
      <c r="C120" s="2813"/>
      <c r="D120" s="2811">
        <f>H103</f>
        <v>0</v>
      </c>
      <c r="E120" s="2812"/>
      <c r="F120" s="2812"/>
      <c r="G120" s="2812"/>
      <c r="H120" s="2812"/>
      <c r="I120" s="2813"/>
      <c r="J120" s="2498"/>
      <c r="K120" s="2498" t="str">
        <f>IF(D120=0,"故，本次评估不存在"&amp;A120,"故，本次评估"&amp;A120&amp;"为人民币"&amp;D120&amp;"万元整。")</f>
        <v>故，本次评估不存在估价师知悉的法定优先受偿款</v>
      </c>
      <c r="L120" s="2498"/>
      <c r="M120" s="2498"/>
      <c r="N120" s="2498"/>
      <c r="O120" s="2498"/>
      <c r="P120" s="2498"/>
      <c r="Q120" s="2498"/>
      <c r="R120" s="2498"/>
      <c r="S120" s="2498"/>
    </row>
    <row r="121" ht="18.75" customHeight="1" spans="1:27">
      <c r="A121" s="2809" t="s">
        <v>997</v>
      </c>
      <c r="B121" s="2814"/>
      <c r="C121" s="2810"/>
      <c r="D121" s="2809" t="str">
        <f>IF(D120=0,"零元整",NUMBERSTRING(INT(D120*10000),2)&amp;"元整")</f>
        <v>零元整</v>
      </c>
      <c r="E121" s="2814"/>
      <c r="F121" s="2814"/>
      <c r="G121" s="2814"/>
      <c r="H121" s="2814"/>
      <c r="I121" s="2810"/>
      <c r="AA121" s="1005"/>
    </row>
    <row r="122" ht="18.75" customHeight="1" spans="1:27">
      <c r="A122" s="2795" t="str">
        <f>IF(项目基本情况!B9="房地产市场价值","",MID(E107,3,LEN(E107)-2))</f>
        <v>房地产抵押价值</v>
      </c>
      <c r="B122" s="2795"/>
      <c r="C122" s="2795"/>
      <c r="D122" s="2811">
        <f ca="1">H107</f>
        <v>9734</v>
      </c>
      <c r="E122" s="2812"/>
      <c r="F122" s="2812"/>
      <c r="G122" s="2812"/>
      <c r="H122" s="2812"/>
      <c r="I122" s="2813"/>
      <c r="AA122" s="1005"/>
    </row>
    <row r="123" ht="18.75" customHeight="1" spans="1:27">
      <c r="A123" s="2514" t="s">
        <v>997</v>
      </c>
      <c r="B123" s="2514"/>
      <c r="C123" s="2514"/>
      <c r="D123" s="2809" t="str">
        <f ca="1">NUMBERSTRING(INT(D122*10000),2)&amp;"元整"</f>
        <v>玖仟柒佰叁拾肆万元整</v>
      </c>
      <c r="E123" s="2814"/>
      <c r="F123" s="2814"/>
      <c r="G123" s="2814"/>
      <c r="H123" s="2814"/>
      <c r="I123" s="2810"/>
      <c r="AA123" s="1005"/>
    </row>
    <row r="124" ht="18.75" customHeight="1" spans="1:27">
      <c r="A124" s="2795" t="str">
        <f>IF(项目基本情况!B9="房地产市场价值","",MID(E109,3,LEN(E109)-2))</f>
        <v/>
      </c>
      <c r="B124" s="2795"/>
      <c r="C124" s="2795"/>
      <c r="D124" s="2811" t="str">
        <f ca="1">H109</f>
        <v>——</v>
      </c>
      <c r="E124" s="2812"/>
      <c r="F124" s="2812"/>
      <c r="G124" s="2812"/>
      <c r="H124" s="2812"/>
      <c r="I124" s="2813"/>
      <c r="AA124" s="1005"/>
    </row>
    <row r="125" ht="18.75" customHeight="1" spans="1:27">
      <c r="A125" s="2514" t="s">
        <v>997</v>
      </c>
      <c r="B125" s="2514"/>
      <c r="C125" s="2514"/>
      <c r="D125" s="2809" t="e">
        <f ca="1">NUMBERSTRING(INT(D124*10000),2)&amp;"元整"</f>
        <v>#VALUE!</v>
      </c>
      <c r="E125" s="2814"/>
      <c r="F125" s="2814"/>
      <c r="G125" s="2814"/>
      <c r="H125" s="2814"/>
      <c r="I125" s="2810"/>
      <c r="AA125" s="1005"/>
    </row>
    <row r="126" ht="18.75" customHeight="1" spans="1:27">
      <c r="A126" s="2795" t="str">
        <f>IF(项目基本情况!B9="房地产市场价值","",MID(E111,3,LEN(E111)-2))</f>
        <v/>
      </c>
      <c r="B126" s="2795"/>
      <c r="C126" s="2795"/>
      <c r="D126" s="2811" t="str">
        <f ca="1">H111</f>
        <v>——</v>
      </c>
      <c r="E126" s="2812"/>
      <c r="F126" s="2812"/>
      <c r="G126" s="2812"/>
      <c r="H126" s="2812"/>
      <c r="I126" s="2813"/>
      <c r="AA126" s="1005"/>
    </row>
    <row r="127" ht="18.75" customHeight="1" spans="1:27">
      <c r="A127" s="2514" t="s">
        <v>997</v>
      </c>
      <c r="B127" s="2514"/>
      <c r="C127" s="2514"/>
      <c r="D127" s="2809" t="e">
        <f ca="1">NUMBERSTRING(INT(D126*10000),2)&amp;"元整"</f>
        <v>#VALUE!</v>
      </c>
      <c r="E127" s="2814"/>
      <c r="F127" s="2814"/>
      <c r="G127" s="2814"/>
      <c r="H127" s="2814"/>
      <c r="I127" s="2810"/>
      <c r="AA127" s="1005"/>
    </row>
    <row r="128" customHeight="1" spans="1:27">
      <c r="A128" s="2223" t="s">
        <v>113</v>
      </c>
      <c r="B128" s="2223"/>
      <c r="C128" s="2223"/>
      <c r="D128" s="2223"/>
      <c r="E128" s="2223"/>
      <c r="F128" s="2223"/>
      <c r="G128" s="2223"/>
      <c r="H128" s="2223"/>
      <c r="I128" s="2223"/>
      <c r="AA128" s="1005"/>
    </row>
    <row r="129" customHeight="1" spans="1:27">
      <c r="A129" s="2826" t="s">
        <v>998</v>
      </c>
      <c r="B129" s="2827"/>
      <c r="C129" s="2828" t="s">
        <v>999</v>
      </c>
      <c r="D129" s="2829"/>
      <c r="E129" s="2829"/>
      <c r="F129" s="2829"/>
      <c r="G129" s="2829"/>
      <c r="H129" s="2830"/>
      <c r="I129" s="2845"/>
      <c r="AA129" s="1005"/>
    </row>
    <row r="130" customHeight="1" spans="1:27">
      <c r="A130" s="2831">
        <v>1</v>
      </c>
      <c r="B130" s="2832"/>
      <c r="C130" s="2832"/>
      <c r="D130" s="2833"/>
      <c r="E130" s="2833"/>
      <c r="F130" s="2833"/>
      <c r="G130" s="2833"/>
      <c r="H130" s="2834"/>
      <c r="I130" s="2846"/>
      <c r="AA130" s="1005"/>
    </row>
    <row r="131" customHeight="1" spans="1:27">
      <c r="A131" s="2831">
        <v>2</v>
      </c>
      <c r="B131" s="2832"/>
      <c r="C131" s="2832"/>
      <c r="D131" s="2833"/>
      <c r="E131" s="2833"/>
      <c r="F131" s="2833"/>
      <c r="G131" s="2833"/>
      <c r="H131" s="2834"/>
      <c r="I131" s="2846"/>
      <c r="AA131" s="1005"/>
    </row>
    <row r="132" customHeight="1" spans="1:27">
      <c r="A132" s="2831">
        <v>3</v>
      </c>
      <c r="B132" s="2832"/>
      <c r="C132" s="2832"/>
      <c r="D132" s="2833"/>
      <c r="E132" s="2833"/>
      <c r="F132" s="2833"/>
      <c r="G132" s="2833"/>
      <c r="H132" s="2834"/>
      <c r="I132" s="2846"/>
      <c r="AA132" s="1005"/>
    </row>
    <row r="133" customHeight="1" spans="1:9">
      <c r="A133" s="2835"/>
      <c r="B133" s="2836"/>
      <c r="C133" s="2836"/>
      <c r="D133" s="2837"/>
      <c r="E133" s="2837"/>
      <c r="F133" s="2837"/>
      <c r="G133" s="2837"/>
      <c r="H133" s="2838"/>
      <c r="I133" s="2847"/>
    </row>
    <row r="134" customHeight="1" spans="1:9">
      <c r="A134" s="2832"/>
      <c r="B134" s="2832"/>
      <c r="C134" s="2832"/>
      <c r="D134" s="2833"/>
      <c r="E134" s="2833"/>
      <c r="F134" s="2833"/>
      <c r="G134" s="2833"/>
      <c r="H134" s="2834"/>
      <c r="I134" s="1005"/>
    </row>
    <row r="135" customHeight="1" spans="1:9">
      <c r="A135" s="1005"/>
      <c r="B135" s="1005"/>
      <c r="C135" s="1005"/>
      <c r="D135" s="1005"/>
      <c r="E135" s="1005"/>
      <c r="F135" s="2839" t="s">
        <v>1000</v>
      </c>
      <c r="G135" s="2840"/>
      <c r="H135" s="2840"/>
      <c r="I135" s="2848" t="s">
        <v>1001</v>
      </c>
    </row>
    <row r="136" customHeight="1" spans="1:9">
      <c r="A136" s="1005"/>
      <c r="B136" s="2841" t="s">
        <v>1002</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40"/>
      <c r="C138" s="2840"/>
      <c r="D138" s="2840"/>
      <c r="E138" s="2840"/>
      <c r="F138" s="2840"/>
      <c r="G138" s="2840"/>
      <c r="H138" s="2840"/>
      <c r="I138" s="2848" t="s">
        <v>1003</v>
      </c>
    </row>
    <row r="139" customHeight="1" spans="1:9">
      <c r="A139" s="1005"/>
      <c r="B139" s="2841" t="s">
        <v>1004</v>
      </c>
      <c r="C139" s="1005"/>
      <c r="D139" s="1005"/>
      <c r="E139" s="1005"/>
      <c r="F139" s="1005"/>
      <c r="G139" s="1005"/>
      <c r="H139" s="1005"/>
      <c r="I139" s="1005"/>
    </row>
    <row r="140" customHeight="1" spans="1:9">
      <c r="A140" s="1005"/>
      <c r="B140" s="2841"/>
      <c r="C140" s="1005"/>
      <c r="D140" s="1005"/>
      <c r="E140" s="1005"/>
      <c r="F140" s="1005"/>
      <c r="G140" s="1005"/>
      <c r="H140" s="1005"/>
      <c r="I140" s="1005"/>
    </row>
    <row r="141" customHeight="1" spans="1:9">
      <c r="A141" s="1005"/>
      <c r="B141" s="2840"/>
      <c r="C141" s="2840"/>
      <c r="D141" s="2840"/>
      <c r="E141" s="2840"/>
      <c r="F141" s="2840"/>
      <c r="G141" s="2840"/>
      <c r="H141" s="2840"/>
      <c r="I141" s="2848" t="s">
        <v>1003</v>
      </c>
    </row>
    <row r="142" customHeight="1" spans="1:9">
      <c r="A142" s="1005"/>
      <c r="B142" s="2841"/>
      <c r="C142" s="2842"/>
      <c r="D142" s="2843"/>
      <c r="E142" s="2843"/>
      <c r="F142" s="2844"/>
      <c r="G142" s="1005"/>
      <c r="H142" s="1005"/>
      <c r="I142" s="1005"/>
    </row>
    <row r="143" s="1002" customFormat="1" customHeight="1" spans="1:35">
      <c r="A143" s="1005"/>
      <c r="B143" s="2841"/>
      <c r="C143" s="2842"/>
      <c r="D143" s="2843"/>
      <c r="E143" s="2843"/>
      <c r="F143" s="2844"/>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98"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98"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98"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98"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98"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98"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98"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98"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98"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98"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98"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98"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98"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98"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98"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98"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98"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98"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98"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98"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98"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98"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98"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98"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98"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98"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98"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98"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98"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98"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98"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98"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98"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98"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98"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98"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98"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98"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98"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98"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98"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98"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98"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98"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98"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98"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98"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98"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98"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98"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98"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98"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98"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98"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98"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98"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98"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98"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98"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98"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98"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98"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98"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98"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98"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98"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98"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98"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98"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98"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98"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98"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98"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98"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98"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98"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98"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98"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98"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98"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98"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98"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98"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98"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98"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98"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98"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98"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98"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98"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98"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98"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98"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98"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98"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98"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98"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98"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98"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98"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98"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98"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98"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98"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BI131"/>
  <sheetViews>
    <sheetView view="pageBreakPreview" zoomScale="60" zoomScaleNormal="70" topLeftCell="A16" workbookViewId="0">
      <selection activeCell="K36" sqref="K36"/>
    </sheetView>
  </sheetViews>
  <sheetFormatPr defaultColWidth="9" defaultRowHeight="14"/>
  <cols>
    <col min="1" max="1" width="10.5" style="1133" customWidth="1"/>
    <col min="2" max="2" width="15.7545454545455" style="1133" customWidth="1"/>
    <col min="3" max="3" width="15.1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32" width="11.1818181818182" style="1133"/>
    <col min="33" max="35" width="12.3636363636364" style="1133"/>
    <col min="36" max="44" width="11.1818181818182" style="1133"/>
    <col min="45" max="47" width="12.3636363636364" style="1133"/>
    <col min="48" max="56" width="11.1818181818182" style="1133"/>
    <col min="57" max="59" width="12.3636363636364" style="1133"/>
    <col min="60" max="61" width="11.1818181818182" style="1133"/>
    <col min="62" max="16384" width="9" style="1133"/>
  </cols>
  <sheetData>
    <row r="1" s="1547" customFormat="1" ht="28.5" customHeight="1" spans="1:29">
      <c r="A1" s="1548" t="s">
        <v>1005</v>
      </c>
      <c r="B1" s="1768" t="s">
        <v>1006</v>
      </c>
      <c r="C1" s="1608" t="s">
        <v>1007</v>
      </c>
      <c r="D1" s="1551" t="s">
        <v>1008</v>
      </c>
      <c r="E1" s="1769" t="s">
        <v>1009</v>
      </c>
      <c r="F1" s="1553" t="s">
        <v>1010</v>
      </c>
      <c r="G1" s="1554" t="s">
        <v>1011</v>
      </c>
      <c r="H1" s="1555"/>
      <c r="I1" s="1555"/>
      <c r="J1" s="1555"/>
      <c r="K1" s="1606"/>
      <c r="L1" s="1607"/>
      <c r="M1" s="1608"/>
      <c r="N1" s="1608"/>
      <c r="O1" s="1608"/>
      <c r="P1" s="2476"/>
      <c r="Q1" s="2485"/>
      <c r="R1" s="2485"/>
      <c r="S1" s="2485"/>
      <c r="T1" s="2485"/>
      <c r="U1" s="2485"/>
      <c r="V1" s="2485"/>
      <c r="W1" s="2485"/>
      <c r="X1" s="2485"/>
      <c r="Y1" s="2485"/>
      <c r="Z1" s="2485"/>
      <c r="AA1" s="2485"/>
      <c r="AB1" s="2485"/>
      <c r="AC1" s="2486"/>
    </row>
    <row r="2" s="1126" customFormat="1" ht="28.5" customHeight="1" spans="1:29">
      <c r="A2" s="1556" t="s">
        <v>1012</v>
      </c>
      <c r="B2" s="1557">
        <f ca="1">IF(E1="项目模式",IF(C2="——",ROUND(C49*D3/10000,0),ROUND(C49*D3/10000,0)-D2),IF(E1="单套模式",IF(C2="——",ROUND(C49*D3/10000,4),ROUND(C49*D3/10000,4)-D2)))</f>
        <v>0</v>
      </c>
      <c r="C2" s="1558" t="s">
        <v>124</v>
      </c>
      <c r="D2" s="1729" t="e">
        <f ca="1">IF(E1="项目模式",SUMIF(INDIRECT("'"&amp;F2&amp;"'"&amp;"!A:A"),"承租人权益价值",INDIRECT("'"&amp;F2&amp;"'"&amp;"!c:c")),SUMIF(INDIRECT("'"&amp;F2&amp;"'"&amp;"!A:A"),"承租人权益价值（单套）",INDIRECT("'"&amp;F2&amp;"'"&amp;"!c:c")))</f>
        <v>#REF!</v>
      </c>
      <c r="E2" s="1559" t="s">
        <v>1013</v>
      </c>
      <c r="F2" s="1560"/>
      <c r="G2" s="1142"/>
      <c r="H2" s="1142"/>
      <c r="I2" s="1142"/>
      <c r="J2" s="1142"/>
      <c r="K2" s="1142"/>
      <c r="L2" s="1303"/>
      <c r="M2" s="1304"/>
      <c r="N2" s="1304"/>
      <c r="O2" s="1304"/>
      <c r="P2" s="2477"/>
      <c r="Q2" s="1690"/>
      <c r="R2" s="1690"/>
      <c r="S2" s="1690"/>
      <c r="T2" s="1690"/>
      <c r="U2" s="1690"/>
      <c r="V2" s="1690"/>
      <c r="W2" s="1690"/>
      <c r="X2" s="1690"/>
      <c r="Y2" s="1690"/>
      <c r="Z2" s="1690"/>
      <c r="AA2" s="1690"/>
      <c r="AB2" s="1690"/>
      <c r="AC2" s="2487"/>
    </row>
    <row r="3" s="1126" customFormat="1" ht="28.5" customHeight="1" spans="1:29">
      <c r="A3" s="409" t="s">
        <v>1014</v>
      </c>
      <c r="B3" s="1144">
        <f ca="1">IF(C2="——",C49,ROUND(B2*10000/D3,0))</f>
        <v>31990</v>
      </c>
      <c r="C3" s="1561" t="s">
        <v>1015</v>
      </c>
      <c r="D3" s="1562">
        <f>IF(D1="",'数据-汇总表'!E3,SUMIF('数据-汇总表'!$C19:$C33,D1,'数据-汇总表'!$E19:$E33))</f>
        <v>0</v>
      </c>
      <c r="E3" s="1730"/>
      <c r="F3" s="1143"/>
      <c r="G3" s="1142"/>
      <c r="H3" s="1142"/>
      <c r="I3" s="1142"/>
      <c r="J3" s="1142"/>
      <c r="K3" s="1302"/>
      <c r="L3" s="1303"/>
      <c r="M3" s="1304"/>
      <c r="N3" s="1304"/>
      <c r="O3" s="1304"/>
      <c r="P3" s="2477"/>
      <c r="Q3" s="1690"/>
      <c r="R3" s="1690"/>
      <c r="S3" s="1690"/>
      <c r="T3" s="1690"/>
      <c r="U3" s="1690"/>
      <c r="V3" s="1690"/>
      <c r="W3" s="1690"/>
      <c r="X3" s="1690"/>
      <c r="Y3" s="1690"/>
      <c r="Z3" s="1690"/>
      <c r="AA3" s="1690"/>
      <c r="AB3" s="1690"/>
      <c r="AC3" s="1730"/>
    </row>
    <row r="4" spans="1:29">
      <c r="A4" s="1146" t="s">
        <v>1016</v>
      </c>
      <c r="B4" s="1147"/>
      <c r="C4" s="1148" t="s">
        <v>1017</v>
      </c>
      <c r="D4" s="1149"/>
      <c r="E4" s="1150" t="s">
        <v>1018</v>
      </c>
      <c r="F4" s="1151"/>
      <c r="G4" s="1148" t="s">
        <v>1019</v>
      </c>
      <c r="H4" s="1149"/>
      <c r="I4" s="1148" t="s">
        <v>1020</v>
      </c>
      <c r="J4" s="1149"/>
      <c r="K4" s="1305" t="s">
        <v>1021</v>
      </c>
      <c r="L4" s="1306"/>
      <c r="M4" s="1307"/>
      <c r="N4" s="1307"/>
      <c r="O4" s="1307"/>
      <c r="P4" s="1308" t="s">
        <v>1022</v>
      </c>
      <c r="Q4" s="1356"/>
      <c r="R4" s="1357" t="s">
        <v>1018</v>
      </c>
      <c r="S4" s="1358"/>
      <c r="T4" s="1357" t="s">
        <v>1019</v>
      </c>
      <c r="U4" s="1358"/>
      <c r="V4" s="1346" t="s">
        <v>1020</v>
      </c>
      <c r="W4" s="1346"/>
      <c r="X4" s="1359"/>
      <c r="Y4" s="1357" t="s">
        <v>1022</v>
      </c>
      <c r="Z4" s="1358"/>
      <c r="AA4" s="1384" t="s">
        <v>1018</v>
      </c>
      <c r="AB4" s="1346" t="s">
        <v>1019</v>
      </c>
      <c r="AC4" s="1384" t="s">
        <v>1020</v>
      </c>
    </row>
    <row r="5" spans="1:29">
      <c r="A5" s="1152"/>
      <c r="B5" s="1153"/>
      <c r="C5" s="1154" t="s">
        <v>1023</v>
      </c>
      <c r="D5" s="1155"/>
      <c r="E5" s="1156" t="s">
        <v>1024</v>
      </c>
      <c r="F5" s="1157"/>
      <c r="G5" s="1154" t="s">
        <v>1025</v>
      </c>
      <c r="H5" s="1155"/>
      <c r="I5" s="1154" t="s">
        <v>1026</v>
      </c>
      <c r="J5" s="1155"/>
      <c r="K5" s="1305"/>
      <c r="L5" s="1306"/>
      <c r="M5" s="1307"/>
      <c r="N5" s="1307"/>
      <c r="O5" s="1307"/>
      <c r="P5" s="1309"/>
      <c r="Q5" s="1360"/>
      <c r="R5" s="1361"/>
      <c r="S5" s="1362"/>
      <c r="T5" s="1361"/>
      <c r="U5" s="1362"/>
      <c r="V5" s="1346"/>
      <c r="W5" s="1346"/>
      <c r="X5" s="1359"/>
      <c r="Y5" s="1361"/>
      <c r="Z5" s="1362"/>
      <c r="AA5" s="1359"/>
      <c r="AB5" s="1346"/>
      <c r="AC5" s="1359"/>
    </row>
    <row r="6" ht="14.75" spans="1:29">
      <c r="A6" s="1158"/>
      <c r="B6" s="1159"/>
      <c r="C6" s="1507" t="s">
        <v>1027</v>
      </c>
      <c r="D6" s="1508"/>
      <c r="E6" s="1509" t="s">
        <v>1027</v>
      </c>
      <c r="F6" s="1510"/>
      <c r="G6" s="1507" t="s">
        <v>1027</v>
      </c>
      <c r="H6" s="1508"/>
      <c r="I6" s="1507" t="s">
        <v>1027</v>
      </c>
      <c r="J6" s="1508"/>
      <c r="K6" s="1305" t="s">
        <v>1028</v>
      </c>
      <c r="L6" s="1306"/>
      <c r="M6" s="1307"/>
      <c r="N6" s="1307"/>
      <c r="O6" s="1307"/>
      <c r="P6" s="1310"/>
      <c r="Q6" s="1363"/>
      <c r="R6" s="1361"/>
      <c r="S6" s="1362"/>
      <c r="T6" s="1364"/>
      <c r="U6" s="1365"/>
      <c r="V6" s="1346"/>
      <c r="W6" s="1346"/>
      <c r="X6" s="1359"/>
      <c r="Y6" s="1364"/>
      <c r="Z6" s="1365"/>
      <c r="AA6" s="1385"/>
      <c r="AB6" s="1346"/>
      <c r="AC6" s="1385"/>
    </row>
    <row r="7" s="1127" customFormat="1" ht="14.75" spans="1:29">
      <c r="A7" s="1164" t="s">
        <v>1029</v>
      </c>
      <c r="B7" s="1165"/>
      <c r="C7" s="1166">
        <f>'数据-取费表'!B2</f>
        <v>45861</v>
      </c>
      <c r="D7" s="1167">
        <v>100</v>
      </c>
      <c r="E7" s="1168">
        <v>44652</v>
      </c>
      <c r="F7" s="1169">
        <f>SUMIF(58:58,YEAR(E7)&amp;"-"&amp;MONTH(E7),59:59)</f>
        <v>103</v>
      </c>
      <c r="G7" s="1168">
        <v>44774</v>
      </c>
      <c r="H7" s="1167">
        <f>SUMIF(58:58,YEAR(G7)&amp;"-"&amp;MONTH(G7),59:59)</f>
        <v>103</v>
      </c>
      <c r="I7" s="1168">
        <v>44287</v>
      </c>
      <c r="J7" s="1167">
        <f>SUMIF(58:58,YEAR(I7)&amp;"-"&amp;MONTH(I7),59:59)</f>
        <v>104</v>
      </c>
      <c r="K7" s="1311"/>
      <c r="L7" s="1312"/>
      <c r="M7" s="1313"/>
      <c r="N7" s="1313"/>
      <c r="O7" s="1313"/>
      <c r="P7" s="1314" t="s">
        <v>1030</v>
      </c>
      <c r="Q7" s="1366"/>
      <c r="R7" s="1367" t="s">
        <v>1031</v>
      </c>
      <c r="S7" s="1368">
        <f t="shared" ref="S7:S15" si="0">F7</f>
        <v>103</v>
      </c>
      <c r="T7" s="1367" t="s">
        <v>1031</v>
      </c>
      <c r="U7" s="1368">
        <f t="shared" ref="U7:U15" si="1">H7</f>
        <v>103</v>
      </c>
      <c r="V7" s="1367" t="s">
        <v>1031</v>
      </c>
      <c r="W7" s="1368">
        <f t="shared" ref="W7:W15" si="2">J7</f>
        <v>104</v>
      </c>
      <c r="X7" s="1369"/>
      <c r="Y7" s="1314" t="s">
        <v>1030</v>
      </c>
      <c r="Z7" s="1370"/>
      <c r="AA7" s="1386">
        <f>D7/F7</f>
        <v>0.970873786407767</v>
      </c>
      <c r="AB7" s="1386">
        <f>D7/H7</f>
        <v>0.970873786407767</v>
      </c>
      <c r="AC7" s="1386">
        <f>D7/J7</f>
        <v>0.961538461538462</v>
      </c>
    </row>
    <row r="8" s="1127" customFormat="1" ht="14.75" spans="1:29">
      <c r="A8" s="1164" t="s">
        <v>1032</v>
      </c>
      <c r="B8" s="1165"/>
      <c r="C8" s="1171" t="s">
        <v>1033</v>
      </c>
      <c r="D8" s="1167">
        <v>100</v>
      </c>
      <c r="E8" s="1171" t="s">
        <v>1033</v>
      </c>
      <c r="F8" s="1169">
        <f>SUMIF(61:61,E8,62:62)-SUMIF(61:61,C8,62:62)+100</f>
        <v>100</v>
      </c>
      <c r="G8" s="1171" t="s">
        <v>1033</v>
      </c>
      <c r="H8" s="1167">
        <f>SUMIF(61:61,G8,62:62)-SUMIF(61:61,C8,62:62)+100</f>
        <v>100</v>
      </c>
      <c r="I8" s="1171" t="s">
        <v>1033</v>
      </c>
      <c r="J8" s="1167">
        <f>SUMIF(61:61,I8,62:62)-SUMIF(61:61,C8,62:62)+100</f>
        <v>100</v>
      </c>
      <c r="K8" s="1311"/>
      <c r="L8" s="1312"/>
      <c r="M8" s="1313"/>
      <c r="N8" s="1313"/>
      <c r="O8" s="1313"/>
      <c r="P8" s="1314" t="s">
        <v>1034</v>
      </c>
      <c r="Q8" s="1370"/>
      <c r="R8" s="1367" t="s">
        <v>1031</v>
      </c>
      <c r="S8" s="1368">
        <f t="shared" si="0"/>
        <v>100</v>
      </c>
      <c r="T8" s="1367" t="s">
        <v>1031</v>
      </c>
      <c r="U8" s="1368">
        <f t="shared" si="1"/>
        <v>100</v>
      </c>
      <c r="V8" s="1367" t="s">
        <v>1031</v>
      </c>
      <c r="W8" s="1368">
        <f t="shared" si="2"/>
        <v>100</v>
      </c>
      <c r="X8" s="1369"/>
      <c r="Y8" s="1314" t="s">
        <v>1034</v>
      </c>
      <c r="Z8" s="1370"/>
      <c r="AA8" s="1386">
        <f t="shared" ref="AA8:AA46" si="3">D8/F8</f>
        <v>1</v>
      </c>
      <c r="AB8" s="1386">
        <f t="shared" ref="AB8:AB46" si="4">D8/H8</f>
        <v>1</v>
      </c>
      <c r="AC8" s="1386">
        <f t="shared" ref="AC8:AC46" si="5">D8/J8</f>
        <v>1</v>
      </c>
    </row>
    <row r="9" s="1127" customFormat="1" spans="1:29">
      <c r="A9" s="1172" t="s">
        <v>1035</v>
      </c>
      <c r="B9" s="1173" t="s">
        <v>1036</v>
      </c>
      <c r="C9" s="2473" t="s">
        <v>1008</v>
      </c>
      <c r="D9" s="1175">
        <v>100</v>
      </c>
      <c r="E9" s="1633" t="s">
        <v>1008</v>
      </c>
      <c r="F9" s="1565">
        <f>SUMIF(63:63,E9,64:64)-SUMIF(63:63,C9,64:64)+100</f>
        <v>100</v>
      </c>
      <c r="G9" s="1633" t="s">
        <v>1008</v>
      </c>
      <c r="H9" s="1175">
        <f>SUMIF(63:63,G9,64:64)-SUMIF(63:63,C9,64:64)+100</f>
        <v>100</v>
      </c>
      <c r="I9" s="1633" t="s">
        <v>1008</v>
      </c>
      <c r="J9" s="1175">
        <f>SUMIF(63:63,I9,64:64)-SUMIF(63:63,C9,64:64)+100</f>
        <v>100</v>
      </c>
      <c r="K9" s="1311"/>
      <c r="L9" s="1312"/>
      <c r="M9" s="1313"/>
      <c r="N9" s="1313"/>
      <c r="O9" s="1313"/>
      <c r="P9" s="1274" t="s">
        <v>1037</v>
      </c>
      <c r="Q9" s="1371" t="str">
        <f t="shared" ref="Q9:Q15" si="6">B9</f>
        <v>用途</v>
      </c>
      <c r="R9" s="1367" t="s">
        <v>1031</v>
      </c>
      <c r="S9" s="1368">
        <f t="shared" si="0"/>
        <v>100</v>
      </c>
      <c r="T9" s="1367" t="s">
        <v>1031</v>
      </c>
      <c r="U9" s="1368">
        <f t="shared" si="1"/>
        <v>100</v>
      </c>
      <c r="V9" s="1367" t="s">
        <v>1031</v>
      </c>
      <c r="W9" s="1368">
        <f t="shared" si="2"/>
        <v>100</v>
      </c>
      <c r="X9" s="1369"/>
      <c r="Y9" s="1371" t="s">
        <v>1038</v>
      </c>
      <c r="Z9" s="1387" t="str">
        <f t="shared" ref="Z9:Z15" si="7">Q9</f>
        <v>用途</v>
      </c>
      <c r="AA9" s="1386">
        <f t="shared" si="3"/>
        <v>1</v>
      </c>
      <c r="AB9" s="1386">
        <f t="shared" si="4"/>
        <v>1</v>
      </c>
      <c r="AC9" s="1386">
        <f t="shared" si="5"/>
        <v>1</v>
      </c>
    </row>
    <row r="10" s="1128" customFormat="1" ht="28" spans="1:29">
      <c r="A10" s="1176"/>
      <c r="B10" s="1177" t="s">
        <v>1039</v>
      </c>
      <c r="C10" s="1566" t="s">
        <v>1040</v>
      </c>
      <c r="D10" s="1179">
        <v>100</v>
      </c>
      <c r="E10" s="1636" t="s">
        <v>1041</v>
      </c>
      <c r="F10" s="1567">
        <f>SUMIF(65:65,E10,66:66)-SUMIF(65:65,C10,66:66)+100</f>
        <v>105</v>
      </c>
      <c r="G10" s="1566" t="s">
        <v>1041</v>
      </c>
      <c r="H10" s="1179">
        <f>SUMIF(65:65,G10,66:66)-SUMIF(65:65,C10,66:66)+100</f>
        <v>105</v>
      </c>
      <c r="I10" s="1566" t="s">
        <v>1041</v>
      </c>
      <c r="J10" s="1179">
        <f>SUMIF(65:65,I10,66:66)-SUMIF(65:65,C10,66:66)+100</f>
        <v>105</v>
      </c>
      <c r="K10" s="1311"/>
      <c r="L10" s="1317"/>
      <c r="M10" s="1318"/>
      <c r="N10" s="1318"/>
      <c r="O10" s="1318"/>
      <c r="P10" s="1274"/>
      <c r="Q10" s="1371" t="str">
        <f t="shared" si="6"/>
        <v>土地使用年限（年）</v>
      </c>
      <c r="R10" s="1367" t="s">
        <v>1031</v>
      </c>
      <c r="S10" s="1368">
        <f t="shared" si="0"/>
        <v>105</v>
      </c>
      <c r="T10" s="1367" t="s">
        <v>1031</v>
      </c>
      <c r="U10" s="1368">
        <f t="shared" si="1"/>
        <v>105</v>
      </c>
      <c r="V10" s="1367" t="s">
        <v>1031</v>
      </c>
      <c r="W10" s="1368">
        <f t="shared" si="2"/>
        <v>105</v>
      </c>
      <c r="X10" s="1369"/>
      <c r="Y10" s="1371"/>
      <c r="Z10" s="1387" t="str">
        <f t="shared" si="7"/>
        <v>土地使用年限（年）</v>
      </c>
      <c r="AA10" s="1386">
        <f t="shared" si="3"/>
        <v>0.952380952380952</v>
      </c>
      <c r="AB10" s="1386">
        <f t="shared" si="4"/>
        <v>0.952380952380952</v>
      </c>
      <c r="AC10" s="1386">
        <f t="shared" si="5"/>
        <v>0.952380952380952</v>
      </c>
    </row>
    <row r="11" ht="15.5" spans="1:29">
      <c r="A11" s="1180"/>
      <c r="B11" s="1177" t="s">
        <v>1042</v>
      </c>
      <c r="C11" s="1182"/>
      <c r="D11" s="1179">
        <v>100</v>
      </c>
      <c r="E11" s="1183"/>
      <c r="F11" s="1567">
        <f>LOOKUP(E11,68:68,69:69)-LOOKUP(C11,68:68,69:69)+100</f>
        <v>100</v>
      </c>
      <c r="G11" s="1182"/>
      <c r="H11" s="1179">
        <f>LOOKUP(G11,68:68,69:69)-LOOKUP(C11,68:68,69:69)+100</f>
        <v>100</v>
      </c>
      <c r="I11" s="1182"/>
      <c r="J11" s="1179">
        <f>LOOKUP(I11,68:68,69:69)-LOOKUP(C11,68:68,69:69)+100</f>
        <v>100</v>
      </c>
      <c r="K11" s="1330"/>
      <c r="L11" s="1321"/>
      <c r="M11" s="1307"/>
      <c r="N11" s="1307"/>
      <c r="O11" s="1307"/>
      <c r="P11" s="1274"/>
      <c r="Q11" s="1371" t="str">
        <f t="shared" si="6"/>
        <v>容积率</v>
      </c>
      <c r="R11" s="1367" t="s">
        <v>1031</v>
      </c>
      <c r="S11" s="1368">
        <f t="shared" si="0"/>
        <v>100</v>
      </c>
      <c r="T11" s="1367" t="s">
        <v>1031</v>
      </c>
      <c r="U11" s="1368">
        <f t="shared" si="1"/>
        <v>100</v>
      </c>
      <c r="V11" s="1367" t="s">
        <v>1031</v>
      </c>
      <c r="W11" s="1368">
        <f t="shared" si="2"/>
        <v>100</v>
      </c>
      <c r="X11" s="1369"/>
      <c r="Y11" s="1371"/>
      <c r="Z11" s="1387" t="str">
        <f t="shared" si="7"/>
        <v>容积率</v>
      </c>
      <c r="AA11" s="1386">
        <f t="shared" si="3"/>
        <v>1</v>
      </c>
      <c r="AB11" s="1386">
        <f t="shared" si="4"/>
        <v>1</v>
      </c>
      <c r="AC11" s="1386">
        <f t="shared" si="5"/>
        <v>1</v>
      </c>
    </row>
    <row r="12" s="1127" customFormat="1" ht="15.5" spans="1:29">
      <c r="A12" s="1184"/>
      <c r="B12" s="1185">
        <v>111</v>
      </c>
      <c r="C12" s="1178"/>
      <c r="D12" s="1186">
        <v>100</v>
      </c>
      <c r="E12" s="1189"/>
      <c r="F12" s="1567">
        <f>SUMIF(70:70,E12,71:71)-SUMIF(70:70,C12,71:71)+100</f>
        <v>100</v>
      </c>
      <c r="G12" s="1189"/>
      <c r="H12" s="1179">
        <f>SUMIF(70:70,G12,71:71)-SUMIF(70:70,C12,71:71)+100</f>
        <v>100</v>
      </c>
      <c r="I12" s="1189"/>
      <c r="J12" s="1179">
        <f>SUMIF(70:70,I12,71:71)-SUMIF(70:70,C12,71:71)+100</f>
        <v>100</v>
      </c>
      <c r="K12" s="1329"/>
      <c r="L12" s="1312"/>
      <c r="M12" s="1313"/>
      <c r="N12" s="1313"/>
      <c r="O12" s="1313"/>
      <c r="P12" s="1274"/>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329"/>
      <c r="L13" s="1323"/>
      <c r="M13" s="1307"/>
      <c r="N13" s="1307"/>
      <c r="O13" s="1307"/>
      <c r="P13" s="1274"/>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9"/>
      <c r="F14" s="1587">
        <f>SUMIF(74:74,E14,75:75)-SUMIF(74:74,C14,75:75)+100</f>
        <v>100</v>
      </c>
      <c r="G14" s="1189"/>
      <c r="H14" s="1194">
        <f>SUMIF(74:74,G14,75:75)-SUMIF(74:74,C14,75:75)+100</f>
        <v>100</v>
      </c>
      <c r="I14" s="1189"/>
      <c r="J14" s="1194">
        <f>SUMIF(74:74,I14,75:75)-SUMIF(74:74,C14,75:75)+100</f>
        <v>100</v>
      </c>
      <c r="K14" s="1329"/>
      <c r="L14" s="1323"/>
      <c r="M14" s="1307"/>
      <c r="N14" s="1307"/>
      <c r="O14" s="1307"/>
      <c r="P14" s="1274"/>
      <c r="Q14" s="1371">
        <f t="shared" si="6"/>
        <v>111</v>
      </c>
      <c r="R14" s="1367" t="s">
        <v>1031</v>
      </c>
      <c r="S14" s="1368">
        <f t="shared" si="0"/>
        <v>100</v>
      </c>
      <c r="T14" s="1367" t="s">
        <v>1031</v>
      </c>
      <c r="U14" s="1368">
        <f t="shared" si="1"/>
        <v>100</v>
      </c>
      <c r="V14" s="1367" t="s">
        <v>1031</v>
      </c>
      <c r="W14" s="1368">
        <f t="shared" si="2"/>
        <v>100</v>
      </c>
      <c r="X14" s="1369"/>
      <c r="Y14" s="1371"/>
      <c r="Z14" s="1387">
        <f t="shared" si="7"/>
        <v>111</v>
      </c>
      <c r="AA14" s="1386">
        <f t="shared" si="3"/>
        <v>1</v>
      </c>
      <c r="AB14" s="1386">
        <f t="shared" si="4"/>
        <v>1</v>
      </c>
      <c r="AC14" s="1386">
        <f t="shared" si="5"/>
        <v>1</v>
      </c>
    </row>
    <row r="15" ht="70" spans="1:29">
      <c r="A15" s="1195" t="s">
        <v>1043</v>
      </c>
      <c r="B15" s="1514" t="s">
        <v>1044</v>
      </c>
      <c r="C15" s="1515" t="str">
        <f>估价对象房地状况!C4</f>
        <v>估价对象位于XX商圈，周边商业氛围成熟，人流量大，商业繁华度好</v>
      </c>
      <c r="D15" s="1198">
        <v>100</v>
      </c>
      <c r="E15" s="1199"/>
      <c r="F15" s="1570">
        <f>SUMIF(76:76,E16,77:77)-SUMIF(76:76,C16,77:77)+100</f>
        <v>110</v>
      </c>
      <c r="G15" s="1324"/>
      <c r="H15" s="1198">
        <f>SUMIF(76:76,G16,77:77)-SUMIF(76:76,C16,77:77)+100</f>
        <v>110</v>
      </c>
      <c r="I15" s="1199"/>
      <c r="J15" s="1198">
        <f>SUMIF(76:76,I16,77:77)-SUMIF(76:76,C16,77:77)+100</f>
        <v>110</v>
      </c>
      <c r="K15" s="1609">
        <v>10</v>
      </c>
      <c r="L15" s="1323"/>
      <c r="M15" s="1307"/>
      <c r="N15" s="1307"/>
      <c r="O15" s="1307"/>
      <c r="P15" s="1744" t="s">
        <v>1045</v>
      </c>
      <c r="Q15" s="712" t="str">
        <f t="shared" si="6"/>
        <v>商业繁华度</v>
      </c>
      <c r="R15" s="1372" t="s">
        <v>1031</v>
      </c>
      <c r="S15" s="1373">
        <f t="shared" si="0"/>
        <v>110</v>
      </c>
      <c r="T15" s="1372" t="s">
        <v>1031</v>
      </c>
      <c r="U15" s="1373">
        <f t="shared" si="1"/>
        <v>110</v>
      </c>
      <c r="V15" s="1372" t="s">
        <v>1031</v>
      </c>
      <c r="W15" s="1373">
        <f t="shared" si="2"/>
        <v>110</v>
      </c>
      <c r="X15" s="1359"/>
      <c r="Y15" s="1325" t="s">
        <v>1045</v>
      </c>
      <c r="Z15" s="1346" t="str">
        <f t="shared" si="7"/>
        <v>商业繁华度</v>
      </c>
      <c r="AA15" s="1388">
        <f t="shared" si="3"/>
        <v>0.909090909090909</v>
      </c>
      <c r="AB15" s="1388">
        <f t="shared" si="4"/>
        <v>0.909090909090909</v>
      </c>
      <c r="AC15" s="1388">
        <f t="shared" si="5"/>
        <v>0.909090909090909</v>
      </c>
    </row>
    <row r="16" ht="15.5" spans="1:29">
      <c r="A16" s="1180"/>
      <c r="B16" s="1516"/>
      <c r="C16" s="1201" t="s">
        <v>1046</v>
      </c>
      <c r="D16" s="1202"/>
      <c r="E16" s="1201" t="s">
        <v>1047</v>
      </c>
      <c r="F16" s="1571"/>
      <c r="G16" s="1201" t="s">
        <v>1047</v>
      </c>
      <c r="H16" s="1203"/>
      <c r="I16" s="1201" t="s">
        <v>1047</v>
      </c>
      <c r="J16" s="1202"/>
      <c r="K16" s="1610"/>
      <c r="L16" s="1323"/>
      <c r="M16" s="1307"/>
      <c r="N16" s="1307"/>
      <c r="O16" s="1307"/>
      <c r="P16" s="1745"/>
      <c r="Q16" s="712"/>
      <c r="R16" s="1372"/>
      <c r="S16" s="1373"/>
      <c r="T16" s="1372"/>
      <c r="U16" s="1373"/>
      <c r="V16" s="1372"/>
      <c r="W16" s="1373"/>
      <c r="X16" s="1359"/>
      <c r="Y16" s="1326"/>
      <c r="Z16" s="1346"/>
      <c r="AA16" s="1388">
        <v>1</v>
      </c>
      <c r="AB16" s="1388">
        <v>1</v>
      </c>
      <c r="AC16" s="1388">
        <v>1</v>
      </c>
    </row>
    <row r="17" ht="84" spans="1:29">
      <c r="A17" s="1180"/>
      <c r="B17" s="1518" t="s">
        <v>1048</v>
      </c>
      <c r="C17" s="1205" t="str">
        <f>估价对象房地状况!C6</f>
        <v>估价对象周边道路状况、公共交通通达情况、停车便捷程度，综合评价交通便捷度较好</v>
      </c>
      <c r="D17" s="1203">
        <v>100</v>
      </c>
      <c r="E17" s="1206"/>
      <c r="F17" s="1573">
        <f>SUMIF(78:78,E18,79:79)-SUMIF(78:78,C18,79:79)+100</f>
        <v>100</v>
      </c>
      <c r="G17" s="1327"/>
      <c r="H17" s="1207">
        <f>SUMIF(78:78,G18,79:79)-SUMIF(78:78,C18,79:79)+100</f>
        <v>100</v>
      </c>
      <c r="I17" s="1206"/>
      <c r="J17" s="1207">
        <f>SUMIF(78:78,I18,79:79)-SUMIF(78:78,C18,79:79)+100</f>
        <v>100</v>
      </c>
      <c r="K17" s="1609">
        <v>5</v>
      </c>
      <c r="L17" s="1323"/>
      <c r="M17" s="1307"/>
      <c r="N17" s="1307"/>
      <c r="O17" s="1307"/>
      <c r="P17" s="1745"/>
      <c r="Q17" s="712" t="str">
        <f>B17</f>
        <v>交通便捷度</v>
      </c>
      <c r="R17" s="1372" t="s">
        <v>1031</v>
      </c>
      <c r="S17" s="1373">
        <f>F17</f>
        <v>100</v>
      </c>
      <c r="T17" s="1372" t="s">
        <v>1031</v>
      </c>
      <c r="U17" s="1373">
        <f>H17</f>
        <v>100</v>
      </c>
      <c r="V17" s="1372" t="s">
        <v>1031</v>
      </c>
      <c r="W17" s="1373">
        <f>J17</f>
        <v>100</v>
      </c>
      <c r="X17" s="1359"/>
      <c r="Y17" s="1326"/>
      <c r="Z17" s="1346" t="str">
        <f>Q17</f>
        <v>交通便捷度</v>
      </c>
      <c r="AA17" s="1388">
        <f t="shared" si="3"/>
        <v>1</v>
      </c>
      <c r="AB17" s="1388">
        <f t="shared" si="4"/>
        <v>1</v>
      </c>
      <c r="AC17" s="1388">
        <f t="shared" si="5"/>
        <v>1</v>
      </c>
    </row>
    <row r="18" ht="15.5" spans="1:29">
      <c r="A18" s="1180"/>
      <c r="B18" s="1227"/>
      <c r="C18" s="1201" t="s">
        <v>1047</v>
      </c>
      <c r="D18" s="1203"/>
      <c r="E18" s="1520" t="s">
        <v>1047</v>
      </c>
      <c r="F18" s="1573"/>
      <c r="G18" s="1530" t="s">
        <v>1047</v>
      </c>
      <c r="H18" s="1202"/>
      <c r="I18" s="1520" t="s">
        <v>1047</v>
      </c>
      <c r="J18" s="1202"/>
      <c r="K18" s="1610"/>
      <c r="L18" s="1323"/>
      <c r="M18" s="1307"/>
      <c r="N18" s="1307"/>
      <c r="O18" s="1307"/>
      <c r="P18" s="1745"/>
      <c r="Q18" s="712"/>
      <c r="R18" s="1372"/>
      <c r="S18" s="1373"/>
      <c r="T18" s="1372"/>
      <c r="U18" s="1373"/>
      <c r="V18" s="1372"/>
      <c r="W18" s="1373"/>
      <c r="X18" s="1359"/>
      <c r="Y18" s="1326"/>
      <c r="Z18" s="1346"/>
      <c r="AA18" s="1388">
        <v>1</v>
      </c>
      <c r="AB18" s="1388">
        <v>1</v>
      </c>
      <c r="AC18" s="1388">
        <v>1</v>
      </c>
    </row>
    <row r="19" ht="42" spans="1:29">
      <c r="A19" s="1180"/>
      <c r="B19" s="1518" t="s">
        <v>1049</v>
      </c>
      <c r="C19" s="1205" t="str">
        <f>估价对象房地状况!C7</f>
        <v>估价对象所在区域公共配套设施齐备情况</v>
      </c>
      <c r="D19" s="1207">
        <v>100</v>
      </c>
      <c r="E19" s="1521"/>
      <c r="F19" s="1572">
        <f>SUMIF(80:80,E20,81:81)-SUMIF(80:80,C20,81:81)+100</f>
        <v>100</v>
      </c>
      <c r="G19" s="1531"/>
      <c r="H19" s="1203">
        <f>SUMIF(80:80,G20,81:81)-SUMIF(80:80,C20,81:81)+100</f>
        <v>100</v>
      </c>
      <c r="I19" s="1521"/>
      <c r="J19" s="1203">
        <f>SUMIF(80:80,I20,81:81)-SUMIF(80:80,C20,81:81)+100</f>
        <v>100</v>
      </c>
      <c r="K19" s="1609">
        <v>5</v>
      </c>
      <c r="L19" s="1323"/>
      <c r="M19" s="1307"/>
      <c r="N19" s="1307"/>
      <c r="O19" s="1307"/>
      <c r="P19" s="1745"/>
      <c r="Q19" s="712" t="str">
        <f>B19</f>
        <v>公共配套设施</v>
      </c>
      <c r="R19" s="1372" t="s">
        <v>1031</v>
      </c>
      <c r="S19" s="1373">
        <f>F19</f>
        <v>100</v>
      </c>
      <c r="T19" s="1372" t="s">
        <v>1031</v>
      </c>
      <c r="U19" s="1373">
        <f>H19</f>
        <v>100</v>
      </c>
      <c r="V19" s="1372" t="s">
        <v>1031</v>
      </c>
      <c r="W19" s="1373">
        <f>J19</f>
        <v>100</v>
      </c>
      <c r="X19" s="1359"/>
      <c r="Y19" s="1326"/>
      <c r="Z19" s="1346" t="str">
        <f>Q19</f>
        <v>公共配套设施</v>
      </c>
      <c r="AA19" s="1388">
        <f t="shared" si="3"/>
        <v>1</v>
      </c>
      <c r="AB19" s="1388">
        <f t="shared" si="4"/>
        <v>1</v>
      </c>
      <c r="AC19" s="1388">
        <f t="shared" si="5"/>
        <v>1</v>
      </c>
    </row>
    <row r="20" ht="15.5" spans="1:29">
      <c r="A20" s="1180"/>
      <c r="B20" s="1227"/>
      <c r="C20" s="1201" t="s">
        <v>1047</v>
      </c>
      <c r="D20" s="1202"/>
      <c r="E20" s="1517" t="s">
        <v>1047</v>
      </c>
      <c r="F20" s="1571"/>
      <c r="G20" s="1523" t="s">
        <v>1047</v>
      </c>
      <c r="H20" s="1202"/>
      <c r="I20" s="1517" t="s">
        <v>1047</v>
      </c>
      <c r="J20" s="1202"/>
      <c r="K20" s="1610"/>
      <c r="L20" s="1323"/>
      <c r="M20" s="1307"/>
      <c r="N20" s="1307"/>
      <c r="O20" s="1307"/>
      <c r="P20" s="1745"/>
      <c r="Q20" s="712"/>
      <c r="R20" s="1372"/>
      <c r="S20" s="1373"/>
      <c r="T20" s="1372"/>
      <c r="U20" s="1373"/>
      <c r="V20" s="1372"/>
      <c r="W20" s="1373"/>
      <c r="X20" s="1359"/>
      <c r="Y20" s="1326"/>
      <c r="Z20" s="1346"/>
      <c r="AA20" s="1388">
        <v>1</v>
      </c>
      <c r="AB20" s="1388">
        <v>1</v>
      </c>
      <c r="AC20" s="1388">
        <v>1</v>
      </c>
    </row>
    <row r="21" ht="28" spans="1:29">
      <c r="A21" s="1180"/>
      <c r="B21" s="1522" t="s">
        <v>1050</v>
      </c>
      <c r="C21" s="1205" t="str">
        <f>估价对象房地状况!C8</f>
        <v>估价对象所在区域基础设施水平</v>
      </c>
      <c r="D21" s="1207">
        <v>100</v>
      </c>
      <c r="E21" s="1521"/>
      <c r="F21" s="1572">
        <f>SUMIF(82:82,E22,83:83)-SUMIF(82:82,C22,83:83)+100</f>
        <v>100</v>
      </c>
      <c r="G21" s="1531"/>
      <c r="H21" s="1203">
        <f>SUMIF(82:82,G22,83:83)-SUMIF(82:82,C22,83:83)+100</f>
        <v>100</v>
      </c>
      <c r="I21" s="1521"/>
      <c r="J21" s="1203">
        <f>SUMIF(82:82,I22,83:83)-SUMIF(82:82,C22,83:83)+100</f>
        <v>100</v>
      </c>
      <c r="K21" s="1609">
        <v>5</v>
      </c>
      <c r="L21" s="1323"/>
      <c r="M21" s="1307"/>
      <c r="N21" s="1307"/>
      <c r="O21" s="1307"/>
      <c r="P21" s="1745"/>
      <c r="Q21" s="712" t="str">
        <f>B21</f>
        <v>基础设施水平</v>
      </c>
      <c r="R21" s="1372" t="s">
        <v>1031</v>
      </c>
      <c r="S21" s="1373">
        <f>F21</f>
        <v>100</v>
      </c>
      <c r="T21" s="1372" t="s">
        <v>1031</v>
      </c>
      <c r="U21" s="1373">
        <f>H21</f>
        <v>100</v>
      </c>
      <c r="V21" s="1372" t="s">
        <v>1031</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201" t="s">
        <v>236</v>
      </c>
      <c r="D22" s="1202"/>
      <c r="E22" s="1201" t="s">
        <v>236</v>
      </c>
      <c r="F22" s="1571"/>
      <c r="G22" s="1201" t="s">
        <v>236</v>
      </c>
      <c r="H22" s="1202"/>
      <c r="I22" s="1201" t="s">
        <v>236</v>
      </c>
      <c r="J22" s="1202"/>
      <c r="K22" s="1611"/>
      <c r="L22" s="1323"/>
      <c r="M22" s="1307"/>
      <c r="N22" s="1307"/>
      <c r="O22" s="1307"/>
      <c r="P22" s="1745"/>
      <c r="Q22" s="712"/>
      <c r="R22" s="1372"/>
      <c r="S22" s="1373"/>
      <c r="T22" s="1372"/>
      <c r="U22" s="1373"/>
      <c r="V22" s="1372"/>
      <c r="W22" s="1373"/>
      <c r="X22" s="1359"/>
      <c r="Y22" s="1326"/>
      <c r="Z22" s="1346"/>
      <c r="AA22" s="1388">
        <v>1</v>
      </c>
      <c r="AB22" s="1388">
        <v>1</v>
      </c>
      <c r="AC22" s="1388">
        <v>1</v>
      </c>
    </row>
    <row r="23" ht="56" spans="1:29">
      <c r="A23" s="1180"/>
      <c r="B23" s="1518" t="s">
        <v>1051</v>
      </c>
      <c r="C23" s="709" t="str">
        <f>估价对象房地状况!C9</f>
        <v>区域自然环境：；人文环境；综合评价环境状况一般</v>
      </c>
      <c r="D23" s="1203">
        <v>100</v>
      </c>
      <c r="E23" s="1206"/>
      <c r="F23" s="1573">
        <f>SUMIF(84:84,E24,85:85)-SUMIF(84:84,C24,85:85)+100</f>
        <v>100</v>
      </c>
      <c r="G23" s="1327"/>
      <c r="H23" s="1203">
        <f>SUMIF(84:84,G24,85:85)-SUMIF(84:84,C24,85:85)+100</f>
        <v>100</v>
      </c>
      <c r="I23" s="1206"/>
      <c r="J23" s="1203">
        <f>SUMIF(84:84,I24,85:85)-SUMIF(84:84,C24,85:85)+100</f>
        <v>100</v>
      </c>
      <c r="K23" s="1609">
        <v>5</v>
      </c>
      <c r="L23" s="1323"/>
      <c r="M23" s="1307"/>
      <c r="N23" s="1307"/>
      <c r="O23" s="1307"/>
      <c r="P23" s="1745"/>
      <c r="Q23" s="712" t="str">
        <f>B23</f>
        <v>自然及人文环境</v>
      </c>
      <c r="R23" s="1372" t="s">
        <v>1031</v>
      </c>
      <c r="S23" s="1373">
        <f>F23</f>
        <v>100</v>
      </c>
      <c r="T23" s="1372" t="s">
        <v>1031</v>
      </c>
      <c r="U23" s="1373">
        <f>H23</f>
        <v>100</v>
      </c>
      <c r="V23" s="1372" t="s">
        <v>1031</v>
      </c>
      <c r="W23" s="1373">
        <f>J23</f>
        <v>100</v>
      </c>
      <c r="X23" s="1359"/>
      <c r="Y23" s="1326"/>
      <c r="Z23" s="1346" t="str">
        <f>Q23</f>
        <v>自然及人文环境</v>
      </c>
      <c r="AA23" s="1388">
        <f t="shared" si="3"/>
        <v>1</v>
      </c>
      <c r="AB23" s="1388">
        <f t="shared" si="4"/>
        <v>1</v>
      </c>
      <c r="AC23" s="1388">
        <f t="shared" si="5"/>
        <v>1</v>
      </c>
    </row>
    <row r="24" ht="15.5" spans="1:29">
      <c r="A24" s="1180"/>
      <c r="B24" s="1227"/>
      <c r="C24" s="1201" t="s">
        <v>1047</v>
      </c>
      <c r="D24" s="1202"/>
      <c r="E24" s="1517" t="s">
        <v>1047</v>
      </c>
      <c r="F24" s="1571"/>
      <c r="G24" s="1523" t="s">
        <v>1047</v>
      </c>
      <c r="H24" s="1202"/>
      <c r="I24" s="1517" t="s">
        <v>1047</v>
      </c>
      <c r="J24" s="1202"/>
      <c r="K24" s="1610"/>
      <c r="L24" s="1323"/>
      <c r="M24" s="1307"/>
      <c r="N24" s="1307"/>
      <c r="O24" s="1307"/>
      <c r="P24" s="1745"/>
      <c r="Q24" s="712"/>
      <c r="R24" s="1372"/>
      <c r="S24" s="1373"/>
      <c r="T24" s="1372"/>
      <c r="U24" s="1373"/>
      <c r="V24" s="1372"/>
      <c r="W24" s="1373"/>
      <c r="X24" s="1359"/>
      <c r="Y24" s="1326"/>
      <c r="Z24" s="1346"/>
      <c r="AA24" s="1388">
        <v>1</v>
      </c>
      <c r="AB24" s="1388">
        <v>1</v>
      </c>
      <c r="AC24" s="1388">
        <v>1</v>
      </c>
    </row>
    <row r="25" ht="15.5" spans="1:29">
      <c r="A25" s="1180"/>
      <c r="B25" s="1177" t="s">
        <v>1052</v>
      </c>
      <c r="C25" s="1212"/>
      <c r="D25" s="1190">
        <v>100</v>
      </c>
      <c r="E25" s="1212"/>
      <c r="F25" s="1574">
        <f>SUMIF(86:86,E25,87:87)-SUMIF(86:86,C25,87:87)+100</f>
        <v>100</v>
      </c>
      <c r="G25" s="1212"/>
      <c r="H25" s="1190">
        <f>SUMIF(86:86,G25,87:87)-SUMIF(86:86,C25,87:87)+100</f>
        <v>100</v>
      </c>
      <c r="I25" s="1212"/>
      <c r="J25" s="1190">
        <f>SUMIF(86:86,I25,87:87)-SUMIF(86:86,C25,87:87)+100</f>
        <v>100</v>
      </c>
      <c r="K25" s="1330"/>
      <c r="L25" s="1323"/>
      <c r="M25" s="1307"/>
      <c r="N25" s="1307"/>
      <c r="O25" s="1307"/>
      <c r="P25" s="1745"/>
      <c r="Q25" s="712" t="str">
        <f t="shared" ref="Q25:Q46" si="11">B25</f>
        <v>临街状况</v>
      </c>
      <c r="R25" s="1372" t="s">
        <v>1031</v>
      </c>
      <c r="S25" s="1373">
        <f>F25</f>
        <v>100</v>
      </c>
      <c r="T25" s="1372" t="s">
        <v>1031</v>
      </c>
      <c r="U25" s="1373">
        <f>H25</f>
        <v>100</v>
      </c>
      <c r="V25" s="1372" t="s">
        <v>1031</v>
      </c>
      <c r="W25" s="1373">
        <f>J25</f>
        <v>100</v>
      </c>
      <c r="X25" s="1359"/>
      <c r="Y25" s="1326"/>
      <c r="Z25" s="1346" t="str">
        <f>Q25</f>
        <v>临街状况</v>
      </c>
      <c r="AA25" s="1388">
        <f t="shared" si="3"/>
        <v>1</v>
      </c>
      <c r="AB25" s="1388">
        <f t="shared" si="4"/>
        <v>1</v>
      </c>
      <c r="AC25" s="1388">
        <f t="shared" si="5"/>
        <v>1</v>
      </c>
    </row>
    <row r="26" ht="15.5" spans="1:29">
      <c r="A26" s="1180"/>
      <c r="B26" s="1525" t="s">
        <v>1053</v>
      </c>
      <c r="C26" s="1189"/>
      <c r="D26" s="1190">
        <v>100</v>
      </c>
      <c r="E26" s="1189"/>
      <c r="F26" s="1574">
        <f>SUMIF(88:88,E26,89:89)-SUMIF(88:88,C26,89:89)+100</f>
        <v>100</v>
      </c>
      <c r="G26" s="1189"/>
      <c r="H26" s="1190">
        <f>SUMIF(88:88,G26,89:89)-SUMIF(88:88,C26,89:89)+100</f>
        <v>100</v>
      </c>
      <c r="I26" s="1189"/>
      <c r="J26" s="1190">
        <f>SUMIF(88:88,I26,89:89)-SUMIF(88:88,C26,89:89)+100</f>
        <v>100</v>
      </c>
      <c r="K26" s="1329"/>
      <c r="L26" s="1323"/>
      <c r="M26" s="1307"/>
      <c r="N26" s="1307"/>
      <c r="O26" s="1307"/>
      <c r="P26" s="1745"/>
      <c r="Q26" s="712" t="str">
        <f t="shared" si="11"/>
        <v>平面位置/可视性</v>
      </c>
      <c r="R26" s="1372" t="s">
        <v>1031</v>
      </c>
      <c r="S26" s="1373">
        <f>F26</f>
        <v>100</v>
      </c>
      <c r="T26" s="1372" t="s">
        <v>1031</v>
      </c>
      <c r="U26" s="1373">
        <f>H26</f>
        <v>100</v>
      </c>
      <c r="V26" s="1372" t="s">
        <v>1031</v>
      </c>
      <c r="W26" s="1373">
        <f>J26</f>
        <v>100</v>
      </c>
      <c r="X26" s="1359"/>
      <c r="Y26" s="1326"/>
      <c r="Z26" s="1346" t="str">
        <f>Q26</f>
        <v>平面位置/可视性</v>
      </c>
      <c r="AA26" s="1388">
        <f t="shared" si="3"/>
        <v>1</v>
      </c>
      <c r="AB26" s="1388">
        <f t="shared" si="4"/>
        <v>1</v>
      </c>
      <c r="AC26" s="1388">
        <f t="shared" si="5"/>
        <v>1</v>
      </c>
    </row>
    <row r="27" s="1127" customFormat="1" ht="15.5" spans="1:29">
      <c r="A27" s="1184"/>
      <c r="B27" s="1518" t="s">
        <v>1054</v>
      </c>
      <c r="C27" s="1737"/>
      <c r="D27" s="1687">
        <v>100</v>
      </c>
      <c r="E27" s="1737"/>
      <c r="F27" s="1688">
        <f>SUMIF(90:90,E27,91:91)-SUMIF(90:90,C27,91:91)+100</f>
        <v>100</v>
      </c>
      <c r="G27" s="1737"/>
      <c r="H27" s="1687">
        <f>SUMIF(90:90,G27,91:91)-SUMIF(90:90,C27,91:91)+100</f>
        <v>100</v>
      </c>
      <c r="I27" s="1737"/>
      <c r="J27" s="1687">
        <f>SUMIF(90:90,I27,91:91)-SUMIF(90:90,C27,91:91)+100</f>
        <v>100</v>
      </c>
      <c r="K27" s="1330"/>
      <c r="L27" s="1312"/>
      <c r="M27" s="1313"/>
      <c r="N27" s="1313"/>
      <c r="O27" s="1313"/>
      <c r="P27" s="1745"/>
      <c r="Q27" s="1371" t="str">
        <f t="shared" si="11"/>
        <v>人流量</v>
      </c>
      <c r="R27" s="1367" t="s">
        <v>1031</v>
      </c>
      <c r="S27" s="1368">
        <f>F27</f>
        <v>100</v>
      </c>
      <c r="T27" s="1367" t="s">
        <v>1031</v>
      </c>
      <c r="U27" s="1368">
        <f>H27</f>
        <v>100</v>
      </c>
      <c r="V27" s="1367" t="s">
        <v>1031</v>
      </c>
      <c r="W27" s="1368">
        <f>J27</f>
        <v>100</v>
      </c>
      <c r="X27" s="1369"/>
      <c r="Y27" s="1326"/>
      <c r="Z27" s="1387" t="str">
        <f>Q27</f>
        <v>人流量</v>
      </c>
      <c r="AA27" s="1388">
        <f t="shared" si="3"/>
        <v>1</v>
      </c>
      <c r="AB27" s="1388">
        <f t="shared" si="4"/>
        <v>1</v>
      </c>
      <c r="AC27" s="1388">
        <f t="shared" si="5"/>
        <v>1</v>
      </c>
    </row>
    <row r="28" ht="15.5" spans="1:29">
      <c r="A28" s="1180"/>
      <c r="B28" s="1177" t="s">
        <v>1055</v>
      </c>
      <c r="C28" s="1212"/>
      <c r="D28" s="1190">
        <v>100</v>
      </c>
      <c r="E28" s="1212"/>
      <c r="F28" s="1574">
        <f>SUMIF(92:92,E28,93:93)-SUMIF(92:92,C28,93:93)+100</f>
        <v>100</v>
      </c>
      <c r="G28" s="1212"/>
      <c r="H28" s="1190">
        <f>SUMIF(92:92,G28,93:93)-SUMIF(92:92,C28,93:93)+100</f>
        <v>100</v>
      </c>
      <c r="I28" s="1212"/>
      <c r="J28" s="1190">
        <f>SUMIF(92:92,I28,93:93)-SUMIF(92:92,C28,93:93)+100</f>
        <v>100</v>
      </c>
      <c r="K28" s="1329"/>
      <c r="L28" s="1323"/>
      <c r="M28" s="1307"/>
      <c r="N28" s="1307"/>
      <c r="O28" s="1307"/>
      <c r="P28" s="1745"/>
      <c r="Q28" s="712" t="str">
        <f t="shared" si="11"/>
        <v>楼层</v>
      </c>
      <c r="R28" s="1372" t="s">
        <v>1031</v>
      </c>
      <c r="S28" s="1373">
        <f t="shared" ref="S28:S46" si="12">F28</f>
        <v>100</v>
      </c>
      <c r="T28" s="1372" t="s">
        <v>1031</v>
      </c>
      <c r="U28" s="1373">
        <f t="shared" ref="U28:U46" si="13">H28</f>
        <v>100</v>
      </c>
      <c r="V28" s="1372" t="s">
        <v>1031</v>
      </c>
      <c r="W28" s="1373">
        <f t="shared" ref="W28:W46" si="14">J28</f>
        <v>100</v>
      </c>
      <c r="X28" s="1359"/>
      <c r="Y28" s="1326"/>
      <c r="Z28" s="1346" t="str">
        <f t="shared" ref="Z28:Z46" si="15">Q28</f>
        <v>楼层</v>
      </c>
      <c r="AA28" s="1388">
        <f t="shared" si="3"/>
        <v>1</v>
      </c>
      <c r="AB28" s="1388">
        <f t="shared" si="4"/>
        <v>1</v>
      </c>
      <c r="AC28" s="1388">
        <f t="shared" si="5"/>
        <v>1</v>
      </c>
    </row>
    <row r="29" ht="15.5" spans="1:29">
      <c r="A29" s="1180"/>
      <c r="B29" s="1525">
        <v>111</v>
      </c>
      <c r="C29" s="1189"/>
      <c r="D29" s="1190">
        <v>100</v>
      </c>
      <c r="E29" s="1189"/>
      <c r="F29" s="1574">
        <f>SUMIF(94:94,E29,95:95)-SUMIF(94:94,C29,95:95)+100</f>
        <v>100</v>
      </c>
      <c r="G29" s="1189"/>
      <c r="H29" s="1190">
        <f>SUMIF(94:94,G29,95:95)-SUMIF(94:94,C29,95:95)+100</f>
        <v>100</v>
      </c>
      <c r="I29" s="1189"/>
      <c r="J29" s="1190">
        <f>SUMIF(94:94,I29,95:95)-SUMIF(94:94,C29,95:95)+100</f>
        <v>100</v>
      </c>
      <c r="K29" s="1329"/>
      <c r="L29" s="1323"/>
      <c r="M29" s="1307"/>
      <c r="N29" s="1307"/>
      <c r="O29" s="1307"/>
      <c r="P29" s="1745"/>
      <c r="Q29" s="712">
        <f t="shared" si="11"/>
        <v>111</v>
      </c>
      <c r="R29" s="1372" t="s">
        <v>1031</v>
      </c>
      <c r="S29" s="1373">
        <f t="shared" si="12"/>
        <v>100</v>
      </c>
      <c r="T29" s="1372" t="s">
        <v>1031</v>
      </c>
      <c r="U29" s="1373">
        <f t="shared" si="13"/>
        <v>100</v>
      </c>
      <c r="V29" s="1372" t="s">
        <v>1031</v>
      </c>
      <c r="W29" s="1373">
        <f t="shared" si="14"/>
        <v>100</v>
      </c>
      <c r="X29" s="1359"/>
      <c r="Y29" s="1326"/>
      <c r="Z29" s="1346">
        <f t="shared" si="15"/>
        <v>111</v>
      </c>
      <c r="AA29" s="1388">
        <f t="shared" si="3"/>
        <v>1</v>
      </c>
      <c r="AB29" s="1388">
        <f t="shared" si="4"/>
        <v>1</v>
      </c>
      <c r="AC29" s="1388">
        <f t="shared" si="5"/>
        <v>1</v>
      </c>
    </row>
    <row r="30" ht="15.5" spans="1:29">
      <c r="A30" s="1180"/>
      <c r="B30" s="1525">
        <v>111</v>
      </c>
      <c r="C30" s="1189"/>
      <c r="D30" s="1190">
        <v>100</v>
      </c>
      <c r="E30" s="1189"/>
      <c r="F30" s="1574">
        <f>SUMIF(96:96,E30,97:97)-SUMIF(96:96,C30,97:97)+100</f>
        <v>100</v>
      </c>
      <c r="G30" s="1189"/>
      <c r="H30" s="1190">
        <f>SUMIF(96:96,G30,97:97)-SUMIF(96:96,C30,97:97)+100</f>
        <v>100</v>
      </c>
      <c r="I30" s="1189"/>
      <c r="J30" s="1190">
        <f>SUMIF(96:96,I30,97:97)-SUMIF(96:96,C30,97:97)+100</f>
        <v>100</v>
      </c>
      <c r="K30" s="1329"/>
      <c r="L30" s="1323"/>
      <c r="M30" s="1307"/>
      <c r="N30" s="1307"/>
      <c r="O30" s="1307"/>
      <c r="P30" s="1745"/>
      <c r="Q30" s="712">
        <f t="shared" si="11"/>
        <v>111</v>
      </c>
      <c r="R30" s="1372" t="s">
        <v>1031</v>
      </c>
      <c r="S30" s="1373">
        <f t="shared" si="12"/>
        <v>100</v>
      </c>
      <c r="T30" s="1372" t="s">
        <v>1031</v>
      </c>
      <c r="U30" s="1373">
        <f t="shared" si="13"/>
        <v>100</v>
      </c>
      <c r="V30" s="1372" t="s">
        <v>1031</v>
      </c>
      <c r="W30" s="1373">
        <f t="shared" si="14"/>
        <v>100</v>
      </c>
      <c r="X30" s="1359"/>
      <c r="Y30" s="1326"/>
      <c r="Z30" s="1346">
        <f t="shared" si="15"/>
        <v>111</v>
      </c>
      <c r="AA30" s="1388">
        <f t="shared" si="3"/>
        <v>1</v>
      </c>
      <c r="AB30" s="1388">
        <f t="shared" si="4"/>
        <v>1</v>
      </c>
      <c r="AC30" s="1388">
        <f t="shared" si="5"/>
        <v>1</v>
      </c>
    </row>
    <row r="31" ht="16.25" spans="1:29">
      <c r="A31" s="1191"/>
      <c r="B31" s="1525">
        <v>111</v>
      </c>
      <c r="C31" s="1193"/>
      <c r="D31" s="1194">
        <v>100</v>
      </c>
      <c r="E31" s="1189"/>
      <c r="F31" s="1587">
        <f>SUMIF(98:98,E31,99:99)-SUMIF(98:98,C31,99:99)+100</f>
        <v>100</v>
      </c>
      <c r="G31" s="1189"/>
      <c r="H31" s="1194">
        <f>SUMIF(98:98,G31,99:99)-SUMIF(98:98,C31,99:99)+100</f>
        <v>100</v>
      </c>
      <c r="I31" s="1189"/>
      <c r="J31" s="1194">
        <f>SUMIF(98:98,I31,99:99)-SUMIF(98:98,C31,99:99)+100</f>
        <v>100</v>
      </c>
      <c r="K31" s="1329"/>
      <c r="L31" s="1323"/>
      <c r="M31" s="1307"/>
      <c r="N31" s="1307"/>
      <c r="O31" s="1307"/>
      <c r="P31" s="1745"/>
      <c r="Q31" s="712">
        <f t="shared" si="11"/>
        <v>111</v>
      </c>
      <c r="R31" s="1372" t="s">
        <v>1031</v>
      </c>
      <c r="S31" s="1373">
        <f t="shared" si="12"/>
        <v>100</v>
      </c>
      <c r="T31" s="1372" t="s">
        <v>1031</v>
      </c>
      <c r="U31" s="1373">
        <f t="shared" si="13"/>
        <v>100</v>
      </c>
      <c r="V31" s="1372" t="s">
        <v>1031</v>
      </c>
      <c r="W31" s="1373">
        <f t="shared" si="14"/>
        <v>100</v>
      </c>
      <c r="X31" s="1359"/>
      <c r="Y31" s="1326"/>
      <c r="Z31" s="1346">
        <f t="shared" si="15"/>
        <v>111</v>
      </c>
      <c r="AA31" s="1388">
        <f t="shared" si="3"/>
        <v>1</v>
      </c>
      <c r="AB31" s="1388">
        <f t="shared" si="4"/>
        <v>1</v>
      </c>
      <c r="AC31" s="1388">
        <f t="shared" si="5"/>
        <v>1</v>
      </c>
    </row>
    <row r="32" ht="15.5" spans="1:29">
      <c r="A32" s="1195" t="s">
        <v>1056</v>
      </c>
      <c r="B32" s="1173" t="s">
        <v>1057</v>
      </c>
      <c r="C32" s="1774" t="s">
        <v>1008</v>
      </c>
      <c r="D32" s="1229">
        <v>100</v>
      </c>
      <c r="E32" s="1774" t="s">
        <v>1008</v>
      </c>
      <c r="F32" s="1574">
        <f>SUMIF(100:100,E32,101:101)-SUMIF(100:100,C32,101:101)+100</f>
        <v>100</v>
      </c>
      <c r="G32" s="1774" t="s">
        <v>1008</v>
      </c>
      <c r="H32" s="1190">
        <f>SUMIF(100:100,G32,101:101)-SUMIF(100:100,C32,101:101)+100</f>
        <v>100</v>
      </c>
      <c r="I32" s="1774" t="s">
        <v>1008</v>
      </c>
      <c r="J32" s="1229">
        <f>SUMIF(100:100,I32,101:101)-SUMIF(100:100,C32,101:101)+100</f>
        <v>100</v>
      </c>
      <c r="K32" s="1330"/>
      <c r="L32" s="1323"/>
      <c r="M32" s="1307"/>
      <c r="N32" s="1307"/>
      <c r="O32" s="1307"/>
      <c r="P32" s="1746" t="s">
        <v>1058</v>
      </c>
      <c r="Q32" s="712" t="str">
        <f t="shared" si="11"/>
        <v>商业类型</v>
      </c>
      <c r="R32" s="1372" t="s">
        <v>1031</v>
      </c>
      <c r="S32" s="1373">
        <f t="shared" si="12"/>
        <v>100</v>
      </c>
      <c r="T32" s="1372" t="s">
        <v>1031</v>
      </c>
      <c r="U32" s="1373">
        <f t="shared" si="13"/>
        <v>100</v>
      </c>
      <c r="V32" s="1372" t="s">
        <v>1031</v>
      </c>
      <c r="W32" s="1373">
        <f t="shared" si="14"/>
        <v>100</v>
      </c>
      <c r="X32" s="1359"/>
      <c r="Y32" s="1334" t="s">
        <v>1058</v>
      </c>
      <c r="Z32" s="1346" t="str">
        <f t="shared" si="15"/>
        <v>商业类型</v>
      </c>
      <c r="AA32" s="1388">
        <f t="shared" si="3"/>
        <v>1</v>
      </c>
      <c r="AB32" s="1388">
        <f t="shared" si="4"/>
        <v>1</v>
      </c>
      <c r="AC32" s="1388">
        <f t="shared" si="5"/>
        <v>1</v>
      </c>
    </row>
    <row r="33" s="1129" customFormat="1" ht="15.5" spans="1:29">
      <c r="A33" s="1235"/>
      <c r="B33" s="1177" t="s">
        <v>1059</v>
      </c>
      <c r="C33" s="1568">
        <v>21085.3</v>
      </c>
      <c r="D33" s="1179">
        <v>100</v>
      </c>
      <c r="E33" s="1183">
        <v>30120</v>
      </c>
      <c r="F33" s="1567">
        <f>LOOKUP(E33,103:103,104:104)-LOOKUP(C33,103:103,104:104)+100</f>
        <v>99</v>
      </c>
      <c r="G33" s="1182">
        <v>12092</v>
      </c>
      <c r="H33" s="1179">
        <f>LOOKUP(G33,103:103,104:104)-LOOKUP(C33,103:103,104:104)+100</f>
        <v>100</v>
      </c>
      <c r="I33" s="1182">
        <v>15000</v>
      </c>
      <c r="J33" s="1179">
        <f>LOOKUP(I33,103:103,104:104)-LOOKUP(C33,103:103,104:104)+100</f>
        <v>100</v>
      </c>
      <c r="K33" s="1329"/>
      <c r="L33" s="1321"/>
      <c r="M33" s="1332"/>
      <c r="N33" s="1332"/>
      <c r="O33" s="1332"/>
      <c r="P33" s="1747"/>
      <c r="Q33" s="1613" t="str">
        <f t="shared" si="11"/>
        <v>项目建筑规模</v>
      </c>
      <c r="R33" s="1374" t="s">
        <v>1031</v>
      </c>
      <c r="S33" s="1375">
        <f t="shared" si="12"/>
        <v>99</v>
      </c>
      <c r="T33" s="1374" t="s">
        <v>1031</v>
      </c>
      <c r="U33" s="1375">
        <f t="shared" si="13"/>
        <v>100</v>
      </c>
      <c r="V33" s="1374" t="s">
        <v>1031</v>
      </c>
      <c r="W33" s="1375">
        <f t="shared" si="14"/>
        <v>100</v>
      </c>
      <c r="X33" s="1376"/>
      <c r="Y33" s="1334"/>
      <c r="Z33" s="1389" t="str">
        <f t="shared" si="15"/>
        <v>项目建筑规模</v>
      </c>
      <c r="AA33" s="1388">
        <f t="shared" si="3"/>
        <v>1.01010101010101</v>
      </c>
      <c r="AB33" s="1388">
        <f t="shared" si="4"/>
        <v>1</v>
      </c>
      <c r="AC33" s="1388">
        <f t="shared" si="5"/>
        <v>1</v>
      </c>
    </row>
    <row r="34" ht="15.5" spans="1:29">
      <c r="A34" s="1230"/>
      <c r="B34" s="1177" t="s">
        <v>1060</v>
      </c>
      <c r="C34" s="1776"/>
      <c r="D34" s="1190">
        <v>100</v>
      </c>
      <c r="E34" s="1776"/>
      <c r="F34" s="1574">
        <f>SUMIF(105:105,E34,106:106)-SUMIF(105:105,C34,106:106)+100</f>
        <v>100</v>
      </c>
      <c r="G34" s="1776"/>
      <c r="H34" s="1190">
        <f>SUMIF(105:105,G34,106:106)-SUMIF(105:105,C34,106:106)+100</f>
        <v>100</v>
      </c>
      <c r="I34" s="1776"/>
      <c r="J34" s="1190">
        <f>SUMIF(105:105,I34,106:106)-SUMIF(105:105,C34,106:106)+100</f>
        <v>100</v>
      </c>
      <c r="K34" s="1330"/>
      <c r="L34" s="1323"/>
      <c r="M34" s="1307"/>
      <c r="N34" s="1307"/>
      <c r="O34" s="1307"/>
      <c r="P34" s="1747"/>
      <c r="Q34" s="712" t="str">
        <f t="shared" si="11"/>
        <v>建筑结构</v>
      </c>
      <c r="R34" s="1372" t="s">
        <v>1031</v>
      </c>
      <c r="S34" s="1373">
        <f t="shared" si="12"/>
        <v>100</v>
      </c>
      <c r="T34" s="1372" t="s">
        <v>1031</v>
      </c>
      <c r="U34" s="1373">
        <f t="shared" si="13"/>
        <v>100</v>
      </c>
      <c r="V34" s="1372" t="s">
        <v>1031</v>
      </c>
      <c r="W34" s="1373">
        <f t="shared" si="14"/>
        <v>100</v>
      </c>
      <c r="X34" s="1359"/>
      <c r="Y34" s="1334"/>
      <c r="Z34" s="1346" t="str">
        <f t="shared" si="15"/>
        <v>建筑结构</v>
      </c>
      <c r="AA34" s="1388">
        <f t="shared" si="3"/>
        <v>1</v>
      </c>
      <c r="AB34" s="1388">
        <f t="shared" si="4"/>
        <v>1</v>
      </c>
      <c r="AC34" s="1388">
        <f t="shared" si="5"/>
        <v>1</v>
      </c>
    </row>
    <row r="35" ht="15.5" spans="1:29">
      <c r="A35" s="1230"/>
      <c r="B35" s="1177" t="s">
        <v>1061</v>
      </c>
      <c r="C35" s="1231" t="s">
        <v>1062</v>
      </c>
      <c r="D35" s="1190">
        <v>100</v>
      </c>
      <c r="E35" s="1231" t="s">
        <v>1062</v>
      </c>
      <c r="F35" s="1574">
        <f>SUMIF(107:107,E35,108:108)-SUMIF(107:107,C35,108:108)+100</f>
        <v>100</v>
      </c>
      <c r="G35" s="1231" t="s">
        <v>1062</v>
      </c>
      <c r="H35" s="1190">
        <f>SUMIF(107:107,G35,108:108)-SUMIF(107:107,C35,108:108)+100</f>
        <v>100</v>
      </c>
      <c r="I35" s="1231" t="s">
        <v>1062</v>
      </c>
      <c r="J35" s="1190">
        <f>SUMIF(107:107,I35,108:108)-SUMIF(107:107,C35,108:108)+100</f>
        <v>100</v>
      </c>
      <c r="K35" s="1330"/>
      <c r="L35" s="1323"/>
      <c r="M35" s="1307"/>
      <c r="N35" s="1307"/>
      <c r="O35" s="1307"/>
      <c r="P35" s="1747"/>
      <c r="Q35" s="712" t="str">
        <f t="shared" si="11"/>
        <v>公共部分装修</v>
      </c>
      <c r="R35" s="1372" t="s">
        <v>1031</v>
      </c>
      <c r="S35" s="1373">
        <f t="shared" si="12"/>
        <v>100</v>
      </c>
      <c r="T35" s="1372" t="s">
        <v>1031</v>
      </c>
      <c r="U35" s="1373">
        <f t="shared" si="13"/>
        <v>100</v>
      </c>
      <c r="V35" s="1372" t="s">
        <v>1031</v>
      </c>
      <c r="W35" s="1373">
        <f t="shared" si="14"/>
        <v>100</v>
      </c>
      <c r="X35" s="1359"/>
      <c r="Y35" s="1334"/>
      <c r="Z35" s="1346" t="str">
        <f t="shared" si="15"/>
        <v>公共部分装修</v>
      </c>
      <c r="AA35" s="1388">
        <f t="shared" si="3"/>
        <v>1</v>
      </c>
      <c r="AB35" s="1388">
        <f t="shared" si="4"/>
        <v>1</v>
      </c>
      <c r="AC35" s="1388">
        <f t="shared" si="5"/>
        <v>1</v>
      </c>
    </row>
    <row r="36" ht="15.5" spans="1:29">
      <c r="A36" s="1230"/>
      <c r="B36" s="1177" t="s">
        <v>646</v>
      </c>
      <c r="C36" s="1581">
        <v>0.67</v>
      </c>
      <c r="D36" s="1190">
        <v>100</v>
      </c>
      <c r="E36" s="1581">
        <v>0.72</v>
      </c>
      <c r="F36" s="1574">
        <f>LOOKUP(E36,110:110,111:111)-LOOKUP(C36,110:110,111:111)+100</f>
        <v>102</v>
      </c>
      <c r="G36" s="1581">
        <v>0.72</v>
      </c>
      <c r="H36" s="1574">
        <f>LOOKUP(G36,110:110,111:111)-LOOKUP(C36,110:110,111:111)+100</f>
        <v>102</v>
      </c>
      <c r="I36" s="1581">
        <v>0.65</v>
      </c>
      <c r="J36" s="1190">
        <f>LOOKUP(I36,110:110,111:111)-LOOKUP(C36,110:110,111:111)+100</f>
        <v>100</v>
      </c>
      <c r="K36" s="1330">
        <v>2</v>
      </c>
      <c r="L36" s="1323"/>
      <c r="M36" s="1307"/>
      <c r="N36" s="1307"/>
      <c r="O36" s="1307"/>
      <c r="P36" s="1747"/>
      <c r="Q36" s="712" t="str">
        <f t="shared" si="11"/>
        <v>成新度</v>
      </c>
      <c r="R36" s="1372" t="s">
        <v>1031</v>
      </c>
      <c r="S36" s="1373">
        <f t="shared" si="12"/>
        <v>102</v>
      </c>
      <c r="T36" s="1372" t="s">
        <v>1031</v>
      </c>
      <c r="U36" s="1373">
        <f t="shared" si="13"/>
        <v>102</v>
      </c>
      <c r="V36" s="1372" t="s">
        <v>1031</v>
      </c>
      <c r="W36" s="1373">
        <f t="shared" si="14"/>
        <v>100</v>
      </c>
      <c r="X36" s="1359"/>
      <c r="Y36" s="1334"/>
      <c r="Z36" s="1346" t="str">
        <f t="shared" si="15"/>
        <v>成新度</v>
      </c>
      <c r="AA36" s="1388">
        <f t="shared" si="3"/>
        <v>0.980392156862745</v>
      </c>
      <c r="AB36" s="1388">
        <f t="shared" si="4"/>
        <v>0.980392156862745</v>
      </c>
      <c r="AC36" s="1388">
        <f t="shared" si="5"/>
        <v>1</v>
      </c>
    </row>
    <row r="37" s="1127" customFormat="1" ht="15.5" spans="1:29">
      <c r="A37" s="1232"/>
      <c r="B37" s="1177" t="s">
        <v>1063</v>
      </c>
      <c r="C37" s="1231"/>
      <c r="D37" s="1179">
        <v>100</v>
      </c>
      <c r="E37" s="1231"/>
      <c r="F37" s="1574">
        <f>SUMIF(112:112,E37,113:113)-SUMIF(112:112,C37,113:113)+100</f>
        <v>100</v>
      </c>
      <c r="G37" s="1231"/>
      <c r="H37" s="1190">
        <f>SUMIF(112:112,G37,113:113)-SUMIF(112:112,C37,113:113)+100</f>
        <v>100</v>
      </c>
      <c r="I37" s="1231"/>
      <c r="J37" s="1190">
        <f>SUMIF(112:112,I37,113:113)-SUMIF(112:112,C37,113:113)+100</f>
        <v>100</v>
      </c>
      <c r="K37" s="1330"/>
      <c r="L37" s="1312"/>
      <c r="M37" s="1313"/>
      <c r="N37" s="1313"/>
      <c r="O37" s="1313"/>
      <c r="P37" s="1747"/>
      <c r="Q37" s="1371" t="str">
        <f t="shared" si="11"/>
        <v>市政基础设施</v>
      </c>
      <c r="R37" s="1367" t="s">
        <v>1031</v>
      </c>
      <c r="S37" s="1368">
        <f t="shared" si="12"/>
        <v>100</v>
      </c>
      <c r="T37" s="1367" t="s">
        <v>1031</v>
      </c>
      <c r="U37" s="1368">
        <f t="shared" si="13"/>
        <v>100</v>
      </c>
      <c r="V37" s="1367" t="s">
        <v>1031</v>
      </c>
      <c r="W37" s="1368">
        <f t="shared" si="14"/>
        <v>100</v>
      </c>
      <c r="X37" s="1369"/>
      <c r="Y37" s="1334"/>
      <c r="Z37" s="1387" t="str">
        <f t="shared" si="15"/>
        <v>市政基础设施</v>
      </c>
      <c r="AA37" s="1386">
        <f t="shared" si="3"/>
        <v>1</v>
      </c>
      <c r="AB37" s="1386">
        <f t="shared" si="4"/>
        <v>1</v>
      </c>
      <c r="AC37" s="1386">
        <f t="shared" si="5"/>
        <v>1</v>
      </c>
    </row>
    <row r="38" ht="15.5" spans="1:29">
      <c r="A38" s="1230"/>
      <c r="B38" s="1177" t="s">
        <v>1064</v>
      </c>
      <c r="C38" s="1231" t="s">
        <v>1065</v>
      </c>
      <c r="D38" s="1190">
        <v>100</v>
      </c>
      <c r="E38" s="1231" t="s">
        <v>1065</v>
      </c>
      <c r="F38" s="1574">
        <f>SUMIF(114:114,E38,115:115)-SUMIF(114:114,C38,115:115)+100</f>
        <v>100</v>
      </c>
      <c r="G38" s="1231" t="s">
        <v>1065</v>
      </c>
      <c r="H38" s="1190">
        <f>SUMIF(114:114,G38,115:115)-SUMIF(114:114,C38,115:115)+100</f>
        <v>100</v>
      </c>
      <c r="I38" s="1231" t="s">
        <v>1065</v>
      </c>
      <c r="J38" s="1190">
        <f>SUMIF(114:114,I38,115:115)-SUMIF(114:114,C38,115:115)+100</f>
        <v>100</v>
      </c>
      <c r="K38" s="1330"/>
      <c r="L38" s="1323"/>
      <c r="M38" s="1307"/>
      <c r="N38" s="1307"/>
      <c r="O38" s="1307"/>
      <c r="P38" s="1747" t="s">
        <v>1058</v>
      </c>
      <c r="Q38" s="712" t="str">
        <f t="shared" si="11"/>
        <v>业态</v>
      </c>
      <c r="R38" s="1372" t="s">
        <v>1031</v>
      </c>
      <c r="S38" s="1373">
        <f t="shared" si="12"/>
        <v>100</v>
      </c>
      <c r="T38" s="1372" t="s">
        <v>1031</v>
      </c>
      <c r="U38" s="1373">
        <f t="shared" si="13"/>
        <v>100</v>
      </c>
      <c r="V38" s="1372" t="s">
        <v>1031</v>
      </c>
      <c r="W38" s="1373">
        <f t="shared" si="14"/>
        <v>100</v>
      </c>
      <c r="X38" s="1359"/>
      <c r="Y38" s="1334" t="s">
        <v>1058</v>
      </c>
      <c r="Z38" s="1346" t="str">
        <f t="shared" si="15"/>
        <v>业态</v>
      </c>
      <c r="AA38" s="1388">
        <f t="shared" si="3"/>
        <v>1</v>
      </c>
      <c r="AB38" s="1388">
        <f t="shared" si="4"/>
        <v>1</v>
      </c>
      <c r="AC38" s="1388">
        <f t="shared" si="5"/>
        <v>1</v>
      </c>
    </row>
    <row r="39" ht="15.5" spans="1:29">
      <c r="A39" s="1230"/>
      <c r="B39" s="1177" t="s">
        <v>1066</v>
      </c>
      <c r="C39" s="1231"/>
      <c r="D39" s="1190">
        <v>100</v>
      </c>
      <c r="E39" s="1231"/>
      <c r="F39" s="1574">
        <f>SUMIF(116:116,E39,117:117)-SUMIF(116:116,C39,117:117)+100</f>
        <v>100</v>
      </c>
      <c r="G39" s="1231"/>
      <c r="H39" s="1190">
        <f>SUMIF(116:116,G39,117:117)-SUMIF(116:116,C39,117:117)+100</f>
        <v>100</v>
      </c>
      <c r="I39" s="1231"/>
      <c r="J39" s="1190">
        <f>SUMIF(116:116,I39,117:117)-SUMIF(116:116,C39,117:117)+100</f>
        <v>100</v>
      </c>
      <c r="K39" s="1330"/>
      <c r="L39" s="1323"/>
      <c r="M39" s="1307"/>
      <c r="N39" s="1307"/>
      <c r="O39" s="1307"/>
      <c r="P39" s="1747"/>
      <c r="Q39" s="712" t="str">
        <f t="shared" si="11"/>
        <v>层高</v>
      </c>
      <c r="R39" s="1372" t="s">
        <v>1031</v>
      </c>
      <c r="S39" s="1373">
        <f t="shared" si="12"/>
        <v>100</v>
      </c>
      <c r="T39" s="1372" t="s">
        <v>1031</v>
      </c>
      <c r="U39" s="1373">
        <f t="shared" si="13"/>
        <v>100</v>
      </c>
      <c r="V39" s="1372" t="s">
        <v>1031</v>
      </c>
      <c r="W39" s="1373">
        <f t="shared" si="14"/>
        <v>100</v>
      </c>
      <c r="X39" s="1359"/>
      <c r="Y39" s="1334"/>
      <c r="Z39" s="1346" t="str">
        <f t="shared" si="15"/>
        <v>层高</v>
      </c>
      <c r="AA39" s="1388">
        <f t="shared" si="3"/>
        <v>1</v>
      </c>
      <c r="AB39" s="1388">
        <f t="shared" si="4"/>
        <v>1</v>
      </c>
      <c r="AC39" s="1388">
        <f t="shared" si="5"/>
        <v>1</v>
      </c>
    </row>
    <row r="40" ht="15.5" spans="1:29">
      <c r="A40" s="1230"/>
      <c r="B40" s="1177" t="s">
        <v>1067</v>
      </c>
      <c r="C40" s="2474"/>
      <c r="D40" s="1190">
        <v>100</v>
      </c>
      <c r="E40" s="2475"/>
      <c r="F40" s="1574">
        <f>SUMIF(118:118,E40,119:119)-SUMIF(118:118,C40,119:119)+100</f>
        <v>100</v>
      </c>
      <c r="G40" s="2475"/>
      <c r="H40" s="1190">
        <f>SUMIF(118:118,G40,119:119)-SUMIF(118:118,C40,119:119)+100</f>
        <v>100</v>
      </c>
      <c r="I40" s="2475"/>
      <c r="J40" s="1190">
        <f>SUMIF(118:118,I40,119:119)-SUMIF(118:118,C40,119:119)+100</f>
        <v>100</v>
      </c>
      <c r="K40" s="1329"/>
      <c r="L40" s="1323"/>
      <c r="M40" s="1307"/>
      <c r="N40" s="1307"/>
      <c r="O40" s="1307"/>
      <c r="P40" s="1747"/>
      <c r="Q40" s="712" t="str">
        <f t="shared" si="11"/>
        <v>单套建筑面积</v>
      </c>
      <c r="R40" s="1372" t="s">
        <v>1031</v>
      </c>
      <c r="S40" s="1373">
        <f t="shared" si="12"/>
        <v>100</v>
      </c>
      <c r="T40" s="1372" t="s">
        <v>1031</v>
      </c>
      <c r="U40" s="1373">
        <f t="shared" si="13"/>
        <v>100</v>
      </c>
      <c r="V40" s="1372" t="s">
        <v>1031</v>
      </c>
      <c r="W40" s="1373">
        <f t="shared" si="14"/>
        <v>100</v>
      </c>
      <c r="X40" s="1359"/>
      <c r="Y40" s="1334"/>
      <c r="Z40" s="1346" t="str">
        <f t="shared" si="15"/>
        <v>单套建筑面积</v>
      </c>
      <c r="AA40" s="1388">
        <f t="shared" si="3"/>
        <v>1</v>
      </c>
      <c r="AB40" s="1388">
        <f t="shared" si="4"/>
        <v>1</v>
      </c>
      <c r="AC40" s="1388">
        <f t="shared" si="5"/>
        <v>1</v>
      </c>
    </row>
    <row r="41" s="1129" customFormat="1" ht="15.5" spans="1:29">
      <c r="A41" s="1235"/>
      <c r="B41" s="1341" t="s">
        <v>1068</v>
      </c>
      <c r="C41" s="1212"/>
      <c r="D41" s="1190">
        <v>100</v>
      </c>
      <c r="E41" s="1212"/>
      <c r="F41" s="1574">
        <f>SUMIF(120:120,E41,121:121)-SUMIF(120:120,C41,121:121)+100</f>
        <v>100</v>
      </c>
      <c r="G41" s="1212"/>
      <c r="H41" s="1190">
        <f>SUMIF(120:120,G41,121:121)-SUMIF(120:120,C41,121:121)+100</f>
        <v>100</v>
      </c>
      <c r="I41" s="1212"/>
      <c r="J41" s="1190">
        <f>SUMIF(120:120,I41,121:121)-SUMIF(120:120,C41,121:121)+100</f>
        <v>100</v>
      </c>
      <c r="K41" s="1330"/>
      <c r="L41" s="1321"/>
      <c r="M41" s="1332"/>
      <c r="N41" s="1332"/>
      <c r="O41" s="1332"/>
      <c r="P41" s="1747"/>
      <c r="Q41" s="1613" t="str">
        <f t="shared" si="11"/>
        <v>进深比</v>
      </c>
      <c r="R41" s="1374" t="s">
        <v>1031</v>
      </c>
      <c r="S41" s="1375">
        <f t="shared" si="12"/>
        <v>100</v>
      </c>
      <c r="T41" s="1374" t="s">
        <v>1031</v>
      </c>
      <c r="U41" s="1375">
        <f t="shared" si="13"/>
        <v>100</v>
      </c>
      <c r="V41" s="1374" t="s">
        <v>1031</v>
      </c>
      <c r="W41" s="1375">
        <f t="shared" si="14"/>
        <v>100</v>
      </c>
      <c r="X41" s="1376"/>
      <c r="Y41" s="1334"/>
      <c r="Z41" s="1389" t="str">
        <f t="shared" si="15"/>
        <v>进深比</v>
      </c>
      <c r="AA41" s="1388">
        <f t="shared" si="3"/>
        <v>1</v>
      </c>
      <c r="AB41" s="1388">
        <f t="shared" si="4"/>
        <v>1</v>
      </c>
      <c r="AC41" s="1388">
        <f t="shared" si="5"/>
        <v>1</v>
      </c>
    </row>
    <row r="42" ht="15.5" spans="1:29">
      <c r="A42" s="1230"/>
      <c r="B42" s="1177" t="s">
        <v>1069</v>
      </c>
      <c r="C42" s="1231" t="s">
        <v>1070</v>
      </c>
      <c r="D42" s="1190">
        <v>100</v>
      </c>
      <c r="E42" s="1231" t="s">
        <v>1070</v>
      </c>
      <c r="F42" s="1574">
        <f>SUMIF(122:122,E42,123:123)-SUMIF(122:122,C42,123:123)+100</f>
        <v>100</v>
      </c>
      <c r="G42" s="1231" t="s">
        <v>1070</v>
      </c>
      <c r="H42" s="1190">
        <f>SUMIF(122:122,G42,123:123)-SUMIF(122:122,C42,123:123)+100</f>
        <v>100</v>
      </c>
      <c r="I42" s="1231" t="s">
        <v>1070</v>
      </c>
      <c r="J42" s="1190">
        <f>SUMIF(122:122,I42,123:123)-SUMIF(122:122,C42,123:123)+100</f>
        <v>100</v>
      </c>
      <c r="K42" s="1330"/>
      <c r="L42" s="1323"/>
      <c r="M42" s="1307"/>
      <c r="N42" s="1307"/>
      <c r="O42" s="1307"/>
      <c r="P42" s="1747"/>
      <c r="Q42" s="712" t="str">
        <f t="shared" si="11"/>
        <v>内部装修</v>
      </c>
      <c r="R42" s="1372" t="s">
        <v>1031</v>
      </c>
      <c r="S42" s="1373">
        <f t="shared" si="12"/>
        <v>100</v>
      </c>
      <c r="T42" s="1372" t="s">
        <v>1031</v>
      </c>
      <c r="U42" s="1373">
        <f t="shared" si="13"/>
        <v>100</v>
      </c>
      <c r="V42" s="1372" t="s">
        <v>1031</v>
      </c>
      <c r="W42" s="1373">
        <f t="shared" si="14"/>
        <v>100</v>
      </c>
      <c r="X42" s="1359"/>
      <c r="Y42" s="1334"/>
      <c r="Z42" s="1346" t="str">
        <f t="shared" si="15"/>
        <v>内部装修</v>
      </c>
      <c r="AA42" s="1388">
        <f t="shared" si="3"/>
        <v>1</v>
      </c>
      <c r="AB42" s="1388">
        <f t="shared" si="4"/>
        <v>1</v>
      </c>
      <c r="AC42" s="1388">
        <f t="shared" si="5"/>
        <v>1</v>
      </c>
    </row>
    <row r="43" ht="28" spans="1:29">
      <c r="A43" s="1230"/>
      <c r="B43" s="1177" t="s">
        <v>1071</v>
      </c>
      <c r="C43" s="1231" t="s">
        <v>1046</v>
      </c>
      <c r="D43" s="1190">
        <v>100</v>
      </c>
      <c r="E43" s="1231" t="s">
        <v>1047</v>
      </c>
      <c r="F43" s="1574">
        <f>SUMIF(124:124,E43,125:125)-SUMIF(124:124,C43,125:125)+100</f>
        <v>102</v>
      </c>
      <c r="G43" s="1231" t="s">
        <v>1047</v>
      </c>
      <c r="H43" s="1190">
        <f>SUMIF(124:124,G43,125:125)-SUMIF(124:124,C43,125:125)+100</f>
        <v>102</v>
      </c>
      <c r="I43" s="1231" t="s">
        <v>1046</v>
      </c>
      <c r="J43" s="1190">
        <f>SUMIF(124:124,I43,125:125)-SUMIF(124:124,C43,125:125)+100</f>
        <v>100</v>
      </c>
      <c r="K43" s="1330">
        <v>2</v>
      </c>
      <c r="L43" s="1323"/>
      <c r="M43" s="1307"/>
      <c r="N43" s="1307"/>
      <c r="O43" s="1307"/>
      <c r="P43" s="1747"/>
      <c r="Q43" s="712" t="str">
        <f t="shared" si="11"/>
        <v>内部装修维护情况</v>
      </c>
      <c r="R43" s="1372" t="s">
        <v>1031</v>
      </c>
      <c r="S43" s="1373">
        <f t="shared" si="12"/>
        <v>102</v>
      </c>
      <c r="T43" s="1372" t="s">
        <v>1031</v>
      </c>
      <c r="U43" s="1373">
        <f t="shared" si="13"/>
        <v>102</v>
      </c>
      <c r="V43" s="1372" t="s">
        <v>1031</v>
      </c>
      <c r="W43" s="1373">
        <f t="shared" si="14"/>
        <v>100</v>
      </c>
      <c r="X43" s="1359"/>
      <c r="Y43" s="1334"/>
      <c r="Z43" s="1346" t="str">
        <f t="shared" si="15"/>
        <v>内部装修维护情况</v>
      </c>
      <c r="AA43" s="1388">
        <f t="shared" si="3"/>
        <v>0.980392156862745</v>
      </c>
      <c r="AB43" s="1388">
        <f t="shared" si="4"/>
        <v>0.980392156862745</v>
      </c>
      <c r="AC43" s="1388">
        <f t="shared" si="5"/>
        <v>1</v>
      </c>
    </row>
    <row r="44" s="1127" customFormat="1" ht="15.5" spans="1:29">
      <c r="A44" s="1232"/>
      <c r="B44" s="1525" t="s">
        <v>1072</v>
      </c>
      <c r="C44" s="1568" t="s">
        <v>1073</v>
      </c>
      <c r="D44" s="1179">
        <v>100</v>
      </c>
      <c r="E44" s="1189" t="s">
        <v>1073</v>
      </c>
      <c r="F44" s="1567">
        <f>SUMIF(126:126,E44,127:127)-SUMIF(126:126,C44,127:127)+100</f>
        <v>100</v>
      </c>
      <c r="G44" s="1189" t="s">
        <v>1073</v>
      </c>
      <c r="H44" s="1179">
        <f>SUMIF(126:126,G44,127:127)-SUMIF(126:126,C44,127:127)+100</f>
        <v>100</v>
      </c>
      <c r="I44" s="1189" t="s">
        <v>1073</v>
      </c>
      <c r="J44" s="1179">
        <f>SUMIF(126:126,I44,127:127)-SUMIF(126:126,C44,127:127)+100</f>
        <v>100</v>
      </c>
      <c r="K44" s="1329"/>
      <c r="L44" s="1312"/>
      <c r="M44" s="1313"/>
      <c r="N44" s="1313"/>
      <c r="O44" s="1313"/>
      <c r="P44" s="1747"/>
      <c r="Q44" s="1371" t="str">
        <f t="shared" si="11"/>
        <v>地下面积占比</v>
      </c>
      <c r="R44" s="1367" t="s">
        <v>1031</v>
      </c>
      <c r="S44" s="1368">
        <f t="shared" si="12"/>
        <v>100</v>
      </c>
      <c r="T44" s="1367" t="s">
        <v>1031</v>
      </c>
      <c r="U44" s="1368">
        <f t="shared" si="13"/>
        <v>100</v>
      </c>
      <c r="V44" s="1367" t="s">
        <v>1031</v>
      </c>
      <c r="W44" s="1368">
        <f t="shared" si="14"/>
        <v>100</v>
      </c>
      <c r="X44" s="1369"/>
      <c r="Y44" s="1334"/>
      <c r="Z44" s="1387" t="str">
        <f t="shared" si="15"/>
        <v>地下面积占比</v>
      </c>
      <c r="AA44" s="1386">
        <f t="shared" si="3"/>
        <v>1</v>
      </c>
      <c r="AB44" s="1386">
        <f t="shared" si="4"/>
        <v>1</v>
      </c>
      <c r="AC44" s="1386">
        <f t="shared" si="5"/>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329"/>
      <c r="L45" s="1323"/>
      <c r="M45" s="1307"/>
      <c r="N45" s="1307"/>
      <c r="O45" s="1307"/>
      <c r="P45" s="1747"/>
      <c r="Q45" s="712">
        <f t="shared" si="11"/>
        <v>111</v>
      </c>
      <c r="R45" s="1372" t="s">
        <v>1031</v>
      </c>
      <c r="S45" s="1373">
        <f t="shared" si="12"/>
        <v>100</v>
      </c>
      <c r="T45" s="1372" t="s">
        <v>1031</v>
      </c>
      <c r="U45" s="1373">
        <f t="shared" si="13"/>
        <v>100</v>
      </c>
      <c r="V45" s="1372" t="s">
        <v>1031</v>
      </c>
      <c r="W45" s="1373">
        <f t="shared" si="14"/>
        <v>100</v>
      </c>
      <c r="X45" s="1359"/>
      <c r="Y45" s="1334"/>
      <c r="Z45" s="1346">
        <f t="shared" si="15"/>
        <v>111</v>
      </c>
      <c r="AA45" s="1388">
        <f t="shared" si="3"/>
        <v>1</v>
      </c>
      <c r="AB45" s="1388">
        <f t="shared" si="4"/>
        <v>1</v>
      </c>
      <c r="AC45" s="1388">
        <f t="shared" si="5"/>
        <v>1</v>
      </c>
    </row>
    <row r="46" ht="16.25" spans="1:29">
      <c r="A46" s="1586"/>
      <c r="B46" s="1192">
        <v>111</v>
      </c>
      <c r="C46" s="1193"/>
      <c r="D46" s="1194">
        <v>100</v>
      </c>
      <c r="E46" s="1189"/>
      <c r="F46" s="1587">
        <f>SUMIF(130:130,E46,131:131)-SUMIF(130:130,C46,131:131)+100</f>
        <v>100</v>
      </c>
      <c r="G46" s="1189"/>
      <c r="H46" s="1194">
        <f>SUMIF(130:130,G46,131:131)-SUMIF(130:130,C46,131:131)+100</f>
        <v>100</v>
      </c>
      <c r="I46" s="1189"/>
      <c r="J46" s="1194">
        <f>SUMIF(130:130,I46,131:131)-SUMIF(130:130,C46,131:131)+100</f>
        <v>100</v>
      </c>
      <c r="K46" s="1329"/>
      <c r="L46" s="1323"/>
      <c r="M46" s="1307"/>
      <c r="N46" s="1307"/>
      <c r="O46" s="1307"/>
      <c r="P46" s="1748"/>
      <c r="Q46" s="712">
        <f t="shared" si="11"/>
        <v>111</v>
      </c>
      <c r="R46" s="1372" t="s">
        <v>1031</v>
      </c>
      <c r="S46" s="1373">
        <f t="shared" si="12"/>
        <v>100</v>
      </c>
      <c r="T46" s="1372" t="s">
        <v>1031</v>
      </c>
      <c r="U46" s="1373">
        <f t="shared" si="13"/>
        <v>100</v>
      </c>
      <c r="V46" s="1372" t="s">
        <v>1031</v>
      </c>
      <c r="W46" s="1373">
        <f t="shared" si="14"/>
        <v>100</v>
      </c>
      <c r="X46" s="1359"/>
      <c r="Y46" s="1704"/>
      <c r="Z46" s="1346">
        <f t="shared" si="15"/>
        <v>111</v>
      </c>
      <c r="AA46" s="1388">
        <f t="shared" si="3"/>
        <v>1</v>
      </c>
      <c r="AB46" s="1388">
        <f t="shared" si="4"/>
        <v>1</v>
      </c>
      <c r="AC46" s="1388">
        <f t="shared" si="5"/>
        <v>1</v>
      </c>
    </row>
    <row r="47" spans="1:29">
      <c r="A47" s="1237" t="s">
        <v>1074</v>
      </c>
      <c r="B47" s="1588"/>
      <c r="C47" s="1589" t="s">
        <v>124</v>
      </c>
      <c r="D47" s="1590"/>
      <c r="E47" s="1591">
        <v>35857</v>
      </c>
      <c r="F47" s="1592"/>
      <c r="G47" s="1593">
        <v>41350</v>
      </c>
      <c r="H47" s="1594"/>
      <c r="I47" s="1591">
        <v>40000</v>
      </c>
      <c r="J47" s="1594"/>
      <c r="K47" s="1337"/>
      <c r="L47" s="1338"/>
      <c r="M47" s="1254"/>
      <c r="N47" s="1307"/>
      <c r="O47" s="1254"/>
      <c r="P47" s="712" t="str">
        <f>A47</f>
        <v>成交单价（元/平方米）</v>
      </c>
      <c r="Q47" s="712"/>
      <c r="R47" s="1346">
        <f>E47</f>
        <v>35857</v>
      </c>
      <c r="S47" s="1346"/>
      <c r="T47" s="1346">
        <f>G47</f>
        <v>41350</v>
      </c>
      <c r="U47" s="1346"/>
      <c r="V47" s="1346">
        <f>I47</f>
        <v>40000</v>
      </c>
      <c r="W47" s="1346"/>
      <c r="X47" s="1295"/>
      <c r="Y47" s="1390"/>
      <c r="Z47" s="1295"/>
      <c r="AA47" s="1295"/>
      <c r="AB47" s="1295"/>
      <c r="AC47" s="1295"/>
    </row>
    <row r="48" ht="14.75" spans="1:29">
      <c r="A48" s="1245" t="s">
        <v>1075</v>
      </c>
      <c r="B48" s="1595"/>
      <c r="C48" s="1596">
        <f>R49</f>
        <v>31990</v>
      </c>
      <c r="D48" s="1248" t="s">
        <v>1076</v>
      </c>
      <c r="E48" s="1597">
        <f>R48</f>
        <v>29263</v>
      </c>
      <c r="F48" s="1249"/>
      <c r="G48" s="1596">
        <f>T48</f>
        <v>33408</v>
      </c>
      <c r="H48" s="1249"/>
      <c r="I48" s="1597">
        <f>V48</f>
        <v>33300</v>
      </c>
      <c r="J48" s="1249"/>
      <c r="K48" s="1339">
        <f>F48+H48+J48</f>
        <v>0</v>
      </c>
      <c r="L48" s="1338"/>
      <c r="M48" s="1254"/>
      <c r="N48" s="1307"/>
      <c r="O48" s="1254"/>
      <c r="P48" s="712" t="str">
        <f>A48</f>
        <v>比较价值（元/平方米）</v>
      </c>
      <c r="Q48" s="712"/>
      <c r="R48" s="1388">
        <f>IF(F1="售价",ROUND(PRODUCT(R47,AA7:AA46),0),ROUND(PRODUCT(R47,AA7:AA46),1))</f>
        <v>29263</v>
      </c>
      <c r="S48" s="1388"/>
      <c r="T48" s="1388">
        <f>IF(F1="售价",ROUND(PRODUCT(T47,AB7:AB46),0),ROUND(PRODUCT(T47,AB7:AB46),1))</f>
        <v>33408</v>
      </c>
      <c r="U48" s="1388"/>
      <c r="V48" s="1388">
        <f>IF(F1="售价",ROUND(PRODUCT(V47,AC7:AC46),0),ROUND(PRODUCT(V47,AC7:AC46),1))</f>
        <v>33300</v>
      </c>
      <c r="W48" s="1388"/>
      <c r="X48" s="1295"/>
      <c r="Y48" s="1295"/>
      <c r="Z48" s="1295"/>
      <c r="AA48" s="1295"/>
      <c r="AB48" s="1295"/>
      <c r="AC48" s="1295"/>
    </row>
    <row r="49" ht="14.75" spans="1:29">
      <c r="A49" s="1251" t="s">
        <v>1077</v>
      </c>
      <c r="B49" s="1252"/>
      <c r="C49" s="1598">
        <f>R49</f>
        <v>31990</v>
      </c>
      <c r="D49" s="1598"/>
      <c r="E49" s="1598"/>
      <c r="F49" s="1598"/>
      <c r="G49" s="1598"/>
      <c r="H49" s="1598"/>
      <c r="I49" s="1598"/>
      <c r="J49" s="1598"/>
      <c r="K49" s="1340"/>
      <c r="L49" s="1338"/>
      <c r="M49" s="1254"/>
      <c r="N49" s="1307"/>
      <c r="O49" s="1254"/>
      <c r="P49" s="1341" t="str">
        <f>A49</f>
        <v>估价对象XX用房的比较价值（楼面单价，元/平方米）</v>
      </c>
      <c r="Q49" s="1378"/>
      <c r="R49" s="1720">
        <f>IF(F1="售价",ROUND(IF(D48="简单平均",AVERAGE(R48:V48),R48*F48+T48*H48+V48*J48),0),ROUND(IF(D48="简单平均",AVERAGE(R48:V48),R48*F48+T48*H48+V48*J48),1))</f>
        <v>31990</v>
      </c>
      <c r="S49" s="1720"/>
      <c r="T49" s="1720"/>
      <c r="U49" s="1720"/>
      <c r="V49" s="1720"/>
      <c r="W49" s="1720"/>
      <c r="X49" s="1295"/>
      <c r="Y49" s="1295"/>
      <c r="Z49" s="1295"/>
      <c r="AA49" s="1295"/>
      <c r="AB49" s="1295"/>
      <c r="AC49" s="1295"/>
    </row>
    <row r="50" spans="1:29">
      <c r="A50" s="1254"/>
      <c r="B50" s="1254"/>
      <c r="C50" s="1254"/>
      <c r="D50" s="1254"/>
      <c r="E50" s="1254"/>
      <c r="F50" s="1254"/>
      <c r="G50" s="1255"/>
      <c r="H50" s="1254"/>
      <c r="I50" s="1254"/>
      <c r="J50" s="1254"/>
      <c r="K50" s="1342"/>
      <c r="L50" s="1343"/>
      <c r="M50" s="1254"/>
      <c r="N50" s="1254"/>
      <c r="O50" s="1254"/>
      <c r="P50" s="2478"/>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342"/>
      <c r="L51" s="1343"/>
      <c r="M51" s="1254"/>
      <c r="N51" s="1254"/>
      <c r="O51" s="1254"/>
      <c r="P51" s="2478"/>
      <c r="Q51" s="1254"/>
      <c r="R51" s="1254"/>
      <c r="S51" s="1254"/>
      <c r="T51" s="1254"/>
      <c r="U51" s="1254"/>
      <c r="V51" s="1254"/>
      <c r="W51" s="1254"/>
      <c r="X51" s="1254"/>
      <c r="Y51" s="1254"/>
      <c r="Z51" s="1254"/>
      <c r="AA51" s="1254"/>
      <c r="AB51" s="1254"/>
      <c r="AC51" s="1254"/>
    </row>
    <row r="52" ht="13.5" customHeight="1" spans="1:29">
      <c r="A52" s="1254"/>
      <c r="B52" s="1254"/>
      <c r="C52" s="1256" t="s">
        <v>1078</v>
      </c>
      <c r="D52" s="756"/>
      <c r="E52" s="1257">
        <f>IF(E47&lt;E48,E48/E47-1,E47/E48-1)</f>
        <v>0.225335748214469</v>
      </c>
      <c r="F52" s="1258" t="str">
        <f>IF(OR(E52&gt;=0.3,E52&lt;=-0.3),"超过30%","")</f>
        <v/>
      </c>
      <c r="G52" s="1257">
        <f>IF(G47&lt;G48,G48/G47-1,G47/G48-1)</f>
        <v>0.237727490421456</v>
      </c>
      <c r="H52" s="1258" t="str">
        <f>IF(OR(G52&gt;=0.3,G52&lt;=-0.3),"超过30%","")</f>
        <v/>
      </c>
      <c r="I52" s="1257">
        <f>IF(I47&lt;I48,I48/I47-1,I47/I48-1)</f>
        <v>0.201201201201201</v>
      </c>
      <c r="J52" s="1258" t="str">
        <f>IF(OR(I52&gt;=0.3,I52&lt;=-0.3),"超过30%","")</f>
        <v/>
      </c>
      <c r="K52" s="1342"/>
      <c r="L52" s="1343"/>
      <c r="M52" s="1254"/>
      <c r="N52" s="1254"/>
      <c r="O52" s="1254"/>
      <c r="P52" s="2478"/>
      <c r="Q52" s="1254"/>
      <c r="R52" s="1254"/>
      <c r="S52" s="1254"/>
      <c r="T52" s="1254"/>
      <c r="U52" s="1254"/>
      <c r="V52" s="1254"/>
      <c r="W52" s="1254"/>
      <c r="X52" s="1254"/>
      <c r="Y52" s="1254"/>
      <c r="Z52" s="1254"/>
      <c r="AA52" s="1254"/>
      <c r="AB52" s="1254"/>
      <c r="AC52" s="1254"/>
    </row>
    <row r="53" ht="13.5" customHeight="1" spans="1:29">
      <c r="A53" s="1254"/>
      <c r="B53" s="1254"/>
      <c r="C53" s="1256" t="s">
        <v>1079</v>
      </c>
      <c r="D53" s="755"/>
      <c r="E53" s="1257">
        <f>IF(E48&lt;G48,G48/E48-1,E48/G48-1)</f>
        <v>0.141646447732632</v>
      </c>
      <c r="F53" s="1258" t="str">
        <f>IF(OR(E53&gt;=0.2,E53&lt;=-0.2),"超过20%","")</f>
        <v/>
      </c>
      <c r="G53" s="1257">
        <f>IF(G48&lt;I48,I48/G48-1,G48/I48-1)</f>
        <v>0.00324324324324321</v>
      </c>
      <c r="H53" s="1258" t="str">
        <f>IF(OR(G53&gt;=0.2,G53&lt;=-0.2),"超过20%","")</f>
        <v/>
      </c>
      <c r="I53" s="1257">
        <f>IF(I48&lt;E48,E48/I48-1,I48/E48-1)</f>
        <v>0.137955780336944</v>
      </c>
      <c r="J53" s="1258" t="str">
        <f>IF(OR(I53&gt;=0.2,I53&lt;=-0.2),"超过20%","")</f>
        <v/>
      </c>
      <c r="K53" s="1342"/>
      <c r="L53" s="1343"/>
      <c r="M53" s="1254"/>
      <c r="N53" s="1254"/>
      <c r="O53" s="1254"/>
      <c r="P53" s="2478"/>
      <c r="Q53" s="1254"/>
      <c r="R53" s="1254"/>
      <c r="S53" s="1254"/>
      <c r="T53" s="1254"/>
      <c r="U53" s="1254"/>
      <c r="V53" s="1254"/>
      <c r="W53" s="1254"/>
      <c r="X53" s="1254"/>
      <c r="Y53" s="1254"/>
      <c r="Z53" s="1254"/>
      <c r="AA53" s="1254"/>
      <c r="AB53" s="1254"/>
      <c r="AC53" s="1254"/>
    </row>
    <row r="54" s="1130" customFormat="1" ht="13.5" customHeight="1" spans="1:29">
      <c r="A54" s="1259"/>
      <c r="B54" s="1259"/>
      <c r="C54" s="1256" t="s">
        <v>1080</v>
      </c>
      <c r="D54" s="755"/>
      <c r="E54" s="1257">
        <f>IF(E47&lt;G47,G47/E47-1,E47/G47-1)</f>
        <v>0.153191845385838</v>
      </c>
      <c r="F54" s="1258" t="str">
        <f>IF(OR(E54&gt;=0.3,E54&lt;=-0.3),"超过30%","")</f>
        <v/>
      </c>
      <c r="G54" s="1257">
        <f>IF(G47&lt;I47,I47/G47-1,G47/I47-1)</f>
        <v>0.0337499999999999</v>
      </c>
      <c r="H54" s="1258" t="str">
        <f>IF(OR(G54&gt;=0.3,G54&lt;=-0.3),"超过30%","")</f>
        <v/>
      </c>
      <c r="I54" s="1257">
        <f>IF(I47&lt;E47,E47/I47-1,I47/E47-1)</f>
        <v>0.115542292997183</v>
      </c>
      <c r="J54" s="1258" t="str">
        <f>IF(OR(I54&gt;=0.3,I54&lt;=-0.3),"超过30%","")</f>
        <v/>
      </c>
      <c r="K54" s="1344"/>
      <c r="L54" s="1345"/>
      <c r="M54" s="1259"/>
      <c r="N54" s="1259"/>
      <c r="O54" s="1259"/>
      <c r="P54" s="2479"/>
      <c r="Q54" s="1259"/>
      <c r="R54" s="1259"/>
      <c r="S54" s="1259"/>
      <c r="T54" s="1259"/>
      <c r="U54" s="1259"/>
      <c r="V54" s="1259"/>
      <c r="W54" s="1259"/>
      <c r="X54" s="1259"/>
      <c r="Y54" s="1259"/>
      <c r="Z54" s="1259"/>
      <c r="AA54" s="1259"/>
      <c r="AB54" s="1259"/>
      <c r="AC54" s="1259"/>
    </row>
    <row r="55" s="1130" customFormat="1" spans="1:29">
      <c r="A55" s="1259"/>
      <c r="B55" s="1260"/>
      <c r="C55" s="1599"/>
      <c r="D55" s="1259"/>
      <c r="E55" s="1259"/>
      <c r="F55" s="1259"/>
      <c r="G55" s="1259"/>
      <c r="H55" s="1259"/>
      <c r="I55" s="1259"/>
      <c r="J55" s="1259"/>
      <c r="K55" s="1344"/>
      <c r="L55" s="1345"/>
      <c r="M55" s="1259"/>
      <c r="N55" s="1259"/>
      <c r="O55" s="1259"/>
      <c r="P55" s="2479"/>
      <c r="Q55" s="1259"/>
      <c r="R55" s="1259"/>
      <c r="S55" s="1259"/>
      <c r="T55" s="1259"/>
      <c r="U55" s="1259"/>
      <c r="V55" s="1259"/>
      <c r="W55" s="1259"/>
      <c r="X55" s="1259"/>
      <c r="Y55" s="1259"/>
      <c r="Z55" s="1259"/>
      <c r="AA55" s="1259"/>
      <c r="AB55" s="1259"/>
      <c r="AC55" s="1259"/>
    </row>
    <row r="56" spans="1:29">
      <c r="A56" s="1254"/>
      <c r="B56" s="1260"/>
      <c r="C56" s="1599"/>
      <c r="D56" s="1254"/>
      <c r="E56" s="1254"/>
      <c r="F56" s="1254"/>
      <c r="G56" s="1254"/>
      <c r="H56" s="1254"/>
      <c r="I56" s="1254"/>
      <c r="J56" s="1254"/>
      <c r="K56" s="1342"/>
      <c r="L56" s="1343"/>
      <c r="M56" s="1254"/>
      <c r="N56" s="1254"/>
      <c r="O56" s="1254"/>
      <c r="P56" s="2478"/>
      <c r="Q56" s="1254"/>
      <c r="R56" s="1254"/>
      <c r="S56" s="1254"/>
      <c r="T56" s="1254"/>
      <c r="U56" s="1254"/>
      <c r="V56" s="1254"/>
      <c r="W56" s="1254"/>
      <c r="X56" s="1254"/>
      <c r="Y56" s="1254"/>
      <c r="Z56" s="1254"/>
      <c r="AA56" s="1254"/>
      <c r="AB56" s="1254"/>
      <c r="AC56" s="1254"/>
    </row>
    <row r="57" ht="21.75" spans="1:29">
      <c r="A57" s="1294" t="s">
        <v>1081</v>
      </c>
      <c r="B57" s="1295"/>
      <c r="C57" s="1296"/>
      <c r="D57" s="1296"/>
      <c r="E57" s="1296"/>
      <c r="F57" s="1297"/>
      <c r="G57" s="1297"/>
      <c r="H57" s="1296"/>
      <c r="I57" s="1296"/>
      <c r="J57" s="1296"/>
      <c r="K57" s="1352"/>
      <c r="L57" s="1544"/>
      <c r="M57" s="1354"/>
      <c r="N57" s="1354"/>
      <c r="O57" s="1354"/>
      <c r="P57" s="2480"/>
      <c r="Q57" s="1380"/>
      <c r="R57" s="1254"/>
      <c r="S57" s="1254"/>
      <c r="T57" s="1254"/>
      <c r="U57" s="1254"/>
      <c r="V57" s="1254"/>
      <c r="W57" s="1254"/>
      <c r="X57" s="1254"/>
      <c r="Y57" s="1254"/>
      <c r="Z57" s="1254"/>
      <c r="AA57" s="1254"/>
      <c r="AB57" s="1254"/>
      <c r="AC57" s="1254"/>
    </row>
    <row r="58" s="1132" customFormat="1" spans="1:61">
      <c r="A58" s="1600" t="s">
        <v>1029</v>
      </c>
      <c r="B58" s="1601"/>
      <c r="C58" s="1602" t="str">
        <f>YEAR(C7)&amp;"-"&amp;MONTH(C7)</f>
        <v>2025-7</v>
      </c>
      <c r="D58" s="1603">
        <f>EDATE(C58,-1)</f>
        <v>45809</v>
      </c>
      <c r="E58" s="1603">
        <f t="shared" ref="E58:P58" si="16">EDATE(D58,-1)</f>
        <v>45778</v>
      </c>
      <c r="F58" s="1603">
        <f t="shared" si="16"/>
        <v>45748</v>
      </c>
      <c r="G58" s="1603">
        <f t="shared" si="16"/>
        <v>45717</v>
      </c>
      <c r="H58" s="1603">
        <f t="shared" si="16"/>
        <v>45689</v>
      </c>
      <c r="I58" s="1603">
        <f t="shared" si="16"/>
        <v>45658</v>
      </c>
      <c r="J58" s="1603">
        <f t="shared" si="16"/>
        <v>45627</v>
      </c>
      <c r="K58" s="1603">
        <f t="shared" si="16"/>
        <v>45597</v>
      </c>
      <c r="L58" s="1603">
        <f t="shared" si="16"/>
        <v>45566</v>
      </c>
      <c r="M58" s="1603">
        <f t="shared" si="16"/>
        <v>45536</v>
      </c>
      <c r="N58" s="1603">
        <f t="shared" si="16"/>
        <v>45505</v>
      </c>
      <c r="O58" s="1603">
        <f t="shared" si="16"/>
        <v>45474</v>
      </c>
      <c r="P58" s="2481">
        <f t="shared" si="16"/>
        <v>45444</v>
      </c>
      <c r="Q58" s="2481">
        <f t="shared" ref="Q58:AC58" si="17">EDATE(P58,-1)</f>
        <v>45413</v>
      </c>
      <c r="R58" s="2481">
        <f t="shared" si="17"/>
        <v>45383</v>
      </c>
      <c r="S58" s="2481">
        <f t="shared" si="17"/>
        <v>45352</v>
      </c>
      <c r="T58" s="2481">
        <f t="shared" si="17"/>
        <v>45323</v>
      </c>
      <c r="U58" s="2481">
        <f t="shared" si="17"/>
        <v>45292</v>
      </c>
      <c r="V58" s="2481">
        <f t="shared" si="17"/>
        <v>45261</v>
      </c>
      <c r="W58" s="2481">
        <f t="shared" si="17"/>
        <v>45231</v>
      </c>
      <c r="X58" s="2481">
        <f t="shared" si="17"/>
        <v>45200</v>
      </c>
      <c r="Y58" s="2481">
        <f t="shared" si="17"/>
        <v>45170</v>
      </c>
      <c r="Z58" s="2481">
        <f t="shared" si="17"/>
        <v>45139</v>
      </c>
      <c r="AA58" s="2481">
        <f t="shared" si="17"/>
        <v>45108</v>
      </c>
      <c r="AB58" s="2481">
        <f t="shared" si="17"/>
        <v>45078</v>
      </c>
      <c r="AC58" s="2481">
        <f t="shared" si="17"/>
        <v>45047</v>
      </c>
      <c r="AD58" s="2481">
        <f t="shared" ref="AD58:AP58" si="18">EDATE(AC58,-1)</f>
        <v>45017</v>
      </c>
      <c r="AE58" s="2481">
        <f t="shared" si="18"/>
        <v>44986</v>
      </c>
      <c r="AF58" s="2481">
        <f t="shared" si="18"/>
        <v>44958</v>
      </c>
      <c r="AG58" s="2481">
        <f t="shared" si="18"/>
        <v>44927</v>
      </c>
      <c r="AH58" s="2481">
        <f t="shared" si="18"/>
        <v>44896</v>
      </c>
      <c r="AI58" s="2481">
        <f t="shared" si="18"/>
        <v>44866</v>
      </c>
      <c r="AJ58" s="2481">
        <f t="shared" si="18"/>
        <v>44835</v>
      </c>
      <c r="AK58" s="2481">
        <f t="shared" si="18"/>
        <v>44805</v>
      </c>
      <c r="AL58" s="2481">
        <f t="shared" si="18"/>
        <v>44774</v>
      </c>
      <c r="AM58" s="2481">
        <f t="shared" si="18"/>
        <v>44743</v>
      </c>
      <c r="AN58" s="2481">
        <f t="shared" si="18"/>
        <v>44713</v>
      </c>
      <c r="AO58" s="2481">
        <f t="shared" si="18"/>
        <v>44682</v>
      </c>
      <c r="AP58" s="2481">
        <f t="shared" si="18"/>
        <v>44652</v>
      </c>
      <c r="AQ58" s="2481">
        <f t="shared" ref="AQ58:BI58" si="19">EDATE(AP58,-1)</f>
        <v>44621</v>
      </c>
      <c r="AR58" s="2481">
        <f t="shared" si="19"/>
        <v>44593</v>
      </c>
      <c r="AS58" s="2481">
        <f t="shared" si="19"/>
        <v>44562</v>
      </c>
      <c r="AT58" s="2481">
        <f t="shared" si="19"/>
        <v>44531</v>
      </c>
      <c r="AU58" s="2481">
        <f t="shared" si="19"/>
        <v>44501</v>
      </c>
      <c r="AV58" s="2481">
        <f t="shared" si="19"/>
        <v>44470</v>
      </c>
      <c r="AW58" s="2481">
        <f t="shared" si="19"/>
        <v>44440</v>
      </c>
      <c r="AX58" s="2481">
        <f t="shared" si="19"/>
        <v>44409</v>
      </c>
      <c r="AY58" s="2481">
        <f t="shared" si="19"/>
        <v>44378</v>
      </c>
      <c r="AZ58" s="2481">
        <f t="shared" si="19"/>
        <v>44348</v>
      </c>
      <c r="BA58" s="2481">
        <f t="shared" si="19"/>
        <v>44317</v>
      </c>
      <c r="BB58" s="2481">
        <f t="shared" si="19"/>
        <v>44287</v>
      </c>
      <c r="BC58" s="2481">
        <f t="shared" si="19"/>
        <v>44256</v>
      </c>
      <c r="BD58" s="2481">
        <f t="shared" si="19"/>
        <v>44228</v>
      </c>
      <c r="BE58" s="2481">
        <f t="shared" si="19"/>
        <v>44197</v>
      </c>
      <c r="BF58" s="2481">
        <f t="shared" si="19"/>
        <v>44166</v>
      </c>
      <c r="BG58" s="2481">
        <f t="shared" si="19"/>
        <v>44136</v>
      </c>
      <c r="BH58" s="2481">
        <f t="shared" si="19"/>
        <v>44105</v>
      </c>
      <c r="BI58" s="2481">
        <f t="shared" si="19"/>
        <v>44075</v>
      </c>
    </row>
    <row r="59" s="1127" customFormat="1" spans="1:56">
      <c r="A59" s="1604"/>
      <c r="B59" s="1402"/>
      <c r="C59" s="1605">
        <v>100</v>
      </c>
      <c r="D59" s="1406">
        <v>100</v>
      </c>
      <c r="E59" s="1406">
        <v>100</v>
      </c>
      <c r="F59" s="1406">
        <v>100</v>
      </c>
      <c r="G59" s="1406">
        <v>100</v>
      </c>
      <c r="H59" s="1406">
        <v>100</v>
      </c>
      <c r="I59" s="1406">
        <v>101</v>
      </c>
      <c r="J59" s="1406">
        <v>101</v>
      </c>
      <c r="K59" s="1406">
        <v>101</v>
      </c>
      <c r="L59" s="1406">
        <v>101</v>
      </c>
      <c r="M59" s="1406">
        <v>101</v>
      </c>
      <c r="N59" s="1406">
        <v>101</v>
      </c>
      <c r="O59" s="1406">
        <v>101</v>
      </c>
      <c r="P59" s="1406">
        <v>101</v>
      </c>
      <c r="Q59" s="1406">
        <v>101</v>
      </c>
      <c r="R59" s="1406">
        <v>101</v>
      </c>
      <c r="S59" s="1406">
        <v>101</v>
      </c>
      <c r="T59" s="1406">
        <v>101</v>
      </c>
      <c r="U59" s="1502">
        <v>102</v>
      </c>
      <c r="V59" s="1502">
        <v>102</v>
      </c>
      <c r="W59" s="1502">
        <v>102</v>
      </c>
      <c r="X59" s="1502">
        <v>102</v>
      </c>
      <c r="Y59" s="1502">
        <v>102</v>
      </c>
      <c r="Z59" s="1502">
        <v>102</v>
      </c>
      <c r="AA59" s="1502">
        <v>102</v>
      </c>
      <c r="AB59" s="1502">
        <v>102</v>
      </c>
      <c r="AC59" s="1502">
        <v>102</v>
      </c>
      <c r="AD59" s="1502">
        <v>102</v>
      </c>
      <c r="AE59" s="1502">
        <v>102</v>
      </c>
      <c r="AF59" s="1502">
        <v>102</v>
      </c>
      <c r="AG59" s="1127">
        <v>103</v>
      </c>
      <c r="AH59" s="1127">
        <v>103</v>
      </c>
      <c r="AI59" s="1127">
        <v>103</v>
      </c>
      <c r="AJ59" s="1127">
        <v>103</v>
      </c>
      <c r="AK59" s="1127">
        <v>103</v>
      </c>
      <c r="AL59" s="1127">
        <v>103</v>
      </c>
      <c r="AM59" s="1127">
        <v>103</v>
      </c>
      <c r="AN59" s="1127">
        <v>103</v>
      </c>
      <c r="AO59" s="1127">
        <v>103</v>
      </c>
      <c r="AP59" s="1127">
        <v>103</v>
      </c>
      <c r="AQ59" s="1127">
        <v>103</v>
      </c>
      <c r="AR59" s="1127">
        <v>103</v>
      </c>
      <c r="AS59" s="1127">
        <v>104</v>
      </c>
      <c r="AT59" s="1127">
        <v>104</v>
      </c>
      <c r="AU59" s="1127">
        <v>104</v>
      </c>
      <c r="AV59" s="1127">
        <v>104</v>
      </c>
      <c r="AW59" s="1127">
        <v>104</v>
      </c>
      <c r="AX59" s="1127">
        <v>104</v>
      </c>
      <c r="AY59" s="1127">
        <v>104</v>
      </c>
      <c r="AZ59" s="1127">
        <v>104</v>
      </c>
      <c r="BA59" s="1127">
        <v>104</v>
      </c>
      <c r="BB59" s="1127">
        <v>104</v>
      </c>
      <c r="BC59" s="1127">
        <v>104</v>
      </c>
      <c r="BD59" s="1127">
        <v>104</v>
      </c>
    </row>
    <row r="60" s="1127" customFormat="1" ht="14.75" spans="1:29">
      <c r="A60" s="1397" t="s">
        <v>1082</v>
      </c>
      <c r="B60" s="1398"/>
      <c r="C60" s="1399"/>
      <c r="D60" s="1400"/>
      <c r="E60" s="1400"/>
      <c r="F60" s="1400"/>
      <c r="G60" s="1400"/>
      <c r="H60" s="1400"/>
      <c r="I60" s="1400"/>
      <c r="J60" s="1400"/>
      <c r="K60" s="1400"/>
      <c r="L60" s="1400"/>
      <c r="M60" s="1448"/>
      <c r="N60" s="1400"/>
      <c r="O60" s="1448"/>
      <c r="P60" s="2482"/>
      <c r="Q60" s="1380"/>
      <c r="R60" s="1502"/>
      <c r="S60" s="1502"/>
      <c r="T60" s="1502"/>
      <c r="U60" s="1502"/>
      <c r="V60" s="1502"/>
      <c r="W60" s="1502"/>
      <c r="X60" s="1502"/>
      <c r="Y60" s="1502"/>
      <c r="Z60" s="1502"/>
      <c r="AA60" s="1502"/>
      <c r="AB60" s="1502"/>
      <c r="AC60" s="1502"/>
    </row>
    <row r="61" s="1127" customFormat="1" spans="1:29">
      <c r="A61" s="1401" t="s">
        <v>1032</v>
      </c>
      <c r="B61" s="1402"/>
      <c r="C61" s="1403" t="s">
        <v>1083</v>
      </c>
      <c r="D61" s="1404"/>
      <c r="E61" s="1404"/>
      <c r="F61" s="1404"/>
      <c r="G61" s="1404"/>
      <c r="H61" s="1404"/>
      <c r="I61" s="1404"/>
      <c r="J61" s="1404"/>
      <c r="K61" s="1404"/>
      <c r="L61" s="1450"/>
      <c r="M61" s="1451"/>
      <c r="N61" s="1452"/>
      <c r="O61" s="1452"/>
      <c r="P61" s="2483"/>
      <c r="Q61" s="1380"/>
      <c r="R61" s="1502"/>
      <c r="S61" s="1502"/>
      <c r="T61" s="1502"/>
      <c r="U61" s="1502"/>
      <c r="V61" s="1502"/>
      <c r="W61" s="1502"/>
      <c r="X61" s="1502"/>
      <c r="Y61" s="1502"/>
      <c r="Z61" s="1502"/>
      <c r="AA61" s="1502"/>
      <c r="AB61" s="1502"/>
      <c r="AC61" s="1502"/>
    </row>
    <row r="62" s="1127" customFormat="1" ht="14.75" spans="1:29">
      <c r="A62" s="1401"/>
      <c r="B62" s="1402"/>
      <c r="C62" s="1739">
        <v>100</v>
      </c>
      <c r="D62" s="1406"/>
      <c r="E62" s="1406"/>
      <c r="F62" s="1406"/>
      <c r="G62" s="1406"/>
      <c r="H62" s="1406"/>
      <c r="I62" s="1406"/>
      <c r="J62" s="1406"/>
      <c r="K62" s="1406"/>
      <c r="L62" s="1406"/>
      <c r="M62" s="1454"/>
      <c r="N62" s="1452"/>
      <c r="O62" s="1452"/>
      <c r="P62" s="2482"/>
      <c r="Q62" s="1380"/>
      <c r="R62" s="1502"/>
      <c r="S62" s="1502"/>
      <c r="T62" s="1502"/>
      <c r="U62" s="1502"/>
      <c r="V62" s="1502"/>
      <c r="W62" s="1502"/>
      <c r="X62" s="1502"/>
      <c r="Y62" s="1502"/>
      <c r="Z62" s="1502"/>
      <c r="AA62" s="1502"/>
      <c r="AB62" s="1502"/>
      <c r="AC62" s="1502"/>
    </row>
    <row r="63" spans="1:29">
      <c r="A63" s="1407" t="s">
        <v>1084</v>
      </c>
      <c r="B63" s="1408" t="s">
        <v>1036</v>
      </c>
      <c r="C63" s="1430" t="str">
        <f>C9</f>
        <v>酒店</v>
      </c>
      <c r="D63" s="1335"/>
      <c r="E63" s="1335"/>
      <c r="F63" s="1335"/>
      <c r="G63" s="1335"/>
      <c r="H63" s="1335"/>
      <c r="I63" s="1335"/>
      <c r="J63" s="1335"/>
      <c r="K63" s="1455"/>
      <c r="L63" s="1456"/>
      <c r="M63" s="1457"/>
      <c r="N63" s="1458"/>
      <c r="O63" s="1458"/>
      <c r="P63" s="2484"/>
      <c r="Q63" s="1380"/>
      <c r="R63" s="1254"/>
      <c r="S63" s="1254"/>
      <c r="T63" s="1254"/>
      <c r="U63" s="1254"/>
      <c r="V63" s="1254"/>
      <c r="W63" s="1254"/>
      <c r="X63" s="1254"/>
      <c r="Y63" s="1254"/>
      <c r="Z63" s="1254"/>
      <c r="AA63" s="1254"/>
      <c r="AB63" s="1254"/>
      <c r="AC63" s="1254"/>
    </row>
    <row r="64" ht="14.75" spans="1:29">
      <c r="A64" s="1409"/>
      <c r="B64" s="1410"/>
      <c r="C64" s="1411">
        <v>100</v>
      </c>
      <c r="D64" s="1411"/>
      <c r="E64" s="1411"/>
      <c r="F64" s="1411"/>
      <c r="G64" s="1411"/>
      <c r="H64" s="1411"/>
      <c r="I64" s="1411"/>
      <c r="J64" s="1411"/>
      <c r="K64" s="1411"/>
      <c r="L64" s="1411"/>
      <c r="M64" s="1460"/>
      <c r="N64" s="1461"/>
      <c r="O64" s="1461"/>
      <c r="P64" s="2484"/>
      <c r="Q64" s="1380"/>
      <c r="R64" s="1254"/>
      <c r="S64" s="1254"/>
      <c r="T64" s="1254"/>
      <c r="U64" s="1254"/>
      <c r="V64" s="1254"/>
      <c r="W64" s="1254"/>
      <c r="X64" s="1254"/>
      <c r="Y64" s="1254"/>
      <c r="Z64" s="1254"/>
      <c r="AA64" s="1254"/>
      <c r="AB64" s="1254"/>
      <c r="AC64" s="1254"/>
    </row>
    <row r="65" ht="28.75" spans="1:29">
      <c r="A65" s="1409"/>
      <c r="B65" s="1412" t="s">
        <v>1039</v>
      </c>
      <c r="C65" s="1437" t="s">
        <v>1085</v>
      </c>
      <c r="D65" s="1437" t="s">
        <v>1041</v>
      </c>
      <c r="E65" s="1437" t="s">
        <v>1040</v>
      </c>
      <c r="F65" s="1437"/>
      <c r="G65" s="1437"/>
      <c r="H65" s="1437"/>
      <c r="I65" s="1437"/>
      <c r="J65" s="1437"/>
      <c r="K65" s="1488"/>
      <c r="L65" s="1489"/>
      <c r="M65" s="1490"/>
      <c r="N65" s="1458"/>
      <c r="O65" s="1458"/>
      <c r="P65" s="2484"/>
      <c r="Q65" s="1380"/>
      <c r="R65" s="1254"/>
      <c r="S65" s="1254"/>
      <c r="T65" s="1254"/>
      <c r="U65" s="1254"/>
      <c r="V65" s="1254"/>
      <c r="W65" s="1254"/>
      <c r="X65" s="1254"/>
      <c r="Y65" s="1254"/>
      <c r="Z65" s="1254"/>
      <c r="AA65" s="1254"/>
      <c r="AB65" s="1254"/>
      <c r="AC65" s="1254"/>
    </row>
    <row r="66" ht="14.75" spans="1:29">
      <c r="A66" s="1409"/>
      <c r="B66" s="1414"/>
      <c r="C66" s="1411">
        <v>100</v>
      </c>
      <c r="D66" s="1411">
        <v>95</v>
      </c>
      <c r="E66" s="1411">
        <v>90</v>
      </c>
      <c r="F66" s="1411"/>
      <c r="G66" s="1411"/>
      <c r="H66" s="1411"/>
      <c r="I66" s="1411"/>
      <c r="J66" s="1411"/>
      <c r="K66" s="1411"/>
      <c r="L66" s="1411"/>
      <c r="M66" s="1460"/>
      <c r="N66" s="1461"/>
      <c r="O66" s="1461"/>
      <c r="P66" s="2484"/>
      <c r="Q66" s="1380"/>
      <c r="R66" s="1254"/>
      <c r="S66" s="1254"/>
      <c r="T66" s="1254"/>
      <c r="U66" s="1254"/>
      <c r="V66" s="1254"/>
      <c r="W66" s="1254"/>
      <c r="X66" s="1254"/>
      <c r="Y66" s="1254"/>
      <c r="Z66" s="1254"/>
      <c r="AA66" s="1254"/>
      <c r="AB66" s="1254"/>
      <c r="AC66" s="1254"/>
    </row>
    <row r="67" ht="14.75" spans="1:29">
      <c r="A67" s="1409"/>
      <c r="B67" s="1416" t="s">
        <v>1042</v>
      </c>
      <c r="C67" s="1417" t="str">
        <f>C68&amp;"（含）"&amp;"-"&amp;D68</f>
        <v>0（含）-1</v>
      </c>
      <c r="D67" s="1417" t="str">
        <f t="shared" ref="D67:L67" si="20">D68&amp;"（含）"&amp;"-"&amp;E68</f>
        <v>1（含）-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461"/>
      <c r="O67" s="1461"/>
      <c r="P67" s="2484"/>
      <c r="Q67" s="1380"/>
      <c r="R67" s="1254"/>
      <c r="S67" s="1254"/>
      <c r="T67" s="1254"/>
      <c r="U67" s="1254"/>
      <c r="V67" s="1254"/>
      <c r="W67" s="1254"/>
      <c r="X67" s="1254"/>
      <c r="Y67" s="1254"/>
      <c r="Z67" s="1254"/>
      <c r="AA67" s="1254"/>
      <c r="AB67" s="1254"/>
      <c r="AC67" s="1254"/>
    </row>
    <row r="68" spans="1:29">
      <c r="A68" s="1409"/>
      <c r="B68" s="1418"/>
      <c r="C68" s="1187">
        <v>0</v>
      </c>
      <c r="D68" s="1187">
        <v>1</v>
      </c>
      <c r="E68" s="1187"/>
      <c r="F68" s="1187"/>
      <c r="G68" s="1187"/>
      <c r="H68" s="1187"/>
      <c r="I68" s="1187"/>
      <c r="J68" s="1187"/>
      <c r="K68" s="1466"/>
      <c r="L68" s="1467"/>
      <c r="M68" s="1468"/>
      <c r="N68" s="1458"/>
      <c r="O68" s="1458"/>
      <c r="P68" s="2484"/>
      <c r="Q68" s="1380"/>
      <c r="R68" s="1254"/>
      <c r="S68" s="1254"/>
      <c r="T68" s="1254"/>
      <c r="U68" s="1254"/>
      <c r="V68" s="1254"/>
      <c r="W68" s="1254"/>
      <c r="X68" s="1254"/>
      <c r="Y68" s="1254"/>
      <c r="Z68" s="1254"/>
      <c r="AA68" s="1254"/>
      <c r="AB68" s="1254"/>
      <c r="AC68" s="1254"/>
    </row>
    <row r="69" ht="14.75" spans="1:29">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461"/>
      <c r="O69" s="1461"/>
      <c r="P69" s="2484"/>
      <c r="Q69" s="1380"/>
      <c r="R69" s="1254"/>
      <c r="S69" s="1254"/>
      <c r="T69" s="1254"/>
      <c r="U69" s="1254"/>
      <c r="V69" s="1254"/>
      <c r="W69" s="1254"/>
      <c r="X69" s="1254"/>
      <c r="Y69" s="1254"/>
      <c r="Z69" s="1254"/>
      <c r="AA69" s="1254"/>
      <c r="AB69" s="1254"/>
      <c r="AC69" s="1254"/>
    </row>
    <row r="70" s="1129" customFormat="1" ht="14.75" spans="1:29">
      <c r="A70" s="1419"/>
      <c r="B70" s="1412">
        <f>B12</f>
        <v>111</v>
      </c>
      <c r="C70" s="1420"/>
      <c r="D70" s="1420"/>
      <c r="E70" s="1420"/>
      <c r="F70" s="1420"/>
      <c r="G70" s="1420"/>
      <c r="H70" s="1421"/>
      <c r="I70" s="1421"/>
      <c r="J70" s="1421"/>
      <c r="K70" s="1421"/>
      <c r="L70" s="1469"/>
      <c r="M70" s="1470"/>
      <c r="N70" s="1471"/>
      <c r="O70" s="1471"/>
      <c r="P70" s="2491"/>
      <c r="Q70" s="1503"/>
      <c r="R70" s="1504"/>
      <c r="S70" s="1504"/>
      <c r="T70" s="1504"/>
      <c r="U70" s="1504"/>
      <c r="V70" s="1504"/>
      <c r="W70" s="1504"/>
      <c r="X70" s="1504"/>
      <c r="Y70" s="1504"/>
      <c r="Z70" s="1504"/>
      <c r="AA70" s="1504"/>
      <c r="AB70" s="1504"/>
      <c r="AC70" s="1504"/>
    </row>
    <row r="71" s="1129" customFormat="1" ht="14.75" spans="1:29">
      <c r="A71" s="1419"/>
      <c r="B71" s="1414"/>
      <c r="C71" s="1422"/>
      <c r="D71" s="1411"/>
      <c r="E71" s="1411"/>
      <c r="F71" s="1411"/>
      <c r="G71" s="1411"/>
      <c r="H71" s="1411"/>
      <c r="I71" s="1411"/>
      <c r="J71" s="1411"/>
      <c r="K71" s="1411"/>
      <c r="L71" s="1411"/>
      <c r="M71" s="1460"/>
      <c r="N71" s="1461"/>
      <c r="O71" s="1461"/>
      <c r="P71" s="2491"/>
      <c r="Q71" s="1503"/>
      <c r="R71" s="1504"/>
      <c r="S71" s="1504"/>
      <c r="T71" s="1504"/>
      <c r="U71" s="1504"/>
      <c r="V71" s="1504"/>
      <c r="W71" s="1504"/>
      <c r="X71" s="1504"/>
      <c r="Y71" s="1504"/>
      <c r="Z71" s="1504"/>
      <c r="AA71" s="1504"/>
      <c r="AB71" s="1504"/>
      <c r="AC71" s="1504"/>
    </row>
    <row r="72" s="1129" customFormat="1" ht="14.75" spans="1:29">
      <c r="A72" s="1419"/>
      <c r="B72" s="1412">
        <f>B13</f>
        <v>111</v>
      </c>
      <c r="C72" s="1420"/>
      <c r="D72" s="1420"/>
      <c r="E72" s="1420"/>
      <c r="F72" s="1420"/>
      <c r="G72" s="1420"/>
      <c r="H72" s="1421"/>
      <c r="I72" s="1421"/>
      <c r="J72" s="1421"/>
      <c r="K72" s="1421"/>
      <c r="L72" s="1469"/>
      <c r="M72" s="1470"/>
      <c r="N72" s="1471"/>
      <c r="O72" s="1471"/>
      <c r="P72" s="2492"/>
      <c r="Q72" s="1505"/>
      <c r="R72" s="1504"/>
      <c r="S72" s="1504"/>
      <c r="T72" s="1504"/>
      <c r="U72" s="1504"/>
      <c r="V72" s="1504"/>
      <c r="W72" s="1504"/>
      <c r="X72" s="1504"/>
      <c r="Y72" s="1504"/>
      <c r="Z72" s="1504"/>
      <c r="AA72" s="1504"/>
      <c r="AB72" s="1504"/>
      <c r="AC72" s="1504"/>
    </row>
    <row r="73" s="1129" customFormat="1" ht="14.75" spans="1:29">
      <c r="A73" s="1419"/>
      <c r="B73" s="1414"/>
      <c r="C73" s="1422"/>
      <c r="D73" s="1411"/>
      <c r="E73" s="1411"/>
      <c r="F73" s="1411"/>
      <c r="G73" s="1422"/>
      <c r="H73" s="1423"/>
      <c r="I73" s="1423"/>
      <c r="J73" s="1423"/>
      <c r="K73" s="1423"/>
      <c r="L73" s="1423"/>
      <c r="M73" s="1473"/>
      <c r="N73" s="1471"/>
      <c r="O73" s="1471"/>
      <c r="P73" s="2491"/>
      <c r="Q73" s="1503"/>
      <c r="R73" s="1504"/>
      <c r="S73" s="1504"/>
      <c r="T73" s="1504"/>
      <c r="U73" s="1504"/>
      <c r="V73" s="1504"/>
      <c r="W73" s="1504"/>
      <c r="X73" s="1504"/>
      <c r="Y73" s="1504"/>
      <c r="Z73" s="1504"/>
      <c r="AA73" s="1504"/>
      <c r="AB73" s="1504"/>
      <c r="AC73" s="1504"/>
    </row>
    <row r="74" s="1129" customFormat="1" ht="14.75" spans="1:29">
      <c r="A74" s="1419"/>
      <c r="B74" s="1416">
        <f>B14</f>
        <v>111</v>
      </c>
      <c r="C74" s="1420"/>
      <c r="D74" s="1420"/>
      <c r="E74" s="1420"/>
      <c r="F74" s="1420"/>
      <c r="G74" s="1404"/>
      <c r="H74" s="1424"/>
      <c r="I74" s="1424"/>
      <c r="J74" s="1424"/>
      <c r="K74" s="1424"/>
      <c r="L74" s="1474"/>
      <c r="M74" s="1475"/>
      <c r="N74" s="1471"/>
      <c r="O74" s="1471"/>
      <c r="P74" s="2493"/>
      <c r="Q74" s="1503"/>
      <c r="R74" s="1504"/>
      <c r="S74" s="1504"/>
      <c r="T74" s="1504"/>
      <c r="U74" s="1504"/>
      <c r="V74" s="1504"/>
      <c r="W74" s="1504"/>
      <c r="X74" s="1504"/>
      <c r="Y74" s="1504"/>
      <c r="Z74" s="1504"/>
      <c r="AA74" s="1504"/>
      <c r="AB74" s="1504"/>
      <c r="AC74" s="1504"/>
    </row>
    <row r="75" s="1129" customFormat="1" ht="14.75" spans="1:29">
      <c r="A75" s="1425"/>
      <c r="B75" s="1426"/>
      <c r="C75" s="1427"/>
      <c r="D75" s="1427"/>
      <c r="E75" s="1427"/>
      <c r="F75" s="1427"/>
      <c r="G75" s="1427"/>
      <c r="H75" s="1428"/>
      <c r="I75" s="1428"/>
      <c r="J75" s="1428"/>
      <c r="K75" s="1428"/>
      <c r="L75" s="1428"/>
      <c r="M75" s="1477"/>
      <c r="N75" s="1471"/>
      <c r="O75" s="1471"/>
      <c r="P75" s="2491"/>
      <c r="Q75" s="1503"/>
      <c r="R75" s="1504"/>
      <c r="S75" s="1504"/>
      <c r="T75" s="1504"/>
      <c r="U75" s="1504"/>
      <c r="V75" s="1504"/>
      <c r="W75" s="1504"/>
      <c r="X75" s="1504"/>
      <c r="Y75" s="1504"/>
      <c r="Z75" s="1504"/>
      <c r="AA75" s="1504"/>
      <c r="AB75" s="1504"/>
      <c r="AC75" s="1504"/>
    </row>
    <row r="76" spans="1:29">
      <c r="A76" s="1407" t="s">
        <v>1043</v>
      </c>
      <c r="B76" s="1408" t="s">
        <v>1086</v>
      </c>
      <c r="C76" s="1429" t="s">
        <v>1087</v>
      </c>
      <c r="D76" s="1429" t="s">
        <v>1088</v>
      </c>
      <c r="E76" s="1429" t="s">
        <v>1089</v>
      </c>
      <c r="F76" s="1429" t="s">
        <v>1090</v>
      </c>
      <c r="G76" s="1429" t="s">
        <v>1091</v>
      </c>
      <c r="H76" s="1430"/>
      <c r="I76" s="1430"/>
      <c r="J76" s="1430"/>
      <c r="K76" s="1478"/>
      <c r="L76" s="1479"/>
      <c r="M76" s="1480"/>
      <c r="N76" s="1458"/>
      <c r="O76" s="1458"/>
      <c r="P76" s="2494"/>
      <c r="Q76" s="1380"/>
      <c r="R76" s="1254"/>
      <c r="S76" s="1254"/>
      <c r="T76" s="1254"/>
      <c r="U76" s="1254"/>
      <c r="V76" s="1254"/>
      <c r="W76" s="1254"/>
      <c r="X76" s="1254"/>
      <c r="Y76" s="1254"/>
      <c r="Z76" s="1254"/>
      <c r="AA76" s="1254"/>
      <c r="AB76" s="1254"/>
      <c r="AC76" s="1254"/>
    </row>
    <row r="77" ht="14.75" spans="1:29">
      <c r="A77" s="1409"/>
      <c r="B77" s="1414"/>
      <c r="C77" s="1415">
        <v>100</v>
      </c>
      <c r="D77" s="1415">
        <f>C77-$K15</f>
        <v>90</v>
      </c>
      <c r="E77" s="1415">
        <f>D77-$K15</f>
        <v>80</v>
      </c>
      <c r="F77" s="1415">
        <f>E77-$K15</f>
        <v>70</v>
      </c>
      <c r="G77" s="1415">
        <f>F77-$K15</f>
        <v>60</v>
      </c>
      <c r="H77" s="1415"/>
      <c r="I77" s="1415"/>
      <c r="J77" s="1415"/>
      <c r="K77" s="1415"/>
      <c r="L77" s="1415"/>
      <c r="M77" s="1465"/>
      <c r="N77" s="1461"/>
      <c r="O77" s="1461"/>
      <c r="P77" s="2484"/>
      <c r="Q77" s="1380"/>
      <c r="R77" s="1254"/>
      <c r="S77" s="1254"/>
      <c r="T77" s="1254"/>
      <c r="U77" s="1254"/>
      <c r="V77" s="1254"/>
      <c r="W77" s="1254"/>
      <c r="X77" s="1254"/>
      <c r="Y77" s="1254"/>
      <c r="Z77" s="1254"/>
      <c r="AA77" s="1254"/>
      <c r="AB77" s="1254"/>
      <c r="AC77" s="1254"/>
    </row>
    <row r="78" ht="14.75" spans="1:29">
      <c r="A78" s="1409"/>
      <c r="B78" s="1412" t="s">
        <v>1048</v>
      </c>
      <c r="C78" s="1431" t="s">
        <v>1087</v>
      </c>
      <c r="D78" s="1431" t="s">
        <v>1088</v>
      </c>
      <c r="E78" s="1431" t="s">
        <v>1089</v>
      </c>
      <c r="F78" s="1431" t="s">
        <v>1090</v>
      </c>
      <c r="G78" s="1431" t="s">
        <v>1091</v>
      </c>
      <c r="H78" s="1413"/>
      <c r="I78" s="1413"/>
      <c r="J78" s="1413"/>
      <c r="K78" s="1462"/>
      <c r="L78" s="1463"/>
      <c r="M78" s="1464"/>
      <c r="N78" s="1458"/>
      <c r="O78" s="1458"/>
      <c r="P78" s="2484"/>
      <c r="Q78" s="1380"/>
      <c r="R78" s="1254"/>
      <c r="S78" s="1254"/>
      <c r="T78" s="1254"/>
      <c r="U78" s="1254"/>
      <c r="V78" s="1254"/>
      <c r="W78" s="1254"/>
      <c r="X78" s="1254"/>
      <c r="Y78" s="1254"/>
      <c r="Z78" s="1254"/>
      <c r="AA78" s="1254"/>
      <c r="AB78" s="1254"/>
      <c r="AC78" s="1254"/>
    </row>
    <row r="79" ht="14.75" spans="1:29">
      <c r="A79" s="1409"/>
      <c r="B79" s="1414"/>
      <c r="C79" s="1415">
        <v>100</v>
      </c>
      <c r="D79" s="1415">
        <f>C79-$K17</f>
        <v>95</v>
      </c>
      <c r="E79" s="1415">
        <f>D79-$K17</f>
        <v>90</v>
      </c>
      <c r="F79" s="1415">
        <f>E79-$K17</f>
        <v>85</v>
      </c>
      <c r="G79" s="1415">
        <f>F79-$K17</f>
        <v>80</v>
      </c>
      <c r="H79" s="1415"/>
      <c r="I79" s="1415"/>
      <c r="J79" s="1415"/>
      <c r="K79" s="1415"/>
      <c r="L79" s="1415"/>
      <c r="M79" s="1465"/>
      <c r="N79" s="1461"/>
      <c r="O79" s="1461"/>
      <c r="P79" s="2484"/>
      <c r="Q79" s="1380"/>
      <c r="R79" s="1254"/>
      <c r="S79" s="1254"/>
      <c r="T79" s="1254"/>
      <c r="U79" s="1254"/>
      <c r="V79" s="1254"/>
      <c r="W79" s="1254"/>
      <c r="X79" s="1254"/>
      <c r="Y79" s="1254"/>
      <c r="Z79" s="1254"/>
      <c r="AA79" s="1254"/>
      <c r="AB79" s="1254"/>
      <c r="AC79" s="1254"/>
    </row>
    <row r="80" ht="14.75" spans="1:29">
      <c r="A80" s="1409"/>
      <c r="B80" s="1412" t="s">
        <v>1049</v>
      </c>
      <c r="C80" s="1431" t="s">
        <v>1087</v>
      </c>
      <c r="D80" s="1431" t="s">
        <v>1088</v>
      </c>
      <c r="E80" s="1431" t="s">
        <v>1089</v>
      </c>
      <c r="F80" s="1431" t="s">
        <v>1090</v>
      </c>
      <c r="G80" s="1431" t="s">
        <v>1091</v>
      </c>
      <c r="H80" s="1413"/>
      <c r="I80" s="1413"/>
      <c r="J80" s="1413"/>
      <c r="K80" s="1462"/>
      <c r="L80" s="1463"/>
      <c r="M80" s="1464"/>
      <c r="N80" s="1458"/>
      <c r="O80" s="1458"/>
      <c r="P80" s="2484"/>
      <c r="Q80" s="1380"/>
      <c r="R80" s="1254"/>
      <c r="S80" s="1254"/>
      <c r="T80" s="1254"/>
      <c r="U80" s="1254"/>
      <c r="V80" s="1254"/>
      <c r="W80" s="1254"/>
      <c r="X80" s="1254"/>
      <c r="Y80" s="1254"/>
      <c r="Z80" s="1254"/>
      <c r="AA80" s="1254"/>
      <c r="AB80" s="1254"/>
      <c r="AC80" s="1254"/>
    </row>
    <row r="81" ht="14.75" spans="1:29">
      <c r="A81" s="1409"/>
      <c r="B81" s="1414"/>
      <c r="C81" s="1415">
        <v>100</v>
      </c>
      <c r="D81" s="1415">
        <f>C81-$K19</f>
        <v>95</v>
      </c>
      <c r="E81" s="1415">
        <f>D81-$K19</f>
        <v>90</v>
      </c>
      <c r="F81" s="1415">
        <f>E81-$K19</f>
        <v>85</v>
      </c>
      <c r="G81" s="1415">
        <f>F81-$K19</f>
        <v>80</v>
      </c>
      <c r="H81" s="1415"/>
      <c r="I81" s="1415"/>
      <c r="J81" s="1415"/>
      <c r="K81" s="1415"/>
      <c r="L81" s="1415"/>
      <c r="M81" s="1465"/>
      <c r="N81" s="1461"/>
      <c r="O81" s="1461"/>
      <c r="P81" s="2484"/>
      <c r="Q81" s="1380"/>
      <c r="R81" s="1254"/>
      <c r="S81" s="1254"/>
      <c r="T81" s="1254"/>
      <c r="U81" s="1254"/>
      <c r="V81" s="1254"/>
      <c r="W81" s="1254"/>
      <c r="X81" s="1254"/>
      <c r="Y81" s="1254"/>
      <c r="Z81" s="1254"/>
      <c r="AA81" s="1254"/>
      <c r="AB81" s="1254"/>
      <c r="AC81" s="1254"/>
    </row>
    <row r="82" ht="14.75" spans="1:29">
      <c r="A82" s="1409"/>
      <c r="B82" s="1416" t="s">
        <v>1050</v>
      </c>
      <c r="C82" s="1436" t="s">
        <v>1092</v>
      </c>
      <c r="D82" s="1436" t="s">
        <v>1093</v>
      </c>
      <c r="E82" s="1436" t="s">
        <v>1094</v>
      </c>
      <c r="F82" s="1436" t="s">
        <v>1095</v>
      </c>
      <c r="G82" s="1436" t="s">
        <v>1096</v>
      </c>
      <c r="H82" s="1413"/>
      <c r="I82" s="1413"/>
      <c r="J82" s="1413"/>
      <c r="K82" s="1413"/>
      <c r="L82" s="1413"/>
      <c r="M82" s="1618"/>
      <c r="N82" s="1461"/>
      <c r="O82" s="1461"/>
      <c r="P82" s="2484"/>
      <c r="Q82" s="1380"/>
      <c r="R82" s="1254"/>
      <c r="S82" s="1254"/>
      <c r="T82" s="1254"/>
      <c r="U82" s="1254"/>
      <c r="V82" s="1254"/>
      <c r="W82" s="1254"/>
      <c r="X82" s="1254"/>
      <c r="Y82" s="1254"/>
      <c r="Z82" s="1254"/>
      <c r="AA82" s="1254"/>
      <c r="AB82" s="1254"/>
      <c r="AC82" s="1254"/>
    </row>
    <row r="83" ht="14.75" spans="1:29">
      <c r="A83" s="1409"/>
      <c r="B83" s="1416"/>
      <c r="C83" s="1415">
        <v>100</v>
      </c>
      <c r="D83" s="1415">
        <f>C83-$K21</f>
        <v>95</v>
      </c>
      <c r="E83" s="1415">
        <f t="shared" ref="E83:G83" si="22">D83-$K21</f>
        <v>90</v>
      </c>
      <c r="F83" s="1415">
        <f t="shared" si="22"/>
        <v>85</v>
      </c>
      <c r="G83" s="1415">
        <f t="shared" si="22"/>
        <v>80</v>
      </c>
      <c r="H83" s="1436"/>
      <c r="I83" s="1436"/>
      <c r="J83" s="1436"/>
      <c r="K83" s="1436"/>
      <c r="L83" s="1436"/>
      <c r="M83" s="1203"/>
      <c r="N83" s="1461"/>
      <c r="O83" s="1461"/>
      <c r="P83" s="2484"/>
      <c r="Q83" s="1380"/>
      <c r="R83" s="1254"/>
      <c r="S83" s="1254"/>
      <c r="T83" s="1254"/>
      <c r="U83" s="1254"/>
      <c r="V83" s="1254"/>
      <c r="W83" s="1254"/>
      <c r="X83" s="1254"/>
      <c r="Y83" s="1254"/>
      <c r="Z83" s="1254"/>
      <c r="AA83" s="1254"/>
      <c r="AB83" s="1254"/>
      <c r="AC83" s="1254"/>
    </row>
    <row r="84" ht="14.75" spans="1:29">
      <c r="A84" s="1409"/>
      <c r="B84" s="1412" t="s">
        <v>1051</v>
      </c>
      <c r="C84" s="1431" t="s">
        <v>1087</v>
      </c>
      <c r="D84" s="1431" t="s">
        <v>1088</v>
      </c>
      <c r="E84" s="1431" t="s">
        <v>1089</v>
      </c>
      <c r="F84" s="1431" t="s">
        <v>1090</v>
      </c>
      <c r="G84" s="1431" t="s">
        <v>1091</v>
      </c>
      <c r="H84" s="1413"/>
      <c r="I84" s="1413"/>
      <c r="J84" s="1413"/>
      <c r="K84" s="1462"/>
      <c r="L84" s="1463"/>
      <c r="M84" s="1464"/>
      <c r="N84" s="1458"/>
      <c r="O84" s="1458"/>
      <c r="P84" s="2484"/>
      <c r="Q84" s="1380"/>
      <c r="R84" s="1254"/>
      <c r="S84" s="1254"/>
      <c r="T84" s="1254"/>
      <c r="U84" s="1254"/>
      <c r="V84" s="1254"/>
      <c r="W84" s="1254"/>
      <c r="X84" s="1254"/>
      <c r="Y84" s="1254"/>
      <c r="Z84" s="1254"/>
      <c r="AA84" s="1254"/>
      <c r="AB84" s="1254"/>
      <c r="AC84" s="1254"/>
    </row>
    <row r="85" ht="14.75" spans="1:29">
      <c r="A85" s="1409"/>
      <c r="B85" s="1414"/>
      <c r="C85" s="1415">
        <v>100</v>
      </c>
      <c r="D85" s="1415">
        <f>C85-$K23</f>
        <v>95</v>
      </c>
      <c r="E85" s="1415">
        <f>D85-$K23</f>
        <v>90</v>
      </c>
      <c r="F85" s="1415">
        <f>E85-$K23</f>
        <v>85</v>
      </c>
      <c r="G85" s="1415">
        <f>F85-$K23</f>
        <v>80</v>
      </c>
      <c r="H85" s="1415"/>
      <c r="I85" s="1415"/>
      <c r="J85" s="1415"/>
      <c r="K85" s="1415"/>
      <c r="L85" s="1415"/>
      <c r="M85" s="1465"/>
      <c r="N85" s="1461"/>
      <c r="O85" s="1461"/>
      <c r="P85" s="2484"/>
      <c r="Q85" s="1380"/>
      <c r="R85" s="1254"/>
      <c r="S85" s="1254"/>
      <c r="T85" s="1254"/>
      <c r="U85" s="1254"/>
      <c r="V85" s="1254"/>
      <c r="W85" s="1254"/>
      <c r="X85" s="1254"/>
      <c r="Y85" s="1254"/>
      <c r="Z85" s="1254"/>
      <c r="AA85" s="1254"/>
      <c r="AB85" s="1254"/>
      <c r="AC85" s="1254"/>
    </row>
    <row r="86" s="1127" customFormat="1" ht="14.75" spans="1:29">
      <c r="A86" s="1432"/>
      <c r="B86" s="1412" t="s">
        <v>1052</v>
      </c>
      <c r="C86" s="1420"/>
      <c r="D86" s="1420"/>
      <c r="E86" s="1420"/>
      <c r="F86" s="1420"/>
      <c r="G86" s="1420"/>
      <c r="H86" s="1420"/>
      <c r="I86" s="1420"/>
      <c r="J86" s="1420"/>
      <c r="K86" s="1420"/>
      <c r="L86" s="1619"/>
      <c r="M86" s="1620"/>
      <c r="N86" s="1452"/>
      <c r="O86" s="1452"/>
      <c r="P86" s="2484"/>
      <c r="Q86" s="1380"/>
      <c r="R86" s="1502"/>
      <c r="S86" s="1502"/>
      <c r="T86" s="1502"/>
      <c r="U86" s="1502"/>
      <c r="V86" s="1502"/>
      <c r="W86" s="1502"/>
      <c r="X86" s="1502"/>
      <c r="Y86" s="1502"/>
      <c r="Z86" s="1502"/>
      <c r="AA86" s="1502"/>
      <c r="AB86" s="1502"/>
      <c r="AC86" s="1502"/>
    </row>
    <row r="87" s="1127" customFormat="1" ht="14.75" spans="1:29">
      <c r="A87" s="1432"/>
      <c r="B87" s="1414"/>
      <c r="C87" s="1433">
        <v>100</v>
      </c>
      <c r="D87" s="1415">
        <f t="shared" ref="D87:M87" si="23">C87-$K25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461"/>
      <c r="O87" s="1461"/>
      <c r="P87" s="2484"/>
      <c r="Q87" s="1380"/>
      <c r="R87" s="1502"/>
      <c r="S87" s="1502"/>
      <c r="T87" s="1502"/>
      <c r="U87" s="1502"/>
      <c r="V87" s="1502"/>
      <c r="W87" s="1502"/>
      <c r="X87" s="1502"/>
      <c r="Y87" s="1502"/>
      <c r="Z87" s="1502"/>
      <c r="AA87" s="1502"/>
      <c r="AB87" s="1502"/>
      <c r="AC87" s="1502"/>
    </row>
    <row r="88" s="1127" customFormat="1" ht="14.75" spans="1:29">
      <c r="A88" s="1432"/>
      <c r="B88" s="1412" t="str">
        <f>B26</f>
        <v>平面位置/可视性</v>
      </c>
      <c r="C88" s="1420"/>
      <c r="D88" s="1420"/>
      <c r="E88" s="1420"/>
      <c r="F88" s="1762"/>
      <c r="G88" s="1420"/>
      <c r="H88" s="1420"/>
      <c r="I88" s="1420"/>
      <c r="J88" s="1420"/>
      <c r="K88" s="1420"/>
      <c r="L88" s="1420"/>
      <c r="M88" s="1620"/>
      <c r="N88" s="1452"/>
      <c r="O88" s="1452"/>
      <c r="P88" s="2484"/>
      <c r="Q88" s="1380"/>
      <c r="R88" s="1502"/>
      <c r="S88" s="1502"/>
      <c r="T88" s="1502"/>
      <c r="U88" s="1502"/>
      <c r="V88" s="1502"/>
      <c r="W88" s="1502"/>
      <c r="X88" s="1502"/>
      <c r="Y88" s="1502"/>
      <c r="Z88" s="1502"/>
      <c r="AA88" s="1502"/>
      <c r="AB88" s="1502"/>
      <c r="AC88" s="1502"/>
    </row>
    <row r="89" s="1127" customFormat="1" ht="14.75" spans="1:29">
      <c r="A89" s="1432"/>
      <c r="B89" s="1414"/>
      <c r="C89" s="1422"/>
      <c r="D89" s="1411"/>
      <c r="E89" s="1411"/>
      <c r="F89" s="1411"/>
      <c r="G89" s="1411"/>
      <c r="H89" s="1411"/>
      <c r="I89" s="1411"/>
      <c r="J89" s="1411"/>
      <c r="K89" s="1411"/>
      <c r="L89" s="1411"/>
      <c r="M89" s="1411"/>
      <c r="N89" s="1461"/>
      <c r="O89" s="1461"/>
      <c r="P89" s="2484"/>
      <c r="Q89" s="1380"/>
      <c r="R89" s="1502"/>
      <c r="S89" s="1502"/>
      <c r="T89" s="1502"/>
      <c r="U89" s="1502"/>
      <c r="V89" s="1502"/>
      <c r="W89" s="1502"/>
      <c r="X89" s="1502"/>
      <c r="Y89" s="1502"/>
      <c r="Z89" s="1502"/>
      <c r="AA89" s="1502"/>
      <c r="AB89" s="1502"/>
      <c r="AC89" s="1502"/>
    </row>
    <row r="90" s="1129" customFormat="1" ht="14.75" spans="1:29">
      <c r="A90" s="1419"/>
      <c r="B90" s="1412" t="str">
        <f>B27</f>
        <v>人流量</v>
      </c>
      <c r="C90" s="1420"/>
      <c r="D90" s="1420"/>
      <c r="E90" s="1420"/>
      <c r="F90" s="1420"/>
      <c r="G90" s="1420"/>
      <c r="H90" s="1421"/>
      <c r="I90" s="1421"/>
      <c r="J90" s="1421"/>
      <c r="K90" s="1421"/>
      <c r="L90" s="1469"/>
      <c r="M90" s="1470"/>
      <c r="N90" s="1471"/>
      <c r="O90" s="1471"/>
      <c r="P90" s="2491"/>
      <c r="Q90" s="1503"/>
      <c r="R90" s="1504"/>
      <c r="S90" s="1504"/>
      <c r="T90" s="1504"/>
      <c r="U90" s="1504"/>
      <c r="V90" s="1504"/>
      <c r="W90" s="1504"/>
      <c r="X90" s="1504"/>
      <c r="Y90" s="1504"/>
      <c r="Z90" s="1504"/>
      <c r="AA90" s="1504"/>
      <c r="AB90" s="1504"/>
      <c r="AC90" s="1504"/>
    </row>
    <row r="91" s="1129" customFormat="1" ht="14.75" spans="1:29">
      <c r="A91" s="1419"/>
      <c r="B91" s="1414"/>
      <c r="C91" s="1433">
        <v>100</v>
      </c>
      <c r="D91" s="1415">
        <f>C91-$K27</f>
        <v>100</v>
      </c>
      <c r="E91" s="1415">
        <f t="shared" ref="E91:M91" si="24">D91-$K27</f>
        <v>100</v>
      </c>
      <c r="F91" s="1415">
        <f t="shared" si="24"/>
        <v>100</v>
      </c>
      <c r="G91" s="1415">
        <f t="shared" si="24"/>
        <v>100</v>
      </c>
      <c r="H91" s="1415">
        <f t="shared" si="24"/>
        <v>100</v>
      </c>
      <c r="I91" s="1415">
        <f t="shared" si="24"/>
        <v>100</v>
      </c>
      <c r="J91" s="1415">
        <f t="shared" si="24"/>
        <v>100</v>
      </c>
      <c r="K91" s="1415">
        <f t="shared" si="24"/>
        <v>100</v>
      </c>
      <c r="L91" s="1415">
        <f t="shared" si="24"/>
        <v>100</v>
      </c>
      <c r="M91" s="1415">
        <f t="shared" si="24"/>
        <v>100</v>
      </c>
      <c r="N91" s="1471"/>
      <c r="O91" s="1471"/>
      <c r="P91" s="2491"/>
      <c r="Q91" s="1503"/>
      <c r="R91" s="1504"/>
      <c r="S91" s="1504"/>
      <c r="T91" s="1504"/>
      <c r="U91" s="1504"/>
      <c r="V91" s="1504"/>
      <c r="W91" s="1504"/>
      <c r="X91" s="1504"/>
      <c r="Y91" s="1504"/>
      <c r="Z91" s="1504"/>
      <c r="AA91" s="1504"/>
      <c r="AB91" s="1504"/>
      <c r="AC91" s="1504"/>
    </row>
    <row r="92" ht="14.75" spans="1:29">
      <c r="A92" s="1409"/>
      <c r="B92" s="1412" t="str">
        <f>B28</f>
        <v>楼层</v>
      </c>
      <c r="C92" s="1420"/>
      <c r="D92" s="1420"/>
      <c r="E92" s="1420"/>
      <c r="F92" s="1420"/>
      <c r="G92" s="1420"/>
      <c r="H92" s="1420"/>
      <c r="I92" s="1420"/>
      <c r="J92" s="1420"/>
      <c r="K92" s="1420"/>
      <c r="L92" s="1619"/>
      <c r="M92" s="1620"/>
      <c r="N92" s="1458"/>
      <c r="O92" s="1458"/>
      <c r="P92" s="2484"/>
      <c r="Q92" s="1380"/>
      <c r="R92" s="1254"/>
      <c r="S92" s="1254"/>
      <c r="T92" s="1254"/>
      <c r="U92" s="1254"/>
      <c r="V92" s="1254"/>
      <c r="W92" s="1254"/>
      <c r="X92" s="1254"/>
      <c r="Y92" s="1254"/>
      <c r="Z92" s="1254"/>
      <c r="AA92" s="1254"/>
      <c r="AB92" s="1254"/>
      <c r="AC92" s="1254"/>
    </row>
    <row r="93" ht="14.75" spans="1:29">
      <c r="A93" s="1409"/>
      <c r="B93" s="1414"/>
      <c r="C93" s="1411"/>
      <c r="D93" s="1411"/>
      <c r="E93" s="1411"/>
      <c r="F93" s="1411"/>
      <c r="G93" s="1411"/>
      <c r="H93" s="1411"/>
      <c r="I93" s="1411"/>
      <c r="J93" s="1411"/>
      <c r="K93" s="1411"/>
      <c r="L93" s="1411"/>
      <c r="M93" s="1460"/>
      <c r="N93" s="1461"/>
      <c r="O93" s="1461"/>
      <c r="P93" s="2484"/>
      <c r="Q93" s="1380"/>
      <c r="R93" s="1254"/>
      <c r="S93" s="1254"/>
      <c r="T93" s="1254"/>
      <c r="U93" s="1254"/>
      <c r="V93" s="1254"/>
      <c r="W93" s="1254"/>
      <c r="X93" s="1254"/>
      <c r="Y93" s="1254"/>
      <c r="Z93" s="1254"/>
      <c r="AA93" s="1254"/>
      <c r="AB93" s="1254"/>
      <c r="AC93" s="1254"/>
    </row>
    <row r="94" ht="14.75" spans="1:29">
      <c r="A94" s="1409"/>
      <c r="B94" s="1412">
        <f>B29</f>
        <v>111</v>
      </c>
      <c r="C94" s="1420"/>
      <c r="D94" s="1420"/>
      <c r="E94" s="1420"/>
      <c r="F94" s="1420"/>
      <c r="G94" s="1437"/>
      <c r="H94" s="1437"/>
      <c r="I94" s="1437"/>
      <c r="J94" s="1437"/>
      <c r="K94" s="1488"/>
      <c r="L94" s="1489"/>
      <c r="M94" s="1490"/>
      <c r="N94" s="1458"/>
      <c r="O94" s="1458"/>
      <c r="P94" s="2484"/>
      <c r="Q94" s="1380"/>
      <c r="R94" s="1254"/>
      <c r="S94" s="1254"/>
      <c r="T94" s="1254"/>
      <c r="U94" s="1254"/>
      <c r="V94" s="1254"/>
      <c r="W94" s="1254"/>
      <c r="X94" s="1254"/>
      <c r="Y94" s="1254"/>
      <c r="Z94" s="1254"/>
      <c r="AA94" s="1254"/>
      <c r="AB94" s="1254"/>
      <c r="AC94" s="1254"/>
    </row>
    <row r="95" ht="14.75" spans="1:29">
      <c r="A95" s="1409"/>
      <c r="B95" s="1414"/>
      <c r="C95" s="1422"/>
      <c r="D95" s="1411"/>
      <c r="E95" s="1411"/>
      <c r="F95" s="1411"/>
      <c r="G95" s="1411"/>
      <c r="H95" s="1411"/>
      <c r="I95" s="1411"/>
      <c r="J95" s="1411"/>
      <c r="K95" s="1411"/>
      <c r="L95" s="1411"/>
      <c r="M95" s="1460"/>
      <c r="N95" s="1461"/>
      <c r="O95" s="1461"/>
      <c r="P95" s="2484"/>
      <c r="Q95" s="1380"/>
      <c r="R95" s="1254"/>
      <c r="S95" s="1254"/>
      <c r="T95" s="1254"/>
      <c r="U95" s="1254"/>
      <c r="V95" s="1254"/>
      <c r="W95" s="1254"/>
      <c r="X95" s="1254"/>
      <c r="Y95" s="1254"/>
      <c r="Z95" s="1254"/>
      <c r="AA95" s="1254"/>
      <c r="AB95" s="1254"/>
      <c r="AC95" s="1254"/>
    </row>
    <row r="96" ht="14.75" spans="1:29">
      <c r="A96" s="1409"/>
      <c r="B96" s="1412">
        <f>B30</f>
        <v>111</v>
      </c>
      <c r="C96" s="1420"/>
      <c r="D96" s="1420"/>
      <c r="E96" s="1420"/>
      <c r="F96" s="1420"/>
      <c r="G96" s="1437"/>
      <c r="H96" s="1437"/>
      <c r="I96" s="1437"/>
      <c r="J96" s="1437"/>
      <c r="K96" s="1488"/>
      <c r="L96" s="1489"/>
      <c r="M96" s="1490"/>
      <c r="N96" s="1458"/>
      <c r="O96" s="1458"/>
      <c r="P96" s="2484"/>
      <c r="Q96" s="1380"/>
      <c r="R96" s="1254"/>
      <c r="S96" s="1254"/>
      <c r="T96" s="1254"/>
      <c r="U96" s="1254"/>
      <c r="V96" s="1254"/>
      <c r="W96" s="1254"/>
      <c r="X96" s="1254"/>
      <c r="Y96" s="1254"/>
      <c r="Z96" s="1254"/>
      <c r="AA96" s="1254"/>
      <c r="AB96" s="1254"/>
      <c r="AC96" s="1254"/>
    </row>
    <row r="97" ht="14.75" spans="1:29">
      <c r="A97" s="1409"/>
      <c r="B97" s="1414"/>
      <c r="C97" s="1422"/>
      <c r="D97" s="1411"/>
      <c r="E97" s="1411"/>
      <c r="F97" s="1411"/>
      <c r="G97" s="1411"/>
      <c r="H97" s="1411"/>
      <c r="I97" s="1411"/>
      <c r="J97" s="1411"/>
      <c r="K97" s="1411"/>
      <c r="L97" s="1411"/>
      <c r="M97" s="1460"/>
      <c r="N97" s="1461"/>
      <c r="O97" s="1461"/>
      <c r="P97" s="2484"/>
      <c r="Q97" s="1380"/>
      <c r="R97" s="1254"/>
      <c r="S97" s="1254"/>
      <c r="T97" s="1254"/>
      <c r="U97" s="1254"/>
      <c r="V97" s="1254"/>
      <c r="W97" s="1254"/>
      <c r="X97" s="1254"/>
      <c r="Y97" s="1254"/>
      <c r="Z97" s="1254"/>
      <c r="AA97" s="1254"/>
      <c r="AB97" s="1254"/>
      <c r="AC97" s="1254"/>
    </row>
    <row r="98" ht="14.75" spans="1:29">
      <c r="A98" s="1409"/>
      <c r="B98" s="1416">
        <f>B31</f>
        <v>111</v>
      </c>
      <c r="C98" s="1420"/>
      <c r="D98" s="1420"/>
      <c r="E98" s="1420"/>
      <c r="F98" s="1420"/>
      <c r="G98" s="1438"/>
      <c r="H98" s="1438"/>
      <c r="I98" s="1438"/>
      <c r="J98" s="1438"/>
      <c r="K98" s="1491"/>
      <c r="L98" s="1492"/>
      <c r="M98" s="1493"/>
      <c r="N98" s="1458"/>
      <c r="O98" s="1458"/>
      <c r="P98" s="2484"/>
      <c r="Q98" s="1380"/>
      <c r="R98" s="1254"/>
      <c r="S98" s="1254"/>
      <c r="T98" s="1254"/>
      <c r="U98" s="1254"/>
      <c r="V98" s="1254"/>
      <c r="W98" s="1254"/>
      <c r="X98" s="1254"/>
      <c r="Y98" s="1254"/>
      <c r="Z98" s="1254"/>
      <c r="AA98" s="1254"/>
      <c r="AB98" s="1254"/>
      <c r="AC98" s="1254"/>
    </row>
    <row r="99" ht="14.75" spans="1:29">
      <c r="A99" s="1722"/>
      <c r="B99" s="1426"/>
      <c r="C99" s="1427"/>
      <c r="D99" s="1427"/>
      <c r="E99" s="1427"/>
      <c r="F99" s="1427"/>
      <c r="G99" s="1439"/>
      <c r="H99" s="1439"/>
      <c r="I99" s="1439"/>
      <c r="J99" s="1439"/>
      <c r="K99" s="1439"/>
      <c r="L99" s="1439"/>
      <c r="M99" s="1494"/>
      <c r="N99" s="1461"/>
      <c r="O99" s="1461"/>
      <c r="P99" s="2484"/>
      <c r="Q99" s="1380"/>
      <c r="R99" s="1254"/>
      <c r="S99" s="1254"/>
      <c r="T99" s="1254"/>
      <c r="U99" s="1254"/>
      <c r="V99" s="1254"/>
      <c r="W99" s="1254"/>
      <c r="X99" s="1254"/>
      <c r="Y99" s="1254"/>
      <c r="Z99" s="1254"/>
      <c r="AA99" s="1254"/>
      <c r="AB99" s="1254"/>
      <c r="AC99" s="1254"/>
    </row>
    <row r="100" spans="1:29">
      <c r="A100" s="1407" t="s">
        <v>1056</v>
      </c>
      <c r="B100" s="1408" t="s">
        <v>1057</v>
      </c>
      <c r="C100" s="2488" t="s">
        <v>1008</v>
      </c>
      <c r="D100" s="1335"/>
      <c r="E100" s="1335"/>
      <c r="F100" s="1335"/>
      <c r="G100" s="1335"/>
      <c r="H100" s="1335"/>
      <c r="I100" s="1335"/>
      <c r="J100" s="1335"/>
      <c r="K100" s="1455"/>
      <c r="L100" s="1456"/>
      <c r="M100" s="1457"/>
      <c r="N100" s="1458"/>
      <c r="O100" s="1458"/>
      <c r="P100" s="2484"/>
      <c r="Q100" s="1380"/>
      <c r="R100" s="1254"/>
      <c r="S100" s="1254"/>
      <c r="T100" s="1254"/>
      <c r="U100" s="1254"/>
      <c r="V100" s="1254"/>
      <c r="W100" s="1254"/>
      <c r="X100" s="1254"/>
      <c r="Y100" s="1254"/>
      <c r="Z100" s="1254"/>
      <c r="AA100" s="1254"/>
      <c r="AB100" s="1254"/>
      <c r="AC100" s="1254"/>
    </row>
    <row r="101" ht="14.75" spans="1:29">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65">
        <f t="shared" si="25"/>
        <v>100</v>
      </c>
      <c r="N101" s="1461"/>
      <c r="O101" s="1461"/>
      <c r="P101" s="2484"/>
      <c r="Q101" s="1380"/>
      <c r="R101" s="1254"/>
      <c r="S101" s="1254"/>
      <c r="T101" s="1254"/>
      <c r="U101" s="1254"/>
      <c r="V101" s="1254"/>
      <c r="W101" s="1254"/>
      <c r="X101" s="1254"/>
      <c r="Y101" s="1254"/>
      <c r="Z101" s="1254"/>
      <c r="AA101" s="1254"/>
      <c r="AB101" s="1254"/>
      <c r="AC101" s="1254"/>
    </row>
    <row r="102" ht="28.75" spans="1:29">
      <c r="A102" s="1409"/>
      <c r="B102" s="1412" t="s">
        <v>1059</v>
      </c>
      <c r="C102" s="1431" t="str">
        <f>C103&amp;"(含)"&amp;"-"&amp;D103</f>
        <v>0(含)-30000</v>
      </c>
      <c r="D102" s="1431" t="str">
        <f t="shared" ref="D102:L102" si="26">D103&amp;"(含)"&amp;"-"&amp;E103</f>
        <v>30000(含)-50000</v>
      </c>
      <c r="E102" s="1431" t="str">
        <f t="shared" si="26"/>
        <v>50000(含)-80000</v>
      </c>
      <c r="F102" s="1431" t="str">
        <f t="shared" si="26"/>
        <v>80000(含)-</v>
      </c>
      <c r="G102" s="1431" t="str">
        <f t="shared" si="26"/>
        <v>(含)-</v>
      </c>
      <c r="H102" s="1431" t="str">
        <f t="shared" si="26"/>
        <v>(含)-</v>
      </c>
      <c r="I102" s="1431" t="str">
        <f t="shared" si="26"/>
        <v>(含)-</v>
      </c>
      <c r="J102" s="1431" t="str">
        <f t="shared" si="26"/>
        <v>(含)-</v>
      </c>
      <c r="K102" s="1431" t="str">
        <f t="shared" si="26"/>
        <v>(含)-</v>
      </c>
      <c r="L102" s="1431" t="str">
        <f t="shared" si="26"/>
        <v>(含)-</v>
      </c>
      <c r="M102" s="1483" t="str">
        <f>M103&amp;"(含)"&amp;"-"&amp;P103</f>
        <v>(含)-</v>
      </c>
      <c r="N102" s="1452"/>
      <c r="O102" s="1452"/>
      <c r="P102" s="2484"/>
      <c r="Q102" s="1380"/>
      <c r="R102" s="1254"/>
      <c r="S102" s="1254"/>
      <c r="T102" s="1254"/>
      <c r="U102" s="1254"/>
      <c r="V102" s="1254"/>
      <c r="W102" s="1254"/>
      <c r="X102" s="1254"/>
      <c r="Y102" s="1254"/>
      <c r="Z102" s="1254"/>
      <c r="AA102" s="1254"/>
      <c r="AB102" s="1254"/>
      <c r="AC102" s="1254"/>
    </row>
    <row r="103" s="1129" customFormat="1" spans="1:29">
      <c r="A103" s="1440"/>
      <c r="B103" s="1441"/>
      <c r="C103" s="1396">
        <v>0</v>
      </c>
      <c r="D103" s="1396">
        <v>30000</v>
      </c>
      <c r="E103" s="1396">
        <v>50000</v>
      </c>
      <c r="F103" s="1396">
        <v>80000</v>
      </c>
      <c r="G103" s="1396"/>
      <c r="H103" s="1396"/>
      <c r="I103" s="1396"/>
      <c r="J103" s="1495"/>
      <c r="K103" s="1495"/>
      <c r="L103" s="1496"/>
      <c r="M103" s="1497"/>
      <c r="N103" s="1471"/>
      <c r="O103" s="1471"/>
      <c r="P103" s="2491"/>
      <c r="Q103" s="1503"/>
      <c r="R103" s="1504"/>
      <c r="S103" s="1504"/>
      <c r="T103" s="1504"/>
      <c r="U103" s="1504"/>
      <c r="V103" s="1504"/>
      <c r="W103" s="1504"/>
      <c r="X103" s="1504"/>
      <c r="Y103" s="1504"/>
      <c r="Z103" s="1504"/>
      <c r="AA103" s="1504"/>
      <c r="AB103" s="1504"/>
      <c r="AC103" s="1504"/>
    </row>
    <row r="104" s="1129" customFormat="1" ht="14.75" spans="1:29">
      <c r="A104" s="1419"/>
      <c r="B104" s="1414"/>
      <c r="C104" s="1422">
        <v>100</v>
      </c>
      <c r="D104" s="1411">
        <v>99</v>
      </c>
      <c r="E104" s="1411">
        <v>98</v>
      </c>
      <c r="F104" s="1411">
        <v>97</v>
      </c>
      <c r="G104" s="1411"/>
      <c r="H104" s="1411"/>
      <c r="I104" s="1411"/>
      <c r="J104" s="1411"/>
      <c r="K104" s="1411"/>
      <c r="L104" s="1411"/>
      <c r="M104" s="1460"/>
      <c r="N104" s="1461"/>
      <c r="O104" s="1461"/>
      <c r="P104" s="2491"/>
      <c r="Q104" s="1503"/>
      <c r="R104" s="1504"/>
      <c r="S104" s="1504"/>
      <c r="T104" s="1504"/>
      <c r="U104" s="1504"/>
      <c r="V104" s="1504"/>
      <c r="W104" s="1504"/>
      <c r="X104" s="1504"/>
      <c r="Y104" s="1504"/>
      <c r="Z104" s="1504"/>
      <c r="AA104" s="1504"/>
      <c r="AB104" s="1504"/>
      <c r="AC104" s="1504"/>
    </row>
    <row r="105" ht="14.75" spans="1:29">
      <c r="A105" s="1443"/>
      <c r="B105" s="1412" t="s">
        <v>1060</v>
      </c>
      <c r="C105" s="2489" t="s">
        <v>1097</v>
      </c>
      <c r="D105" s="1420"/>
      <c r="E105" s="1437"/>
      <c r="F105" s="1437"/>
      <c r="G105" s="1437"/>
      <c r="H105" s="1437"/>
      <c r="I105" s="1437"/>
      <c r="J105" s="1437"/>
      <c r="K105" s="1488"/>
      <c r="L105" s="1489"/>
      <c r="M105" s="1490"/>
      <c r="N105" s="1458"/>
      <c r="O105" s="1458"/>
      <c r="P105" s="2484"/>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65">
        <f t="shared" si="27"/>
        <v>100</v>
      </c>
      <c r="N106" s="1461"/>
      <c r="O106" s="1461"/>
      <c r="P106" s="2484"/>
      <c r="Q106" s="1380"/>
      <c r="R106" s="1254"/>
      <c r="S106" s="1254"/>
      <c r="T106" s="1254"/>
      <c r="U106" s="1254"/>
      <c r="V106" s="1254"/>
      <c r="W106" s="1254"/>
      <c r="X106" s="1254"/>
      <c r="Y106" s="1254"/>
      <c r="Z106" s="1254"/>
      <c r="AA106" s="1254"/>
      <c r="AB106" s="1254"/>
      <c r="AC106" s="1254"/>
    </row>
    <row r="107" ht="14.75" spans="1:29">
      <c r="A107" s="1443"/>
      <c r="B107" s="1412" t="s">
        <v>1061</v>
      </c>
      <c r="C107" s="2489" t="s">
        <v>1062</v>
      </c>
      <c r="D107" s="1420"/>
      <c r="E107" s="1420"/>
      <c r="F107" s="1437"/>
      <c r="G107" s="1437"/>
      <c r="H107" s="1437"/>
      <c r="I107" s="1437"/>
      <c r="J107" s="1437"/>
      <c r="K107" s="1488"/>
      <c r="L107" s="1489"/>
      <c r="M107" s="1490"/>
      <c r="N107" s="1458"/>
      <c r="O107" s="1458"/>
      <c r="P107" s="2484"/>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65">
        <f t="shared" si="28"/>
        <v>100</v>
      </c>
      <c r="N108" s="1461"/>
      <c r="O108" s="1461"/>
      <c r="P108" s="2484"/>
      <c r="Q108" s="1380"/>
      <c r="R108" s="1254"/>
      <c r="S108" s="1254"/>
      <c r="T108" s="1254"/>
      <c r="U108" s="1254"/>
      <c r="V108" s="1254"/>
      <c r="W108" s="1254"/>
      <c r="X108" s="1254"/>
      <c r="Y108" s="1254"/>
      <c r="Z108" s="1254"/>
      <c r="AA108" s="1254"/>
      <c r="AB108" s="1254"/>
      <c r="AC108" s="1254"/>
    </row>
    <row r="109" ht="14.75" spans="1:29">
      <c r="A109" s="1443"/>
      <c r="B109" s="1412" t="s">
        <v>646</v>
      </c>
      <c r="C109" s="1431" t="str">
        <f>C110&amp;"(含)"&amp;"-"&amp;D110</f>
        <v>0.5(含)-0.6</v>
      </c>
      <c r="D109" s="1431" t="str">
        <f>D110&amp;"(含)"&amp;"-"&amp;E110</f>
        <v>0.6(含)-0.7</v>
      </c>
      <c r="E109" s="1431" t="str">
        <f>E110&amp;"(含)"&amp;"-"&amp;F110</f>
        <v>0.7(含)-0.8</v>
      </c>
      <c r="F109" s="1431" t="str">
        <f>F110&amp;"(含)"&amp;"-"&amp;G110</f>
        <v>0.8(含)-0.9</v>
      </c>
      <c r="G109" s="1431" t="str">
        <f>G110&amp;"(含)"&amp;"-"&amp;ROUND(H110,0)&amp;"(含)"</f>
        <v>0.9(含)-1(含)</v>
      </c>
      <c r="H109" s="1431"/>
      <c r="I109" s="1437"/>
      <c r="J109" s="1437"/>
      <c r="K109" s="1488"/>
      <c r="L109" s="1489"/>
      <c r="M109" s="1490"/>
      <c r="N109" s="1458"/>
      <c r="O109" s="1458"/>
      <c r="P109" s="2484"/>
      <c r="Q109" s="1380"/>
      <c r="R109" s="1254"/>
      <c r="S109" s="1254"/>
      <c r="T109" s="1254"/>
      <c r="U109" s="1254"/>
      <c r="V109" s="1254"/>
      <c r="W109" s="1254"/>
      <c r="X109" s="1254"/>
      <c r="Y109" s="1254"/>
      <c r="Z109" s="1254"/>
      <c r="AA109" s="1254"/>
      <c r="AB109" s="1254"/>
      <c r="AC109" s="1254"/>
    </row>
    <row r="110" spans="1:29">
      <c r="A110" s="1443"/>
      <c r="B110" s="1416"/>
      <c r="C110" s="891">
        <v>0.5</v>
      </c>
      <c r="D110" s="891">
        <v>0.6</v>
      </c>
      <c r="E110" s="891">
        <v>0.7</v>
      </c>
      <c r="F110" s="891">
        <v>0.8</v>
      </c>
      <c r="G110" s="891">
        <v>0.9</v>
      </c>
      <c r="H110" s="891">
        <v>1.0001</v>
      </c>
      <c r="I110" s="1680"/>
      <c r="J110" s="1680"/>
      <c r="K110" s="1681"/>
      <c r="L110" s="1682"/>
      <c r="M110" s="1683"/>
      <c r="N110" s="1458"/>
      <c r="O110" s="1458"/>
      <c r="P110" s="2484"/>
      <c r="Q110" s="1380"/>
      <c r="R110" s="1254"/>
      <c r="S110" s="1254"/>
      <c r="T110" s="1254"/>
      <c r="U110" s="1254"/>
      <c r="V110" s="1254"/>
      <c r="W110" s="1254"/>
      <c r="X110" s="1254"/>
      <c r="Y110" s="1254"/>
      <c r="Z110" s="1254"/>
      <c r="AA110" s="1254"/>
      <c r="AB110" s="1254"/>
      <c r="AC110" s="1254"/>
    </row>
    <row r="111" ht="14.75" spans="1:29">
      <c r="A111" s="1409"/>
      <c r="B111" s="1414"/>
      <c r="C111" s="1433">
        <v>100</v>
      </c>
      <c r="D111" s="1415">
        <f>C111+$K36</f>
        <v>102</v>
      </c>
      <c r="E111" s="1415">
        <f t="shared" ref="E111:M111" si="29">D111+$K36</f>
        <v>104</v>
      </c>
      <c r="F111" s="1415">
        <f t="shared" si="29"/>
        <v>106</v>
      </c>
      <c r="G111" s="1415">
        <f t="shared" si="29"/>
        <v>108</v>
      </c>
      <c r="H111" s="1415">
        <f t="shared" si="29"/>
        <v>110</v>
      </c>
      <c r="I111" s="1415">
        <f t="shared" si="29"/>
        <v>112</v>
      </c>
      <c r="J111" s="1415">
        <f t="shared" si="29"/>
        <v>114</v>
      </c>
      <c r="K111" s="1415">
        <f t="shared" si="29"/>
        <v>116</v>
      </c>
      <c r="L111" s="1415">
        <f t="shared" si="29"/>
        <v>118</v>
      </c>
      <c r="M111" s="1415">
        <f t="shared" si="29"/>
        <v>120</v>
      </c>
      <c r="N111" s="1461"/>
      <c r="O111" s="1461"/>
      <c r="P111" s="2484"/>
      <c r="Q111" s="1380"/>
      <c r="R111" s="1254"/>
      <c r="S111" s="1254"/>
      <c r="T111" s="1254"/>
      <c r="U111" s="1254"/>
      <c r="V111" s="1254"/>
      <c r="W111" s="1254"/>
      <c r="X111" s="1254"/>
      <c r="Y111" s="1254"/>
      <c r="Z111" s="1254"/>
      <c r="AA111" s="1254"/>
      <c r="AB111" s="1254"/>
      <c r="AC111" s="1254"/>
    </row>
    <row r="112" s="1129" customFormat="1" ht="14.75" spans="1:29">
      <c r="A112" s="1440"/>
      <c r="B112" s="1412" t="s">
        <v>1063</v>
      </c>
      <c r="C112" s="1420"/>
      <c r="D112" s="1420"/>
      <c r="E112" s="1420"/>
      <c r="F112" s="1420"/>
      <c r="G112" s="1420"/>
      <c r="H112" s="1437"/>
      <c r="I112" s="1437"/>
      <c r="J112" s="1437"/>
      <c r="K112" s="1488"/>
      <c r="L112" s="1489"/>
      <c r="M112" s="1490"/>
      <c r="N112" s="1471"/>
      <c r="O112" s="1471"/>
      <c r="P112" s="2491"/>
      <c r="Q112" s="1503"/>
      <c r="R112" s="1504"/>
      <c r="S112" s="1504"/>
      <c r="T112" s="1504"/>
      <c r="U112" s="1504"/>
      <c r="V112" s="1504"/>
      <c r="W112" s="1504"/>
      <c r="X112" s="1504"/>
      <c r="Y112" s="1504"/>
      <c r="Z112" s="1504"/>
      <c r="AA112" s="1504"/>
      <c r="AB112" s="1504"/>
      <c r="AC112" s="1504"/>
    </row>
    <row r="113" s="1129" customFormat="1" ht="14.75" spans="1:29">
      <c r="A113" s="1419"/>
      <c r="B113" s="1414"/>
      <c r="C113" s="1415">
        <v>100</v>
      </c>
      <c r="D113" s="1415">
        <f>C113-$K37</f>
        <v>100</v>
      </c>
      <c r="E113" s="1415">
        <f t="shared" ref="E113:M113" si="30">D113-$K37</f>
        <v>100</v>
      </c>
      <c r="F113" s="1415">
        <f t="shared" si="30"/>
        <v>100</v>
      </c>
      <c r="G113" s="1415">
        <f t="shared" si="30"/>
        <v>100</v>
      </c>
      <c r="H113" s="1415">
        <f t="shared" si="30"/>
        <v>100</v>
      </c>
      <c r="I113" s="1415">
        <f t="shared" si="30"/>
        <v>100</v>
      </c>
      <c r="J113" s="1415">
        <f t="shared" si="30"/>
        <v>100</v>
      </c>
      <c r="K113" s="1415">
        <f t="shared" si="30"/>
        <v>100</v>
      </c>
      <c r="L113" s="1415">
        <f t="shared" si="30"/>
        <v>100</v>
      </c>
      <c r="M113" s="1415">
        <f t="shared" si="30"/>
        <v>100</v>
      </c>
      <c r="N113" s="1471"/>
      <c r="O113" s="1471"/>
      <c r="P113" s="2491"/>
      <c r="Q113" s="1503"/>
      <c r="R113" s="1504"/>
      <c r="S113" s="1504"/>
      <c r="T113" s="1504"/>
      <c r="U113" s="1504"/>
      <c r="V113" s="1504"/>
      <c r="W113" s="1504"/>
      <c r="X113" s="1504"/>
      <c r="Y113" s="1504"/>
      <c r="Z113" s="1504"/>
      <c r="AA113" s="1504"/>
      <c r="AB113" s="1504"/>
      <c r="AC113" s="1504"/>
    </row>
    <row r="114" ht="14.75" spans="1:29">
      <c r="A114" s="1443"/>
      <c r="B114" s="1412" t="s">
        <v>1064</v>
      </c>
      <c r="C114" s="1420" t="s">
        <v>1065</v>
      </c>
      <c r="D114" s="1420"/>
      <c r="E114" s="1437"/>
      <c r="F114" s="1437"/>
      <c r="G114" s="1437"/>
      <c r="H114" s="1437"/>
      <c r="I114" s="1437"/>
      <c r="J114" s="1437"/>
      <c r="K114" s="1488"/>
      <c r="L114" s="1489"/>
      <c r="M114" s="1490"/>
      <c r="N114" s="1458"/>
      <c r="O114" s="1458"/>
      <c r="P114" s="2484"/>
      <c r="Q114" s="1380"/>
      <c r="R114" s="1254"/>
      <c r="S114" s="1254"/>
      <c r="T114" s="1254"/>
      <c r="U114" s="1254"/>
      <c r="V114" s="1254"/>
      <c r="W114" s="1254"/>
      <c r="X114" s="1254"/>
      <c r="Y114" s="1254"/>
      <c r="Z114" s="1254"/>
      <c r="AA114" s="1254"/>
      <c r="AB114" s="1254"/>
      <c r="AC114" s="1254"/>
    </row>
    <row r="115" ht="14.75" spans="1:29">
      <c r="A115" s="1409"/>
      <c r="B115" s="1414"/>
      <c r="C115" s="1415">
        <v>100</v>
      </c>
      <c r="D115" s="1415">
        <f t="shared" ref="D115:M115" si="31">C115-$K38</f>
        <v>100</v>
      </c>
      <c r="E115" s="1415">
        <f t="shared" si="31"/>
        <v>100</v>
      </c>
      <c r="F115" s="1415">
        <f t="shared" si="31"/>
        <v>100</v>
      </c>
      <c r="G115" s="1415">
        <f t="shared" si="31"/>
        <v>100</v>
      </c>
      <c r="H115" s="1415">
        <f t="shared" si="31"/>
        <v>100</v>
      </c>
      <c r="I115" s="1415">
        <f t="shared" si="31"/>
        <v>100</v>
      </c>
      <c r="J115" s="1415">
        <f t="shared" si="31"/>
        <v>100</v>
      </c>
      <c r="K115" s="1415">
        <f t="shared" si="31"/>
        <v>100</v>
      </c>
      <c r="L115" s="1415">
        <f t="shared" si="31"/>
        <v>100</v>
      </c>
      <c r="M115" s="1465">
        <f t="shared" si="31"/>
        <v>100</v>
      </c>
      <c r="N115" s="1461"/>
      <c r="O115" s="1461"/>
      <c r="P115" s="2484"/>
      <c r="Q115" s="1380"/>
      <c r="R115" s="1254"/>
      <c r="S115" s="1254"/>
      <c r="T115" s="1254"/>
      <c r="U115" s="1254"/>
      <c r="V115" s="1254"/>
      <c r="W115" s="1254"/>
      <c r="X115" s="1254"/>
      <c r="Y115" s="1254"/>
      <c r="Z115" s="1254"/>
      <c r="AA115" s="1254"/>
      <c r="AB115" s="1254"/>
      <c r="AC115" s="1254"/>
    </row>
    <row r="116" ht="14.75" spans="1:29">
      <c r="A116" s="1443"/>
      <c r="B116" s="1412" t="s">
        <v>1066</v>
      </c>
      <c r="C116" s="1420"/>
      <c r="D116" s="1420"/>
      <c r="E116" s="1420"/>
      <c r="F116" s="1420"/>
      <c r="G116" s="1420"/>
      <c r="H116" s="1437"/>
      <c r="I116" s="1437"/>
      <c r="J116" s="1437"/>
      <c r="K116" s="1488"/>
      <c r="L116" s="1489"/>
      <c r="M116" s="1490"/>
      <c r="N116" s="1458"/>
      <c r="O116" s="1458"/>
      <c r="P116" s="2484"/>
      <c r="Q116" s="1380"/>
      <c r="R116" s="1254"/>
      <c r="S116" s="1254"/>
      <c r="T116" s="1254"/>
      <c r="U116" s="1254"/>
      <c r="V116" s="1254"/>
      <c r="W116" s="1254"/>
      <c r="X116" s="1254"/>
      <c r="Y116" s="1254"/>
      <c r="Z116" s="1254"/>
      <c r="AA116" s="1254"/>
      <c r="AB116" s="1254"/>
      <c r="AC116" s="1254"/>
    </row>
    <row r="117" ht="14.75" spans="1:29">
      <c r="A117" s="1409"/>
      <c r="B117" s="1414"/>
      <c r="C117" s="1415">
        <v>100</v>
      </c>
      <c r="D117" s="1415">
        <f>C117-$K39</f>
        <v>100</v>
      </c>
      <c r="E117" s="1415">
        <f>D117-$K39</f>
        <v>100</v>
      </c>
      <c r="F117" s="1415">
        <f>E117-$K39</f>
        <v>100</v>
      </c>
      <c r="G117" s="1415">
        <f>F117-$K39</f>
        <v>100</v>
      </c>
      <c r="H117" s="1415"/>
      <c r="I117" s="1415"/>
      <c r="J117" s="1415"/>
      <c r="K117" s="1415"/>
      <c r="L117" s="1415"/>
      <c r="M117" s="1465"/>
      <c r="N117" s="1461"/>
      <c r="O117" s="1461"/>
      <c r="P117" s="2484"/>
      <c r="Q117" s="1380"/>
      <c r="R117" s="1254"/>
      <c r="S117" s="1254"/>
      <c r="T117" s="1254"/>
      <c r="U117" s="1254"/>
      <c r="V117" s="1254"/>
      <c r="W117" s="1254"/>
      <c r="X117" s="1254"/>
      <c r="Y117" s="1254"/>
      <c r="Z117" s="1254"/>
      <c r="AA117" s="1254"/>
      <c r="AB117" s="1254"/>
      <c r="AC117" s="1254"/>
    </row>
    <row r="118" ht="14.75" spans="1:29">
      <c r="A118" s="1443"/>
      <c r="B118" s="1412" t="s">
        <v>1067</v>
      </c>
      <c r="C118" s="2490"/>
      <c r="D118" s="2490"/>
      <c r="E118" s="2490"/>
      <c r="F118" s="2490"/>
      <c r="G118" s="2490"/>
      <c r="H118" s="1421"/>
      <c r="I118" s="1421"/>
      <c r="J118" s="1421"/>
      <c r="K118" s="1421"/>
      <c r="L118" s="1469"/>
      <c r="M118" s="1470"/>
      <c r="N118" s="1458"/>
      <c r="O118" s="1458"/>
      <c r="P118" s="2484"/>
      <c r="Q118" s="1380"/>
      <c r="R118" s="1254"/>
      <c r="S118" s="1254"/>
      <c r="T118" s="1254"/>
      <c r="U118" s="1254"/>
      <c r="V118" s="1254"/>
      <c r="W118" s="1254"/>
      <c r="X118" s="1254"/>
      <c r="Y118" s="1254"/>
      <c r="Z118" s="1254"/>
      <c r="AA118" s="1254"/>
      <c r="AB118" s="1254"/>
      <c r="AC118" s="1254"/>
    </row>
    <row r="119" ht="14.75" spans="1:29">
      <c r="A119" s="1409"/>
      <c r="B119" s="1414"/>
      <c r="C119" s="1422"/>
      <c r="D119" s="1411"/>
      <c r="E119" s="1411"/>
      <c r="F119" s="1411"/>
      <c r="G119" s="1411"/>
      <c r="H119" s="1411"/>
      <c r="I119" s="1411"/>
      <c r="J119" s="1411"/>
      <c r="K119" s="1411"/>
      <c r="L119" s="1411"/>
      <c r="M119" s="1460"/>
      <c r="N119" s="1461"/>
      <c r="O119" s="1461"/>
      <c r="P119" s="2484"/>
      <c r="Q119" s="1380"/>
      <c r="R119" s="1254"/>
      <c r="S119" s="1254"/>
      <c r="T119" s="1254"/>
      <c r="U119" s="1254"/>
      <c r="V119" s="1254"/>
      <c r="W119" s="1254"/>
      <c r="X119" s="1254"/>
      <c r="Y119" s="1254"/>
      <c r="Z119" s="1254"/>
      <c r="AA119" s="1254"/>
      <c r="AB119" s="1254"/>
      <c r="AC119" s="1254"/>
    </row>
    <row r="120" s="1129" customFormat="1" ht="14.75" spans="1:29">
      <c r="A120" s="1440"/>
      <c r="B120" s="1412" t="s">
        <v>1098</v>
      </c>
      <c r="C120" s="1437"/>
      <c r="D120" s="1437"/>
      <c r="E120" s="1437"/>
      <c r="F120" s="1437"/>
      <c r="G120" s="1421"/>
      <c r="H120" s="1421"/>
      <c r="I120" s="1421"/>
      <c r="J120" s="1421"/>
      <c r="K120" s="1421"/>
      <c r="L120" s="1469"/>
      <c r="M120" s="1470"/>
      <c r="N120" s="1471"/>
      <c r="O120" s="1471"/>
      <c r="P120" s="2491"/>
      <c r="Q120" s="1503"/>
      <c r="R120" s="1504"/>
      <c r="S120" s="1504"/>
      <c r="T120" s="1504"/>
      <c r="U120" s="1504"/>
      <c r="V120" s="1504"/>
      <c r="W120" s="1504"/>
      <c r="X120" s="1504"/>
      <c r="Y120" s="1504"/>
      <c r="Z120" s="1504"/>
      <c r="AA120" s="1504"/>
      <c r="AB120" s="1504"/>
      <c r="AC120" s="1504"/>
    </row>
    <row r="121" s="1129" customFormat="1" ht="14.75" spans="1:29">
      <c r="A121" s="1419"/>
      <c r="B121" s="1410"/>
      <c r="C121" s="1433">
        <v>100</v>
      </c>
      <c r="D121" s="1415">
        <f>C121-$K41</f>
        <v>100</v>
      </c>
      <c r="E121" s="1415">
        <f t="shared" ref="E121:M121" si="32">D121-$K41</f>
        <v>100</v>
      </c>
      <c r="F121" s="1415">
        <f t="shared" si="32"/>
        <v>100</v>
      </c>
      <c r="G121" s="1415">
        <f t="shared" si="32"/>
        <v>100</v>
      </c>
      <c r="H121" s="1415">
        <f t="shared" si="32"/>
        <v>100</v>
      </c>
      <c r="I121" s="1415">
        <f t="shared" si="32"/>
        <v>100</v>
      </c>
      <c r="J121" s="1415">
        <f t="shared" si="32"/>
        <v>100</v>
      </c>
      <c r="K121" s="1415">
        <f t="shared" si="32"/>
        <v>100</v>
      </c>
      <c r="L121" s="1415">
        <f t="shared" si="32"/>
        <v>100</v>
      </c>
      <c r="M121" s="1465">
        <f t="shared" si="32"/>
        <v>100</v>
      </c>
      <c r="N121" s="1471"/>
      <c r="O121" s="1471"/>
      <c r="P121" s="2491"/>
      <c r="Q121" s="1503"/>
      <c r="R121" s="1504"/>
      <c r="S121" s="1504"/>
      <c r="T121" s="1504"/>
      <c r="U121" s="1504"/>
      <c r="V121" s="1504"/>
      <c r="W121" s="1504"/>
      <c r="X121" s="1504"/>
      <c r="Y121" s="1504"/>
      <c r="Z121" s="1504"/>
      <c r="AA121" s="1504"/>
      <c r="AB121" s="1504"/>
      <c r="AC121" s="1504"/>
    </row>
    <row r="122" ht="14.75" spans="1:29">
      <c r="A122" s="1443"/>
      <c r="B122" s="1412" t="s">
        <v>1069</v>
      </c>
      <c r="C122" s="1420" t="s">
        <v>1070</v>
      </c>
      <c r="D122" s="1420" t="s">
        <v>1099</v>
      </c>
      <c r="E122" s="1420" t="s">
        <v>1100</v>
      </c>
      <c r="F122" s="1437" t="s">
        <v>1101</v>
      </c>
      <c r="G122" s="1437"/>
      <c r="H122" s="1437"/>
      <c r="I122" s="1437"/>
      <c r="J122" s="1437"/>
      <c r="K122" s="1488"/>
      <c r="L122" s="1489"/>
      <c r="M122" s="1490"/>
      <c r="N122" s="1458"/>
      <c r="O122" s="1458"/>
      <c r="P122" s="2484"/>
      <c r="Q122" s="1380"/>
      <c r="R122" s="1254"/>
      <c r="S122" s="1254"/>
      <c r="T122" s="1254"/>
      <c r="U122" s="1254"/>
      <c r="V122" s="1254"/>
      <c r="W122" s="1254"/>
      <c r="X122" s="1254"/>
      <c r="Y122" s="1254"/>
      <c r="Z122" s="1254"/>
      <c r="AA122" s="1254"/>
      <c r="AB122" s="1254"/>
      <c r="AC122" s="1254"/>
    </row>
    <row r="123" ht="14.75" spans="1:29">
      <c r="A123" s="1409"/>
      <c r="B123" s="1414"/>
      <c r="C123" s="1415">
        <v>100</v>
      </c>
      <c r="D123" s="1415">
        <f t="shared" ref="D123:M123" si="33">C123-$K42</f>
        <v>100</v>
      </c>
      <c r="E123" s="1415">
        <f t="shared" si="33"/>
        <v>100</v>
      </c>
      <c r="F123" s="1415">
        <f t="shared" si="33"/>
        <v>100</v>
      </c>
      <c r="G123" s="1415">
        <f t="shared" si="33"/>
        <v>100</v>
      </c>
      <c r="H123" s="1415">
        <f t="shared" si="33"/>
        <v>100</v>
      </c>
      <c r="I123" s="1415">
        <f t="shared" si="33"/>
        <v>100</v>
      </c>
      <c r="J123" s="1415">
        <f t="shared" si="33"/>
        <v>100</v>
      </c>
      <c r="K123" s="1415">
        <f t="shared" si="33"/>
        <v>100</v>
      </c>
      <c r="L123" s="1415">
        <f t="shared" si="33"/>
        <v>100</v>
      </c>
      <c r="M123" s="1465">
        <f t="shared" si="33"/>
        <v>100</v>
      </c>
      <c r="N123" s="1461"/>
      <c r="O123" s="1461"/>
      <c r="P123" s="2484"/>
      <c r="Q123" s="1380"/>
      <c r="R123" s="1254"/>
      <c r="S123" s="1254"/>
      <c r="T123" s="1254"/>
      <c r="U123" s="1254"/>
      <c r="V123" s="1254"/>
      <c r="W123" s="1254"/>
      <c r="X123" s="1254"/>
      <c r="Y123" s="1254"/>
      <c r="Z123" s="1254"/>
      <c r="AA123" s="1254"/>
      <c r="AB123" s="1254"/>
      <c r="AC123" s="1254"/>
    </row>
    <row r="124" ht="28.75" spans="1:29">
      <c r="A124" s="1443"/>
      <c r="B124" s="1412" t="s">
        <v>1071</v>
      </c>
      <c r="C124" s="1431" t="s">
        <v>1087</v>
      </c>
      <c r="D124" s="1431" t="s">
        <v>1088</v>
      </c>
      <c r="E124" s="1431" t="s">
        <v>1089</v>
      </c>
      <c r="F124" s="1431" t="s">
        <v>1090</v>
      </c>
      <c r="G124" s="1431" t="s">
        <v>1091</v>
      </c>
      <c r="H124" s="1413"/>
      <c r="I124" s="1413"/>
      <c r="J124" s="1413"/>
      <c r="K124" s="1462"/>
      <c r="L124" s="1463"/>
      <c r="M124" s="1464"/>
      <c r="N124" s="1458"/>
      <c r="O124" s="1458"/>
      <c r="P124" s="2491"/>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C125-$K43</f>
        <v>98</v>
      </c>
      <c r="E125" s="1415">
        <f>D125-$K43</f>
        <v>96</v>
      </c>
      <c r="F125" s="1415">
        <f>E125-$K43</f>
        <v>94</v>
      </c>
      <c r="G125" s="1415">
        <f>F125-$K43</f>
        <v>92</v>
      </c>
      <c r="H125" s="1415"/>
      <c r="I125" s="1415"/>
      <c r="J125" s="1415"/>
      <c r="K125" s="1415"/>
      <c r="L125" s="1415"/>
      <c r="M125" s="1465"/>
      <c r="N125" s="1461"/>
      <c r="O125" s="1461"/>
      <c r="P125" s="2484"/>
      <c r="Q125" s="1380"/>
      <c r="R125" s="1254"/>
      <c r="S125" s="1254"/>
      <c r="T125" s="1254"/>
      <c r="U125" s="1254"/>
      <c r="V125" s="1254"/>
      <c r="W125" s="1254"/>
      <c r="X125" s="1254"/>
      <c r="Y125" s="1254"/>
      <c r="Z125" s="1254"/>
      <c r="AA125" s="1254"/>
      <c r="AB125" s="1254"/>
      <c r="AC125" s="1254"/>
    </row>
    <row r="126" s="1129" customFormat="1" ht="28.75" spans="1:29">
      <c r="A126" s="1440"/>
      <c r="B126" s="1412" t="str">
        <f>B44</f>
        <v>地下面积占比</v>
      </c>
      <c r="C126" s="1420" t="s">
        <v>1073</v>
      </c>
      <c r="D126" s="1420" t="s">
        <v>1102</v>
      </c>
      <c r="E126" s="1420" t="s">
        <v>1103</v>
      </c>
      <c r="F126" s="1420" t="s">
        <v>1104</v>
      </c>
      <c r="G126" s="1420"/>
      <c r="H126" s="1421"/>
      <c r="I126" s="1421"/>
      <c r="J126" s="1421"/>
      <c r="K126" s="1421"/>
      <c r="L126" s="1469"/>
      <c r="M126" s="1470"/>
      <c r="N126" s="1471"/>
      <c r="O126" s="1471"/>
      <c r="P126" s="2491"/>
      <c r="Q126" s="1503"/>
      <c r="R126" s="1504"/>
      <c r="S126" s="1504"/>
      <c r="T126" s="1504"/>
      <c r="U126" s="1504"/>
      <c r="V126" s="1504"/>
      <c r="W126" s="1504"/>
      <c r="X126" s="1504"/>
      <c r="Y126" s="1504"/>
      <c r="Z126" s="1504"/>
      <c r="AA126" s="1504"/>
      <c r="AB126" s="1504"/>
      <c r="AC126" s="1504"/>
    </row>
    <row r="127" s="1129" customFormat="1" ht="14.75" spans="1:29">
      <c r="A127" s="1419"/>
      <c r="B127" s="1414"/>
      <c r="C127" s="1422">
        <v>100</v>
      </c>
      <c r="D127" s="1411">
        <v>98</v>
      </c>
      <c r="E127" s="1411">
        <v>96</v>
      </c>
      <c r="F127" s="1411">
        <v>94</v>
      </c>
      <c r="G127" s="1422"/>
      <c r="H127" s="1423"/>
      <c r="I127" s="1423"/>
      <c r="J127" s="1423"/>
      <c r="K127" s="1423"/>
      <c r="L127" s="1423"/>
      <c r="M127" s="1473"/>
      <c r="N127" s="1471"/>
      <c r="O127" s="1471"/>
      <c r="P127" s="2491"/>
      <c r="Q127" s="1503"/>
      <c r="R127" s="1504"/>
      <c r="S127" s="1504"/>
      <c r="T127" s="1504"/>
      <c r="U127" s="1504"/>
      <c r="V127" s="1504"/>
      <c r="W127" s="1504"/>
      <c r="X127" s="1504"/>
      <c r="Y127" s="1504"/>
      <c r="Z127" s="1504"/>
      <c r="AA127" s="1504"/>
      <c r="AB127" s="1504"/>
      <c r="AC127" s="1504"/>
    </row>
    <row r="128" ht="14.75" spans="1:29">
      <c r="A128" s="1443"/>
      <c r="B128" s="1412">
        <f>B45</f>
        <v>111</v>
      </c>
      <c r="C128" s="1420"/>
      <c r="D128" s="1420"/>
      <c r="E128" s="1420"/>
      <c r="F128" s="1420"/>
      <c r="G128" s="1437"/>
      <c r="H128" s="1437"/>
      <c r="I128" s="1437"/>
      <c r="J128" s="1437"/>
      <c r="K128" s="1488"/>
      <c r="L128" s="1489"/>
      <c r="M128" s="1490"/>
      <c r="N128" s="1458"/>
      <c r="O128" s="1458"/>
      <c r="P128" s="2484"/>
      <c r="Q128" s="1380"/>
      <c r="R128" s="1254"/>
      <c r="S128" s="1254"/>
      <c r="T128" s="1254"/>
      <c r="U128" s="1254"/>
      <c r="V128" s="1254"/>
      <c r="W128" s="1254"/>
      <c r="X128" s="1254"/>
      <c r="Y128" s="1254"/>
      <c r="Z128" s="1254"/>
      <c r="AA128" s="1254"/>
      <c r="AB128" s="1254"/>
      <c r="AC128" s="1254"/>
    </row>
    <row r="129" ht="14.75" spans="1:29">
      <c r="A129" s="1409"/>
      <c r="B129" s="1414"/>
      <c r="C129" s="1422"/>
      <c r="D129" s="1411"/>
      <c r="E129" s="1411"/>
      <c r="F129" s="1411"/>
      <c r="G129" s="1411"/>
      <c r="H129" s="1411"/>
      <c r="I129" s="1411"/>
      <c r="J129" s="1411"/>
      <c r="K129" s="1411"/>
      <c r="L129" s="1411"/>
      <c r="M129" s="1460"/>
      <c r="N129" s="1461"/>
      <c r="O129" s="1461"/>
      <c r="P129" s="2484"/>
      <c r="Q129" s="1380"/>
      <c r="R129" s="1254"/>
      <c r="S129" s="1254"/>
      <c r="T129" s="1254"/>
      <c r="U129" s="1254"/>
      <c r="V129" s="1254"/>
      <c r="W129" s="1254"/>
      <c r="X129" s="1254"/>
      <c r="Y129" s="1254"/>
      <c r="Z129" s="1254"/>
      <c r="AA129" s="1254"/>
      <c r="AB129" s="1254"/>
      <c r="AC129" s="1254"/>
    </row>
    <row r="130" ht="14.75" spans="1:29">
      <c r="A130" s="1443"/>
      <c r="B130" s="1416">
        <f>B46</f>
        <v>111</v>
      </c>
      <c r="C130" s="1420"/>
      <c r="D130" s="1420"/>
      <c r="E130" s="1420"/>
      <c r="F130" s="1420"/>
      <c r="G130" s="1438"/>
      <c r="H130" s="1438"/>
      <c r="I130" s="1438"/>
      <c r="J130" s="1438"/>
      <c r="K130" s="1404"/>
      <c r="L130" s="1450"/>
      <c r="M130" s="1493"/>
      <c r="N130" s="1458"/>
      <c r="O130" s="1458"/>
      <c r="P130" s="2484"/>
      <c r="Q130" s="1380"/>
      <c r="R130" s="1254"/>
      <c r="S130" s="1254"/>
      <c r="T130" s="1254"/>
      <c r="U130" s="1254"/>
      <c r="V130" s="1254"/>
      <c r="W130" s="1254"/>
      <c r="X130" s="1254"/>
      <c r="Y130" s="1254"/>
      <c r="Z130" s="1254"/>
      <c r="AA130" s="1254"/>
      <c r="AB130" s="1254"/>
      <c r="AC130" s="1254"/>
    </row>
    <row r="131" ht="14.75" spans="1:29">
      <c r="A131" s="1722"/>
      <c r="B131" s="1426"/>
      <c r="C131" s="1427"/>
      <c r="D131" s="1427"/>
      <c r="E131" s="1427"/>
      <c r="F131" s="1427"/>
      <c r="G131" s="1439"/>
      <c r="H131" s="1439"/>
      <c r="I131" s="1439"/>
      <c r="J131" s="1439"/>
      <c r="K131" s="1439"/>
      <c r="L131" s="1439"/>
      <c r="M131" s="1494"/>
      <c r="N131" s="1461"/>
      <c r="O131" s="1461"/>
      <c r="P131" s="2484"/>
      <c r="Q131" s="1380"/>
      <c r="R131" s="1254"/>
      <c r="S131" s="1254"/>
      <c r="T131" s="1254"/>
      <c r="U131" s="1254"/>
      <c r="V131" s="1254"/>
      <c r="W131" s="1254"/>
      <c r="X131" s="1254"/>
      <c r="Y131" s="1254"/>
      <c r="Z131" s="1254"/>
      <c r="AA131" s="1254"/>
      <c r="AB131" s="1254"/>
      <c r="AC131"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5" workbookViewId="0">
      <selection activeCell="C7" sqref="C7"/>
    </sheetView>
  </sheetViews>
  <sheetFormatPr defaultColWidth="8.37272727272727" defaultRowHeight="12.5"/>
  <cols>
    <col min="1" max="1" width="10.3727272727273"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1105</v>
      </c>
      <c r="B1" s="2458" t="s">
        <v>611</v>
      </c>
      <c r="C1" s="404"/>
      <c r="D1" s="404"/>
      <c r="E1" s="404"/>
      <c r="F1" s="404"/>
      <c r="G1" s="2460">
        <f>MATCH(B1,'数据-取费表'!A6:A16,0)+5</f>
        <v>6</v>
      </c>
    </row>
    <row r="2" s="394" customFormat="1" ht="18" customHeight="1" spans="1:7">
      <c r="A2" s="406" t="s">
        <v>1012</v>
      </c>
      <c r="B2" s="407">
        <f ca="1">IF(D2="——",C52,C52-E2)</f>
        <v>13058</v>
      </c>
      <c r="C2" s="405" t="s">
        <v>1013</v>
      </c>
      <c r="D2" s="2462" t="s">
        <v>124</v>
      </c>
      <c r="E2" s="2463" t="e">
        <f ca="1">SUMIF(INDIRECT("'"&amp;G2&amp;"'"&amp;"!A:A"),"承租人权益价值",INDIRECT("'"&amp;G2&amp;"'"&amp;"!c:c"))</f>
        <v>#REF!</v>
      </c>
      <c r="F2" s="2464" t="s">
        <v>1013</v>
      </c>
      <c r="G2" s="2465"/>
    </row>
    <row r="3" s="394" customFormat="1" ht="18" customHeight="1" spans="1:7">
      <c r="A3" s="409" t="s">
        <v>1014</v>
      </c>
      <c r="B3" s="410">
        <f ca="1">ROUND(B2*10000/(IF(B1="",'数据-汇总表'!E3,INDIRECT("'数据-取费表'!k"&amp;$G$1))),0)</f>
        <v>2401</v>
      </c>
      <c r="C3" s="405" t="s">
        <v>1106</v>
      </c>
      <c r="D3" s="405"/>
      <c r="E3" s="405"/>
      <c r="F3" s="405"/>
      <c r="G3" s="405"/>
    </row>
    <row r="4" s="395" customFormat="1" ht="15.5" spans="1:7">
      <c r="A4" s="411" t="s">
        <v>1107</v>
      </c>
      <c r="B4" s="412"/>
      <c r="C4" s="412"/>
      <c r="D4" s="412"/>
      <c r="E4" s="412"/>
      <c r="F4" s="412"/>
      <c r="G4" s="413"/>
    </row>
    <row r="5" s="396" customFormat="1" ht="13.5" customHeight="1" spans="1:7">
      <c r="A5" s="414" t="s">
        <v>1108</v>
      </c>
      <c r="B5" s="415" t="s">
        <v>1109</v>
      </c>
      <c r="C5" s="416">
        <f ca="1">C6+C7+C8</f>
        <v>2257</v>
      </c>
      <c r="D5" s="416" t="s">
        <v>1110</v>
      </c>
      <c r="E5" s="417" t="s">
        <v>1111</v>
      </c>
      <c r="F5" s="417" t="s">
        <v>911</v>
      </c>
      <c r="G5" s="418"/>
    </row>
    <row r="6" s="396" customFormat="1" ht="13.5" customHeight="1" spans="1:7">
      <c r="A6" s="419" t="s">
        <v>1112</v>
      </c>
      <c r="B6" s="420" t="s">
        <v>1113</v>
      </c>
      <c r="C6" s="421">
        <f>'土地比较法-工业'!F51</f>
        <v>2169</v>
      </c>
      <c r="D6" s="422"/>
      <c r="E6" s="423"/>
      <c r="F6" s="423"/>
      <c r="G6" s="424"/>
    </row>
    <row r="7" s="396" customFormat="1" ht="13.5" customHeight="1" spans="1:7">
      <c r="A7" s="419" t="s">
        <v>1114</v>
      </c>
      <c r="B7" s="420" t="s">
        <v>1115</v>
      </c>
      <c r="C7" s="425">
        <f>ROUND(C6*F7,0)</f>
        <v>88</v>
      </c>
      <c r="D7" s="425"/>
      <c r="E7" s="423"/>
      <c r="F7" s="426">
        <f>IF(项目基本情况!B8="出让",0,'数据-取费表'!B48+'数据-取费表'!B49)</f>
        <v>0.0405</v>
      </c>
      <c r="G7" s="424"/>
    </row>
    <row r="8" s="397" customFormat="1" ht="13" spans="1:7">
      <c r="A8" s="419" t="s">
        <v>1116</v>
      </c>
      <c r="B8" s="420" t="s">
        <v>1117</v>
      </c>
      <c r="C8" s="425">
        <f ca="1">IF(G8="已包含在土地购买价格中","0",IF(B1="",'数据-取费表'!B29,IF(G9="全部缴纳",C9+C10,H9)))</f>
        <v>0</v>
      </c>
      <c r="D8" s="427"/>
      <c r="E8" s="425"/>
      <c r="F8" s="426"/>
      <c r="G8" s="2466" t="s">
        <v>1118</v>
      </c>
    </row>
    <row r="9" s="396" customFormat="1" ht="13.5" customHeight="1" spans="1:9">
      <c r="A9" s="429" t="s">
        <v>1119</v>
      </c>
      <c r="B9" s="430" t="s">
        <v>1120</v>
      </c>
      <c r="C9" s="431">
        <f ca="1">ROUND(D9*E9/10000,0)</f>
        <v>0</v>
      </c>
      <c r="D9" s="432">
        <f ca="1">IF(B1="",'数据-汇总表'!E5,IF(INDIRECT("'数据-取费表'!c"&amp;$G$1)="住宅",INDIRECT("'数据-取费表'!k"&amp;$G$1),0))</f>
        <v>0</v>
      </c>
      <c r="E9" s="431">
        <f>'数据-取费表'!B27</f>
        <v>0</v>
      </c>
      <c r="F9" s="426"/>
      <c r="G9" s="2470"/>
      <c r="H9" s="2471"/>
      <c r="I9" s="2472" t="s">
        <v>1121</v>
      </c>
    </row>
    <row r="10" s="396" customFormat="1" ht="13.5" customHeight="1" spans="1:7">
      <c r="A10" s="429" t="s">
        <v>1122</v>
      </c>
      <c r="B10" s="430" t="s">
        <v>1123</v>
      </c>
      <c r="C10" s="431">
        <f ca="1">ROUND(D10*E10/10000,0)</f>
        <v>979</v>
      </c>
      <c r="D10" s="432">
        <f ca="1">IF(B1="",'数据-汇总表'!E6,IF(INDIRECT("'数据-取费表'!c"&amp;$G$1)="住宅",INDIRECT("'数据-取费表'!s"&amp;$G$1),INDIRECT("'数据-取费表'!k"&amp;$G$1)+INDIRECT("'数据-取费表'!s"&amp;$G$1)))</f>
        <v>54377.37</v>
      </c>
      <c r="E10" s="431">
        <f>'数据-取费表'!B28</f>
        <v>180</v>
      </c>
      <c r="F10" s="426"/>
      <c r="G10" s="433"/>
    </row>
    <row r="11" s="396" customFormat="1" ht="13.5" hidden="1" customHeight="1" spans="1:7">
      <c r="A11" s="434" t="s">
        <v>1124</v>
      </c>
      <c r="B11" s="420" t="s">
        <v>1125</v>
      </c>
      <c r="C11" s="416"/>
      <c r="D11" s="435"/>
      <c r="E11" s="423"/>
      <c r="F11" s="423"/>
      <c r="G11" s="424"/>
    </row>
    <row r="12" s="396" customFormat="1" ht="13.5" hidden="1" customHeight="1" spans="1:7">
      <c r="A12" s="434" t="s">
        <v>1126</v>
      </c>
      <c r="B12" s="420" t="s">
        <v>947</v>
      </c>
      <c r="C12" s="416">
        <v>0</v>
      </c>
      <c r="D12" s="435"/>
      <c r="E12" s="436"/>
      <c r="F12" s="426">
        <v>0.0305</v>
      </c>
      <c r="G12" s="424"/>
    </row>
    <row r="13" s="396" customFormat="1" ht="13.5" hidden="1" customHeight="1" spans="1:7">
      <c r="A13" s="434" t="s">
        <v>1127</v>
      </c>
      <c r="B13" s="420" t="s">
        <v>1128</v>
      </c>
      <c r="C13" s="416"/>
      <c r="D13" s="435"/>
      <c r="E13" s="423"/>
      <c r="F13" s="423"/>
      <c r="G13" s="424"/>
    </row>
    <row r="14" s="396" customFormat="1" ht="13.5" hidden="1" customHeight="1" spans="1:7">
      <c r="A14" s="434" t="s">
        <v>1129</v>
      </c>
      <c r="B14" s="420" t="s">
        <v>1117</v>
      </c>
      <c r="C14" s="416"/>
      <c r="D14" s="435"/>
      <c r="E14" s="423"/>
      <c r="F14" s="423"/>
      <c r="G14" s="424" t="s">
        <v>1130</v>
      </c>
    </row>
    <row r="15" s="396" customFormat="1" ht="13.5" hidden="1" customHeight="1" spans="1:7">
      <c r="A15" s="434" t="s">
        <v>1131</v>
      </c>
      <c r="B15" s="420" t="s">
        <v>1132</v>
      </c>
      <c r="C15" s="425"/>
      <c r="D15" s="435"/>
      <c r="E15" s="423"/>
      <c r="F15" s="423"/>
      <c r="G15" s="424" t="s">
        <v>1133</v>
      </c>
    </row>
    <row r="16" s="396" customFormat="1" ht="13.5" hidden="1" customHeight="1" spans="1:7">
      <c r="A16" s="434" t="s">
        <v>1134</v>
      </c>
      <c r="B16" s="420" t="s">
        <v>1117</v>
      </c>
      <c r="C16" s="425"/>
      <c r="D16" s="435"/>
      <c r="E16" s="423"/>
      <c r="F16" s="423"/>
      <c r="G16" s="424"/>
    </row>
    <row r="17" s="396" customFormat="1" ht="13.5" hidden="1" customHeight="1" spans="1:7">
      <c r="A17" s="434" t="s">
        <v>1135</v>
      </c>
      <c r="B17" s="420" t="s">
        <v>1136</v>
      </c>
      <c r="C17" s="437"/>
      <c r="D17" s="438"/>
      <c r="E17" s="437"/>
      <c r="F17" s="437"/>
      <c r="G17" s="424" t="s">
        <v>1133</v>
      </c>
    </row>
    <row r="18" s="396" customFormat="1" ht="13.5" hidden="1" customHeight="1" spans="1:7">
      <c r="A18" s="434" t="s">
        <v>1137</v>
      </c>
      <c r="B18" s="420" t="s">
        <v>1138</v>
      </c>
      <c r="C18" s="425">
        <v>0</v>
      </c>
      <c r="D18" s="435"/>
      <c r="E18" s="423"/>
      <c r="F18" s="426">
        <v>0.0305</v>
      </c>
      <c r="G18" s="424" t="s">
        <v>1139</v>
      </c>
    </row>
    <row r="19" s="397" customFormat="1" ht="13.5" customHeight="1" spans="1:7">
      <c r="A19" s="414" t="s">
        <v>1140</v>
      </c>
      <c r="B19" s="415" t="s">
        <v>1141</v>
      </c>
      <c r="C19" s="416" t="str">
        <f ca="1">IF(G19="已包含在土地取得成本中","0",ROUND(D19*E19/10000,0))</f>
        <v>0</v>
      </c>
      <c r="D19" s="440">
        <f ca="1">D9+D10</f>
        <v>54377.37</v>
      </c>
      <c r="E19" s="416">
        <f>'数据-取费表'!B31</f>
        <v>200</v>
      </c>
      <c r="F19" s="441"/>
      <c r="G19" s="2466" t="s">
        <v>1142</v>
      </c>
    </row>
    <row r="20" s="396" customFormat="1" ht="13.5" customHeight="1" spans="1:7">
      <c r="A20" s="414" t="s">
        <v>1143</v>
      </c>
      <c r="B20" s="415" t="s">
        <v>1144</v>
      </c>
      <c r="C20" s="442">
        <f ca="1">ROUND((C5+C19)*F20,0)</f>
        <v>45</v>
      </c>
      <c r="D20" s="442"/>
      <c r="E20" s="442"/>
      <c r="F20" s="443">
        <f>'数据-取费表'!B37</f>
        <v>0.02</v>
      </c>
      <c r="G20" s="447" t="s">
        <v>1145</v>
      </c>
    </row>
    <row r="21" s="396" customFormat="1" ht="13.5" customHeight="1" spans="1:7">
      <c r="A21" s="414" t="s">
        <v>1146</v>
      </c>
      <c r="B21" s="415" t="s">
        <v>1147</v>
      </c>
      <c r="C21" s="445">
        <f>F21</f>
        <v>0.02</v>
      </c>
      <c r="D21" s="446" t="s">
        <v>1148</v>
      </c>
      <c r="E21" s="442"/>
      <c r="F21" s="443">
        <f>'数据-取费表'!B38</f>
        <v>0.02</v>
      </c>
      <c r="G21" s="447" t="s">
        <v>1149</v>
      </c>
    </row>
    <row r="22" s="396" customFormat="1" ht="13.5" customHeight="1" spans="1:7">
      <c r="A22" s="414" t="s">
        <v>1150</v>
      </c>
      <c r="B22" s="415" t="s">
        <v>1151</v>
      </c>
      <c r="C22" s="448">
        <f ca="1">ROUND(SUM(C23:C25),0)</f>
        <v>55</v>
      </c>
      <c r="D22" s="445">
        <f ca="1">C26</f>
        <v>0.0002</v>
      </c>
      <c r="E22" s="446" t="s">
        <v>1148</v>
      </c>
      <c r="F22" s="449">
        <f ca="1">'数据-取费表'!B40</f>
        <v>0.03</v>
      </c>
      <c r="G22" s="447" t="str">
        <f>IF('数据-取费表'!B22&lt;=1,"单利计息","复利计息")</f>
        <v>单利计息</v>
      </c>
    </row>
    <row r="23" s="396" customFormat="1" ht="13.5" customHeight="1" spans="1:7">
      <c r="A23" s="450" t="s">
        <v>1112</v>
      </c>
      <c r="B23" s="420" t="s">
        <v>1152</v>
      </c>
      <c r="C23" s="451">
        <f ca="1">ROUND(IF('数据-取费表'!B22&lt;=1,C5*F22*'数据-取费表'!B23,C5*(POWER((1+F22),'数据-取费表'!B23)-1)),0)</f>
        <v>54</v>
      </c>
      <c r="D23" s="452"/>
      <c r="E23" s="452"/>
      <c r="F23" s="453"/>
      <c r="G23" s="454" t="s">
        <v>1153</v>
      </c>
    </row>
    <row r="24" s="396" customFormat="1" ht="13.5" customHeight="1" spans="1:7">
      <c r="A24" s="450" t="s">
        <v>1114</v>
      </c>
      <c r="B24" s="420" t="s">
        <v>1154</v>
      </c>
      <c r="C24" s="451">
        <f ca="1">ROUND(IF('数据-取费表'!B22&lt;=1,C19*F22*('数据-取费表'!B19/2+'数据-取费表'!B21),C19*(POWER((1+F22),('数据-取费表'!B19/2+'数据-取费表'!B21))-1)),0)</f>
        <v>0</v>
      </c>
      <c r="D24" s="452"/>
      <c r="E24" s="452"/>
      <c r="F24" s="453"/>
      <c r="G24" s="454" t="s">
        <v>1155</v>
      </c>
    </row>
    <row r="25" s="396" customFormat="1" ht="26" spans="1:7">
      <c r="A25" s="450" t="s">
        <v>1116</v>
      </c>
      <c r="B25" s="420" t="s">
        <v>1156</v>
      </c>
      <c r="C25" s="451">
        <f ca="1">ROUND(IF('数据-取费表'!B22&lt;=1,C20*F22*'数据-取费表'!B23/2,C20*(POWER((1+F22),'数据-取费表'!B23/2)-1)),0)</f>
        <v>1</v>
      </c>
      <c r="D25" s="452"/>
      <c r="E25" s="455"/>
      <c r="F25" s="453"/>
      <c r="G25" s="456" t="s">
        <v>1157</v>
      </c>
    </row>
    <row r="26" s="396" customFormat="1" ht="13" spans="1:7">
      <c r="A26" s="450" t="s">
        <v>1158</v>
      </c>
      <c r="B26" s="420" t="s">
        <v>1159</v>
      </c>
      <c r="C26" s="452">
        <f ca="1">ROUND(IF('数据-取费表'!B22&lt;=1,F21*F22*'数据-取费表'!B23/2,F21*(POWER((1+F22),'数据-取费表'!B23/2)-1)),4)</f>
        <v>0.0002</v>
      </c>
      <c r="D26" s="452"/>
      <c r="E26" s="455"/>
      <c r="F26" s="453"/>
      <c r="G26" s="457"/>
    </row>
    <row r="27" s="396" customFormat="1" ht="26" spans="1:7">
      <c r="A27" s="414" t="s">
        <v>1160</v>
      </c>
      <c r="B27" s="458" t="s">
        <v>1161</v>
      </c>
      <c r="C27" s="459">
        <f ca="1">C28</f>
        <v>92</v>
      </c>
      <c r="D27" s="445">
        <f ca="1">C29</f>
        <v>0.0008</v>
      </c>
      <c r="E27" s="446" t="s">
        <v>1148</v>
      </c>
      <c r="F27" s="460">
        <f ca="1">IF(B1="",'数据-取费表'!Q16,INDIRECT("'数据-取费表'!q"&amp;$G$1))</f>
        <v>0.05</v>
      </c>
      <c r="G27" s="461" t="s">
        <v>1162</v>
      </c>
    </row>
    <row r="28" s="396" customFormat="1" ht="13.5" customHeight="1" spans="1:7">
      <c r="A28" s="450" t="s">
        <v>1112</v>
      </c>
      <c r="B28" s="462" t="s">
        <v>1163</v>
      </c>
      <c r="C28" s="463">
        <f ca="1">ROUND((C5+C19+C20)*F27*'数据-取费表'!B21/'数据-取费表'!B20,0)</f>
        <v>92</v>
      </c>
      <c r="D28" s="445"/>
      <c r="E28" s="446"/>
      <c r="F28" s="460"/>
      <c r="G28" s="461"/>
    </row>
    <row r="29" s="396" customFormat="1" ht="13.5" customHeight="1" spans="1:7">
      <c r="A29" s="450" t="s">
        <v>1114</v>
      </c>
      <c r="B29" s="462" t="s">
        <v>1164</v>
      </c>
      <c r="C29" s="452">
        <f ca="1">ROUND(C21*F27*'数据-取费表'!B21/'数据-取费表'!B20,4)</f>
        <v>0.0008</v>
      </c>
      <c r="D29" s="445"/>
      <c r="E29" s="446"/>
      <c r="F29" s="460"/>
      <c r="G29" s="461"/>
    </row>
    <row r="30" s="396" customFormat="1" ht="13.5" customHeight="1" spans="1:7">
      <c r="A30" s="414" t="s">
        <v>1165</v>
      </c>
      <c r="B30" s="415" t="s">
        <v>1166</v>
      </c>
      <c r="C30" s="445">
        <f>ROUND(F30/(1+'数据-取费表'!C42),4)</f>
        <v>0.0524</v>
      </c>
      <c r="D30" s="446" t="s">
        <v>1148</v>
      </c>
      <c r="E30" s="455"/>
      <c r="F30" s="449">
        <f>'数据-取费表'!B41</f>
        <v>0.055</v>
      </c>
      <c r="G30" s="447" t="s">
        <v>1167</v>
      </c>
    </row>
    <row r="31" ht="16.5" customHeight="1" spans="1:7">
      <c r="A31" s="464">
        <v>1</v>
      </c>
      <c r="B31" s="415" t="s">
        <v>1168</v>
      </c>
      <c r="C31" s="416">
        <f ca="1">ROUND((C5+C19+C20+C22+C27)/(1-C21-D22-D27-C30),0)</f>
        <v>2643</v>
      </c>
      <c r="D31" s="465"/>
      <c r="E31" s="416"/>
      <c r="F31" s="466"/>
      <c r="G31" s="447" t="s">
        <v>1169</v>
      </c>
    </row>
    <row r="32" s="395" customFormat="1" ht="15.5" spans="1:7">
      <c r="A32" s="467" t="s">
        <v>1170</v>
      </c>
      <c r="B32" s="468"/>
      <c r="C32" s="468"/>
      <c r="D32" s="468"/>
      <c r="E32" s="468"/>
      <c r="F32" s="468"/>
      <c r="G32" s="469"/>
    </row>
    <row r="33" s="396" customFormat="1" ht="13.5" customHeight="1" spans="1:7">
      <c r="A33" s="414" t="s">
        <v>1108</v>
      </c>
      <c r="B33" s="415" t="s">
        <v>1171</v>
      </c>
      <c r="C33" s="470">
        <f ca="1">SUM(C34:C38)</f>
        <v>8907</v>
      </c>
      <c r="D33" s="442"/>
      <c r="E33" s="417"/>
      <c r="F33" s="455"/>
      <c r="G33" s="447"/>
    </row>
    <row r="34" s="398" customFormat="1" ht="13.5" customHeight="1" spans="1:7">
      <c r="A34" s="450" t="s">
        <v>1112</v>
      </c>
      <c r="B34" s="420" t="s">
        <v>1172</v>
      </c>
      <c r="C34" s="425">
        <f ca="1">IF(B1="",IF(F34=100%,'数据-取费表'!M16,'数据-取费表'!O16),IF(F34=100%,INDIRECT("'数据-取费表'!m"&amp;$G$1)+INDIRECT("'数据-取费表'!t"&amp;$G$1),INDIRECT("'数据-取费表'!o"&amp;$G$1)+INDIRECT("'数据-取费表'!aq"&amp;$G$1)))</f>
        <v>7613</v>
      </c>
      <c r="D34" s="422"/>
      <c r="E34" s="425"/>
      <c r="F34" s="471">
        <f ca="1">IF('数据-取费表'!B24=0,1,IF(B1="",'数据-取费表'!N16,INDIRECT("'数据-取费表'!n"&amp;$G$1)))</f>
        <v>0.7</v>
      </c>
      <c r="G34" s="424" t="s">
        <v>1173</v>
      </c>
    </row>
    <row r="35" ht="13.5" customHeight="1" spans="1:7">
      <c r="A35" s="450" t="s">
        <v>1114</v>
      </c>
      <c r="B35" s="420" t="s">
        <v>1174</v>
      </c>
      <c r="C35" s="425">
        <f ca="1">ROUND(C34*F35,0)</f>
        <v>381</v>
      </c>
      <c r="D35" s="425"/>
      <c r="E35" s="425"/>
      <c r="F35" s="472">
        <f>'数据-取费表'!B33</f>
        <v>0.05</v>
      </c>
      <c r="G35" s="424" t="s">
        <v>1175</v>
      </c>
    </row>
    <row r="36" ht="26" spans="1:7">
      <c r="A36" s="450" t="s">
        <v>1116</v>
      </c>
      <c r="B36" s="420" t="s">
        <v>1176</v>
      </c>
      <c r="C36" s="425">
        <f ca="1">ROUND(IF(B1="",SUMIF('数据-取费表'!C:C,"住宅",IF(F34=100%,'数据-取费表'!M:M,'数据-取费表'!O:O))*F36,IF(INDIRECT("'数据-取费表'!c"&amp;$G$1)="住宅",IF(F34=100%,INDIRECT("'数据-取费表'!m"&amp;$G$1)*F36,INDIRECT("'数据-取费表'!o"&amp;$G$1)*F36),0)),0)</f>
        <v>0</v>
      </c>
      <c r="D36" s="425"/>
      <c r="E36" s="425"/>
      <c r="F36" s="472">
        <f>'数据-取费表'!B34</f>
        <v>0</v>
      </c>
      <c r="G36" s="473" t="s">
        <v>1177</v>
      </c>
    </row>
    <row r="37" s="398" customFormat="1" ht="13.5" customHeight="1" spans="1:7">
      <c r="A37" s="450" t="s">
        <v>1158</v>
      </c>
      <c r="B37" s="420" t="s">
        <v>1178</v>
      </c>
      <c r="C37" s="463">
        <f ca="1">ROUND(E37*D37*F34/10000,0)</f>
        <v>761</v>
      </c>
      <c r="D37" s="422">
        <f ca="1">D19</f>
        <v>54377.37</v>
      </c>
      <c r="E37" s="463">
        <f>'数据-取费表'!B35</f>
        <v>200</v>
      </c>
      <c r="F37" s="472"/>
      <c r="G37" s="474" t="s">
        <v>1179</v>
      </c>
    </row>
    <row r="38" ht="13.5" customHeight="1" spans="1:7">
      <c r="A38" s="450" t="s">
        <v>1180</v>
      </c>
      <c r="B38" s="420" t="s">
        <v>947</v>
      </c>
      <c r="C38" s="425">
        <f ca="1">ROUND(C34*F38,0)</f>
        <v>152</v>
      </c>
      <c r="D38" s="425"/>
      <c r="E38" s="425"/>
      <c r="F38" s="472">
        <f>'数据-取费表'!B36</f>
        <v>0.02</v>
      </c>
      <c r="G38" s="424" t="s">
        <v>1175</v>
      </c>
    </row>
    <row r="39" s="396" customFormat="1" ht="13.5" customHeight="1" spans="1:7">
      <c r="A39" s="414" t="s">
        <v>1140</v>
      </c>
      <c r="B39" s="415" t="s">
        <v>1144</v>
      </c>
      <c r="C39" s="442">
        <f ca="1">ROUND(C33*F20,0)</f>
        <v>178</v>
      </c>
      <c r="D39" s="442"/>
      <c r="E39" s="442"/>
      <c r="F39" s="443">
        <f>F20</f>
        <v>0.02</v>
      </c>
      <c r="G39" s="447" t="s">
        <v>1181</v>
      </c>
    </row>
    <row r="40" s="396" customFormat="1" ht="13.5" customHeight="1" spans="1:7">
      <c r="A40" s="414" t="s">
        <v>1143</v>
      </c>
      <c r="B40" s="415" t="s">
        <v>1147</v>
      </c>
      <c r="C40" s="2469">
        <f>F21</f>
        <v>0.02</v>
      </c>
      <c r="D40" s="446" t="s">
        <v>1182</v>
      </c>
      <c r="E40" s="442"/>
      <c r="F40" s="443">
        <f>F21</f>
        <v>0.02</v>
      </c>
      <c r="G40" s="447" t="s">
        <v>1183</v>
      </c>
    </row>
    <row r="41" s="396" customFormat="1" ht="13.5" customHeight="1" spans="1:7">
      <c r="A41" s="414" t="s">
        <v>1146</v>
      </c>
      <c r="B41" s="415" t="s">
        <v>1151</v>
      </c>
      <c r="C41" s="442">
        <f ca="1">ROUND(SUM(C42:C43),0)</f>
        <v>109</v>
      </c>
      <c r="D41" s="445">
        <f ca="1">C44</f>
        <v>0.0002</v>
      </c>
      <c r="E41" s="446" t="s">
        <v>1182</v>
      </c>
      <c r="F41" s="449">
        <f ca="1">F22</f>
        <v>0.03</v>
      </c>
      <c r="G41" s="447" t="str">
        <f>IF('数据-取费表'!B22&lt;=1,"单利计息","复利计息")</f>
        <v>单利计息</v>
      </c>
    </row>
    <row r="42" ht="13.5" customHeight="1" spans="1:7">
      <c r="A42" s="450" t="s">
        <v>1112</v>
      </c>
      <c r="B42" s="420" t="s">
        <v>1152</v>
      </c>
      <c r="C42" s="452">
        <f ca="1">ROUND(IF('数据-取费表'!B22&lt;=1,C33*F22*'数据-取费表'!B21/2,C33*(POWER((1+F22),'数据-取费表'!B21/2)-1)),0)</f>
        <v>107</v>
      </c>
      <c r="D42" s="452"/>
      <c r="E42" s="452"/>
      <c r="F42" s="453"/>
      <c r="G42" s="476" t="s">
        <v>1184</v>
      </c>
    </row>
    <row r="43" ht="13.5" customHeight="1" spans="1:7">
      <c r="A43" s="450" t="s">
        <v>1114</v>
      </c>
      <c r="B43" s="420" t="s">
        <v>1154</v>
      </c>
      <c r="C43" s="452">
        <f ca="1">ROUND(IF('数据-取费表'!B22&lt;=1,C39*F22*'数据-取费表'!B21/2,C39*(POWER((1+F22),'数据-取费表'!B21/2)-1)),0)</f>
        <v>2</v>
      </c>
      <c r="D43" s="452"/>
      <c r="E43" s="452"/>
      <c r="F43" s="453"/>
      <c r="G43" s="477"/>
    </row>
    <row r="44" ht="13.5" customHeight="1" spans="1:7">
      <c r="A44" s="450" t="s">
        <v>1116</v>
      </c>
      <c r="B44" s="420" t="s">
        <v>1156</v>
      </c>
      <c r="C44" s="452">
        <f ca="1">ROUND(IF('数据-取费表'!B22&lt;=1,C40*F22*'数据-取费表'!B21/2,C40*(POWER((1+F22),'数据-取费表'!B21/2)-1)),4)</f>
        <v>0.0002</v>
      </c>
      <c r="D44" s="452"/>
      <c r="E44" s="452"/>
      <c r="F44" s="453"/>
      <c r="G44" s="478"/>
    </row>
    <row r="45" s="396" customFormat="1" ht="13.5" customHeight="1" spans="1:7">
      <c r="A45" s="414" t="s">
        <v>1150</v>
      </c>
      <c r="B45" s="458" t="s">
        <v>1161</v>
      </c>
      <c r="C45" s="459">
        <f ca="1">C46</f>
        <v>454</v>
      </c>
      <c r="D45" s="445">
        <f ca="1">C47</f>
        <v>0.001</v>
      </c>
      <c r="E45" s="446" t="s">
        <v>1182</v>
      </c>
      <c r="F45" s="460">
        <f ca="1">F27</f>
        <v>0.05</v>
      </c>
      <c r="G45" s="461" t="s">
        <v>1185</v>
      </c>
    </row>
    <row r="46" s="396" customFormat="1" ht="13.5" customHeight="1" spans="1:7">
      <c r="A46" s="450" t="s">
        <v>1112</v>
      </c>
      <c r="B46" s="462" t="s">
        <v>1186</v>
      </c>
      <c r="C46" s="463">
        <f ca="1">ROUND((C33+C39)*F27,0)</f>
        <v>454</v>
      </c>
      <c r="D46" s="479"/>
      <c r="E46" s="446"/>
      <c r="F46" s="460"/>
      <c r="G46" s="461"/>
    </row>
    <row r="47" s="396" customFormat="1" ht="13.5" customHeight="1" spans="1:7">
      <c r="A47" s="450" t="s">
        <v>1114</v>
      </c>
      <c r="B47" s="462" t="s">
        <v>1187</v>
      </c>
      <c r="C47" s="452">
        <f ca="1">ROUND(C40*F27,4)</f>
        <v>0.001</v>
      </c>
      <c r="D47" s="479"/>
      <c r="E47" s="446"/>
      <c r="F47" s="460"/>
      <c r="G47" s="461"/>
    </row>
    <row r="48" s="396" customFormat="1" ht="13.5" customHeight="1" spans="1:7">
      <c r="A48" s="414" t="s">
        <v>1160</v>
      </c>
      <c r="B48" s="415" t="s">
        <v>1166</v>
      </c>
      <c r="C48" s="2469">
        <f>ROUND(F30/(1+'数据-取费表'!C42),4)</f>
        <v>0.0524</v>
      </c>
      <c r="D48" s="446" t="s">
        <v>1182</v>
      </c>
      <c r="E48" s="442"/>
      <c r="F48" s="449">
        <f>F30</f>
        <v>0.055</v>
      </c>
      <c r="G48" s="447" t="s">
        <v>1188</v>
      </c>
    </row>
    <row r="49" ht="16.5" customHeight="1" spans="1:7">
      <c r="A49" s="414" t="s">
        <v>1165</v>
      </c>
      <c r="B49" s="415" t="s">
        <v>1189</v>
      </c>
      <c r="C49" s="442">
        <f ca="1">ROUND((C33+C39+C41+C45)/(1-C40-D41-D45-C48),0)</f>
        <v>10415</v>
      </c>
      <c r="D49" s="442"/>
      <c r="E49" s="442"/>
      <c r="F49" s="480"/>
      <c r="G49" s="447" t="s">
        <v>1190</v>
      </c>
    </row>
    <row r="50" s="398" customFormat="1" ht="26" spans="1:7">
      <c r="A50" s="414" t="s">
        <v>1191</v>
      </c>
      <c r="B50" s="415" t="s">
        <v>1192</v>
      </c>
      <c r="C50" s="442"/>
      <c r="D50" s="442"/>
      <c r="E50" s="442"/>
      <c r="F50" s="480">
        <f>IF('数据-取费表'!B24=0,'数据-取费表'!N16,1)</f>
        <v>1</v>
      </c>
      <c r="G50" s="461" t="s">
        <v>1193</v>
      </c>
    </row>
    <row r="51" ht="16.5" customHeight="1" spans="1:7">
      <c r="A51" s="414" t="s">
        <v>1194</v>
      </c>
      <c r="B51" s="415" t="s">
        <v>1195</v>
      </c>
      <c r="C51" s="442">
        <f ca="1">ROUND(C49*F50,0)</f>
        <v>10415</v>
      </c>
      <c r="D51" s="442"/>
      <c r="E51" s="442"/>
      <c r="F51" s="480"/>
      <c r="G51" s="447" t="s">
        <v>1196</v>
      </c>
    </row>
    <row r="52" s="395" customFormat="1" ht="16.25" spans="1:7">
      <c r="A52" s="481" t="s">
        <v>1197</v>
      </c>
      <c r="B52" s="482"/>
      <c r="C52" s="483">
        <f ca="1">C31+C51</f>
        <v>13058</v>
      </c>
      <c r="D52" s="482"/>
      <c r="E52" s="482"/>
      <c r="F52" s="482"/>
      <c r="G52" s="484"/>
    </row>
    <row r="55" ht="15.5" spans="2:3">
      <c r="B55" s="485" t="s">
        <v>1198</v>
      </c>
      <c r="C55" s="486"/>
    </row>
    <row r="56" ht="13" spans="2:3">
      <c r="B56" s="487" t="s">
        <v>1199</v>
      </c>
      <c r="C56" s="489">
        <f ca="1">1-C57</f>
        <v>0.202</v>
      </c>
    </row>
    <row r="57" ht="13" spans="2:3">
      <c r="B57" s="487" t="s">
        <v>1200</v>
      </c>
      <c r="C57" s="488">
        <f ca="1">ROUND(C51/C52,3)</f>
        <v>0.798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8" width="10.7545454545455" style="400" customWidth="1"/>
    <col min="9" max="254" width="9" style="400" customWidth="1"/>
    <col min="255" max="16384" width="8.37272727272727" style="400"/>
  </cols>
  <sheetData>
    <row r="1" s="394" customFormat="1" ht="21" spans="1:8">
      <c r="A1" s="402" t="s">
        <v>1105</v>
      </c>
      <c r="B1" s="2458"/>
      <c r="C1" s="2459" t="s">
        <v>1201</v>
      </c>
      <c r="D1" s="404"/>
      <c r="E1" s="404"/>
      <c r="F1" s="404"/>
      <c r="G1" s="2460">
        <f>MATCH(B1,'数据-取费表'!A6:A16,0)+5</f>
        <v>7</v>
      </c>
      <c r="H1" s="1805" t="str">
        <f>IF(ISERROR(FIND("住宅",B1)),"非住宅","住宅")</f>
        <v>非住宅</v>
      </c>
    </row>
    <row r="2" s="394" customFormat="1" ht="18" customHeight="1" spans="1:7">
      <c r="A2" s="406" t="s">
        <v>1012</v>
      </c>
      <c r="B2" s="2461">
        <f ca="1">ROUND(IF(D2="——",C52/10000,C52/10000-E2),4)</f>
        <v>17378.8971</v>
      </c>
      <c r="C2" s="405" t="s">
        <v>1013</v>
      </c>
      <c r="D2" s="2462" t="s">
        <v>124</v>
      </c>
      <c r="E2" s="2463" t="e">
        <f ca="1">SUMIF(INDIRECT("'"&amp;G2&amp;"'"&amp;"!A:A"),"承租人权益价值",INDIRECT("'"&amp;G2&amp;"'"&amp;"!c:c"))</f>
        <v>#REF!</v>
      </c>
      <c r="F2" s="2464" t="s">
        <v>1013</v>
      </c>
      <c r="G2" s="2465"/>
    </row>
    <row r="3" s="394" customFormat="1" ht="18" customHeight="1" spans="1:7">
      <c r="A3" s="409" t="s">
        <v>1014</v>
      </c>
      <c r="B3" s="410">
        <f ca="1">ROUND(B2*10000/(IF(B1="",'数据-汇总表'!E3,INDIRECT("'数据-取费表'!k"&amp;$G$1))),0)</f>
        <v>3196</v>
      </c>
      <c r="C3" s="405" t="s">
        <v>1106</v>
      </c>
      <c r="D3" s="405"/>
      <c r="E3" s="405"/>
      <c r="F3" s="405"/>
      <c r="G3" s="405"/>
    </row>
    <row r="4" s="395" customFormat="1" ht="15.5" spans="1:7">
      <c r="A4" s="411" t="s">
        <v>1107</v>
      </c>
      <c r="B4" s="412"/>
      <c r="C4" s="412"/>
      <c r="D4" s="412"/>
      <c r="E4" s="412"/>
      <c r="F4" s="412"/>
      <c r="G4" s="413"/>
    </row>
    <row r="5" s="396" customFormat="1" ht="13.5" customHeight="1" spans="1:7">
      <c r="A5" s="414" t="s">
        <v>1108</v>
      </c>
      <c r="B5" s="415" t="s">
        <v>1109</v>
      </c>
      <c r="C5" s="416">
        <f ca="1">C6+C7+C8</f>
        <v>9787927</v>
      </c>
      <c r="D5" s="416" t="s">
        <v>1110</v>
      </c>
      <c r="E5" s="417" t="s">
        <v>1111</v>
      </c>
      <c r="F5" s="417" t="s">
        <v>911</v>
      </c>
      <c r="G5" s="418"/>
    </row>
    <row r="6" s="396" customFormat="1" ht="13.5" customHeight="1" spans="1:7">
      <c r="A6" s="419" t="s">
        <v>1112</v>
      </c>
      <c r="B6" s="420" t="s">
        <v>1113</v>
      </c>
      <c r="C6" s="421"/>
      <c r="D6" s="422"/>
      <c r="E6" s="423"/>
      <c r="F6" s="423"/>
      <c r="G6" s="424"/>
    </row>
    <row r="7" s="396" customFormat="1" ht="13.5" customHeight="1" spans="1:7">
      <c r="A7" s="419" t="s">
        <v>1114</v>
      </c>
      <c r="B7" s="420" t="s">
        <v>1115</v>
      </c>
      <c r="C7" s="425">
        <f>ROUND(C6*F7,0)</f>
        <v>0</v>
      </c>
      <c r="D7" s="425"/>
      <c r="E7" s="423"/>
      <c r="F7" s="426">
        <f>IF(项目基本情况!B8="出让",0,'数据-取费表'!B48+'数据-取费表'!B49)</f>
        <v>0.0405</v>
      </c>
      <c r="G7" s="424"/>
    </row>
    <row r="8" s="397" customFormat="1" ht="13" spans="1:7">
      <c r="A8" s="419" t="s">
        <v>1116</v>
      </c>
      <c r="B8" s="420" t="s">
        <v>1117</v>
      </c>
      <c r="C8" s="425">
        <f ca="1">IF(G8="已包含在土地购买价格中",0,C9+C10)</f>
        <v>9787927</v>
      </c>
      <c r="D8" s="427"/>
      <c r="E8" s="425"/>
      <c r="F8" s="426"/>
      <c r="G8" s="2466"/>
    </row>
    <row r="9" s="396" customFormat="1" ht="13.5" customHeight="1" spans="1:7">
      <c r="A9" s="429" t="s">
        <v>1119</v>
      </c>
      <c r="B9" s="430" t="s">
        <v>1120</v>
      </c>
      <c r="C9" s="431">
        <f ca="1">ROUND(D9*E9,0)</f>
        <v>0</v>
      </c>
      <c r="D9" s="432">
        <f ca="1">IF(B1="",'数据-汇总表'!E5,IF(INDIRECT("'数据-取费表'!c"&amp;$G$1)="住宅",INDIRECT("'数据-取费表'!k"&amp;$G$1),0))</f>
        <v>0</v>
      </c>
      <c r="E9" s="431">
        <f>'数据-取费表'!B27</f>
        <v>0</v>
      </c>
      <c r="F9" s="426"/>
      <c r="G9" s="433"/>
    </row>
    <row r="10" s="396" customFormat="1" ht="13.5" customHeight="1" spans="1:7">
      <c r="A10" s="429" t="s">
        <v>1122</v>
      </c>
      <c r="B10" s="430" t="s">
        <v>1123</v>
      </c>
      <c r="C10" s="431">
        <f ca="1">ROUND(D10*E10,0)</f>
        <v>9787927</v>
      </c>
      <c r="D10" s="432">
        <f ca="1">IF(B1="",'数据-汇总表'!E6,IF(INDIRECT("'数据-取费表'!c"&amp;$G$1)="住宅",INDIRECT("'数据-取费表'!s"&amp;$G$1),INDIRECT("'数据-取费表'!k"&amp;$G$1)+INDIRECT("'数据-取费表'!s"&amp;$G$1)))</f>
        <v>54377.37</v>
      </c>
      <c r="E10" s="431">
        <f>'数据-取费表'!B28</f>
        <v>180</v>
      </c>
      <c r="F10" s="426"/>
      <c r="G10" s="433"/>
    </row>
    <row r="11" s="396" customFormat="1" ht="13.5" hidden="1" customHeight="1" spans="1:7">
      <c r="A11" s="434" t="s">
        <v>1124</v>
      </c>
      <c r="B11" s="420" t="s">
        <v>1125</v>
      </c>
      <c r="C11" s="416"/>
      <c r="D11" s="435"/>
      <c r="E11" s="423"/>
      <c r="F11" s="423"/>
      <c r="G11" s="424"/>
    </row>
    <row r="12" s="396" customFormat="1" ht="13.5" hidden="1" customHeight="1" spans="1:7">
      <c r="A12" s="434" t="s">
        <v>1126</v>
      </c>
      <c r="B12" s="420" t="s">
        <v>947</v>
      </c>
      <c r="C12" s="416">
        <v>0</v>
      </c>
      <c r="D12" s="435"/>
      <c r="E12" s="436"/>
      <c r="F12" s="426">
        <v>0.0305</v>
      </c>
      <c r="G12" s="424"/>
    </row>
    <row r="13" s="396" customFormat="1" ht="13.5" hidden="1" customHeight="1" spans="1:7">
      <c r="A13" s="434" t="s">
        <v>1127</v>
      </c>
      <c r="B13" s="420" t="s">
        <v>1128</v>
      </c>
      <c r="C13" s="416"/>
      <c r="D13" s="435"/>
      <c r="E13" s="423"/>
      <c r="F13" s="423"/>
      <c r="G13" s="424"/>
    </row>
    <row r="14" s="396" customFormat="1" ht="13.5" hidden="1" customHeight="1" spans="1:7">
      <c r="A14" s="434" t="s">
        <v>1129</v>
      </c>
      <c r="B14" s="420" t="s">
        <v>1117</v>
      </c>
      <c r="C14" s="416"/>
      <c r="D14" s="435"/>
      <c r="E14" s="423"/>
      <c r="F14" s="423"/>
      <c r="G14" s="424" t="s">
        <v>1130</v>
      </c>
    </row>
    <row r="15" s="396" customFormat="1" ht="13.5" hidden="1" customHeight="1" spans="1:7">
      <c r="A15" s="434" t="s">
        <v>1131</v>
      </c>
      <c r="B15" s="420" t="s">
        <v>1132</v>
      </c>
      <c r="C15" s="425"/>
      <c r="D15" s="435"/>
      <c r="E15" s="423"/>
      <c r="F15" s="423"/>
      <c r="G15" s="424" t="s">
        <v>1133</v>
      </c>
    </row>
    <row r="16" s="396" customFormat="1" ht="13.5" hidden="1" customHeight="1" spans="1:7">
      <c r="A16" s="434" t="s">
        <v>1134</v>
      </c>
      <c r="B16" s="420" t="s">
        <v>1117</v>
      </c>
      <c r="C16" s="425"/>
      <c r="D16" s="435"/>
      <c r="E16" s="423"/>
      <c r="F16" s="423"/>
      <c r="G16" s="424"/>
    </row>
    <row r="17" s="396" customFormat="1" ht="13.5" hidden="1" customHeight="1" spans="1:7">
      <c r="A17" s="434" t="s">
        <v>1135</v>
      </c>
      <c r="B17" s="420" t="s">
        <v>1136</v>
      </c>
      <c r="C17" s="437"/>
      <c r="D17" s="438"/>
      <c r="E17" s="437"/>
      <c r="F17" s="437"/>
      <c r="G17" s="424" t="s">
        <v>1133</v>
      </c>
    </row>
    <row r="18" s="396" customFormat="1" ht="13.5" hidden="1" customHeight="1" spans="1:7">
      <c r="A18" s="434" t="s">
        <v>1137</v>
      </c>
      <c r="B18" s="420" t="s">
        <v>1138</v>
      </c>
      <c r="C18" s="425">
        <v>0</v>
      </c>
      <c r="D18" s="435"/>
      <c r="E18" s="423"/>
      <c r="F18" s="426">
        <v>0.0305</v>
      </c>
      <c r="G18" s="424" t="s">
        <v>1139</v>
      </c>
    </row>
    <row r="19" s="397" customFormat="1" ht="13.5" customHeight="1" spans="1:7">
      <c r="A19" s="414" t="s">
        <v>1140</v>
      </c>
      <c r="B19" s="415" t="s">
        <v>1141</v>
      </c>
      <c r="C19" s="416">
        <f ca="1">IF(G19="已包含在土地取得成本中","0",ROUND(D19*E19,0))</f>
        <v>10875474</v>
      </c>
      <c r="D19" s="440">
        <f ca="1">D9+D10</f>
        <v>54377.37</v>
      </c>
      <c r="E19" s="416">
        <f>'数据-取费表'!B31</f>
        <v>200</v>
      </c>
      <c r="F19" s="441"/>
      <c r="G19" s="2466"/>
    </row>
    <row r="20" s="396" customFormat="1" ht="13.5" customHeight="1" spans="1:7">
      <c r="A20" s="414" t="s">
        <v>1143</v>
      </c>
      <c r="B20" s="415" t="s">
        <v>1144</v>
      </c>
      <c r="C20" s="442">
        <f ca="1">ROUND((C5+C19)*F20,0)</f>
        <v>413268</v>
      </c>
      <c r="D20" s="442"/>
      <c r="E20" s="442"/>
      <c r="F20" s="443">
        <f>'数据-取费表'!B37</f>
        <v>0.02</v>
      </c>
      <c r="G20" s="447" t="s">
        <v>1145</v>
      </c>
    </row>
    <row r="21" s="396" customFormat="1" ht="13.5" customHeight="1" spans="1:7">
      <c r="A21" s="414" t="s">
        <v>1146</v>
      </c>
      <c r="B21" s="415" t="s">
        <v>1147</v>
      </c>
      <c r="C21" s="445">
        <f>F21</f>
        <v>0.02</v>
      </c>
      <c r="D21" s="446" t="s">
        <v>1148</v>
      </c>
      <c r="E21" s="442"/>
      <c r="F21" s="443">
        <f>'数据-取费表'!B38</f>
        <v>0.02</v>
      </c>
      <c r="G21" s="447" t="s">
        <v>1149</v>
      </c>
    </row>
    <row r="22" s="396" customFormat="1" ht="13.5" customHeight="1" spans="1:7">
      <c r="A22" s="414" t="s">
        <v>1150</v>
      </c>
      <c r="B22" s="415" t="s">
        <v>1151</v>
      </c>
      <c r="C22" s="2467">
        <f ca="1">ROUND(SUM(C23:C25),0)</f>
        <v>626101</v>
      </c>
      <c r="D22" s="445">
        <f ca="1">C26</f>
        <v>0.0003</v>
      </c>
      <c r="E22" s="446" t="s">
        <v>1148</v>
      </c>
      <c r="F22" s="449">
        <f ca="1">'数据-取费表'!B40</f>
        <v>0.03</v>
      </c>
      <c r="G22" s="447" t="str">
        <f>IF('数据-取费表'!B22&lt;=1,"单利计息","复利计息")</f>
        <v>单利计息</v>
      </c>
    </row>
    <row r="23" s="396" customFormat="1" ht="13.5" customHeight="1" spans="1:7">
      <c r="A23" s="450" t="s">
        <v>1112</v>
      </c>
      <c r="B23" s="420" t="s">
        <v>1152</v>
      </c>
      <c r="C23" s="2468">
        <f ca="1">ROUND(IF('数据-取费表'!B22&lt;=1,C5*F22*'数据-取费表'!B22,C5*(POWER((1+F22),'数据-取费表'!B22)-1)),0)</f>
        <v>293638</v>
      </c>
      <c r="D23" s="452"/>
      <c r="E23" s="452"/>
      <c r="F23" s="453"/>
      <c r="G23" s="454" t="s">
        <v>1153</v>
      </c>
    </row>
    <row r="24" s="396" customFormat="1" ht="13.5" customHeight="1" spans="1:7">
      <c r="A24" s="450" t="s">
        <v>1114</v>
      </c>
      <c r="B24" s="420" t="s">
        <v>1154</v>
      </c>
      <c r="C24" s="2468">
        <f ca="1">ROUND(IF('数据-取费表'!B22&lt;=1,C19*F22*('数据-取费表'!B19/2+'数据-取费表'!B20),C19*(POWER((1+F22),('数据-取费表'!B19/2+'数据-取费表'!B20))-1)),0)</f>
        <v>326264</v>
      </c>
      <c r="D24" s="452"/>
      <c r="E24" s="452"/>
      <c r="F24" s="453"/>
      <c r="G24" s="454" t="s">
        <v>1155</v>
      </c>
    </row>
    <row r="25" s="396" customFormat="1" ht="26" spans="1:7">
      <c r="A25" s="450" t="s">
        <v>1116</v>
      </c>
      <c r="B25" s="420" t="s">
        <v>1156</v>
      </c>
      <c r="C25" s="2468">
        <f ca="1">ROUND(IF('数据-取费表'!B22&lt;=1,C20*F22*'数据-取费表'!B22/2,C20*(POWER((1+F22),'数据-取费表'!B22/2)-1)),0)</f>
        <v>6199</v>
      </c>
      <c r="D25" s="452"/>
      <c r="E25" s="455"/>
      <c r="F25" s="453"/>
      <c r="G25" s="456" t="s">
        <v>1157</v>
      </c>
    </row>
    <row r="26" s="396" customFormat="1" ht="13" spans="1:7">
      <c r="A26" s="450" t="s">
        <v>1158</v>
      </c>
      <c r="B26" s="420" t="s">
        <v>1159</v>
      </c>
      <c r="C26" s="452">
        <f ca="1">ROUND(IF('数据-取费表'!B22&lt;=1,F21*F22*'数据-取费表'!B22/2,F21*(POWER((1+F22),'数据-取费表'!B22/2)-1)),4)</f>
        <v>0.0003</v>
      </c>
      <c r="D26" s="452"/>
      <c r="E26" s="455"/>
      <c r="F26" s="453"/>
      <c r="G26" s="457"/>
    </row>
    <row r="27" s="396" customFormat="1" ht="26" spans="1:7">
      <c r="A27" s="414" t="s">
        <v>1160</v>
      </c>
      <c r="B27" s="458" t="s">
        <v>1161</v>
      </c>
      <c r="C27" s="459">
        <f ca="1">C28</f>
        <v>1053833</v>
      </c>
      <c r="D27" s="445">
        <f ca="1">C29</f>
        <v>0.001</v>
      </c>
      <c r="E27" s="446" t="s">
        <v>1148</v>
      </c>
      <c r="F27" s="460">
        <f ca="1">IF(B1="",'数据-取费表'!Q16,INDIRECT("'数据-取费表'!q"&amp;$G$1))</f>
        <v>0.05</v>
      </c>
      <c r="G27" s="461" t="s">
        <v>1162</v>
      </c>
    </row>
    <row r="28" s="396" customFormat="1" ht="13.5" customHeight="1" spans="1:7">
      <c r="A28" s="450" t="s">
        <v>1112</v>
      </c>
      <c r="B28" s="462" t="s">
        <v>1163</v>
      </c>
      <c r="C28" s="463">
        <f ca="1">ROUND((C5+C19+C20)*F27,0)</f>
        <v>1053833</v>
      </c>
      <c r="D28" s="445"/>
      <c r="E28" s="446"/>
      <c r="F28" s="460"/>
      <c r="G28" s="461"/>
    </row>
    <row r="29" s="396" customFormat="1" ht="13.5" customHeight="1" spans="1:7">
      <c r="A29" s="450" t="s">
        <v>1114</v>
      </c>
      <c r="B29" s="462" t="s">
        <v>1164</v>
      </c>
      <c r="C29" s="452">
        <f ca="1">ROUND(C21*F27,4)</f>
        <v>0.001</v>
      </c>
      <c r="D29" s="445"/>
      <c r="E29" s="446"/>
      <c r="F29" s="460"/>
      <c r="G29" s="461"/>
    </row>
    <row r="30" s="396" customFormat="1" ht="13.5" customHeight="1" spans="1:7">
      <c r="A30" s="414" t="s">
        <v>1165</v>
      </c>
      <c r="B30" s="415" t="s">
        <v>1166</v>
      </c>
      <c r="C30" s="445">
        <f>ROUND(F30/(1+'数据-取费表'!C42),4)</f>
        <v>0.0524</v>
      </c>
      <c r="D30" s="446" t="s">
        <v>1148</v>
      </c>
      <c r="E30" s="455"/>
      <c r="F30" s="449">
        <f>'数据-取费表'!B41</f>
        <v>0.055</v>
      </c>
      <c r="G30" s="447" t="s">
        <v>1167</v>
      </c>
    </row>
    <row r="31" ht="16.5" customHeight="1" spans="1:7">
      <c r="A31" s="464">
        <v>1</v>
      </c>
      <c r="B31" s="415" t="s">
        <v>1168</v>
      </c>
      <c r="C31" s="416">
        <f ca="1">ROUND((C5+C19+C20+C22+C27)/(1-C21-D22-D27-C30),0)</f>
        <v>24567206</v>
      </c>
      <c r="D31" s="465"/>
      <c r="E31" s="416"/>
      <c r="F31" s="466"/>
      <c r="G31" s="447" t="s">
        <v>1169</v>
      </c>
    </row>
    <row r="32" s="395" customFormat="1" ht="15.5" spans="1:7">
      <c r="A32" s="467" t="s">
        <v>1202</v>
      </c>
      <c r="B32" s="468"/>
      <c r="C32" s="468"/>
      <c r="D32" s="468"/>
      <c r="E32" s="468"/>
      <c r="F32" s="468"/>
      <c r="G32" s="469"/>
    </row>
    <row r="33" s="396" customFormat="1" ht="13.5" customHeight="1" spans="1:7">
      <c r="A33" s="414" t="s">
        <v>1108</v>
      </c>
      <c r="B33" s="415" t="s">
        <v>1203</v>
      </c>
      <c r="C33" s="470">
        <f ca="1">SUM(C34:C38)</f>
        <v>127243046</v>
      </c>
      <c r="D33" s="442"/>
      <c r="E33" s="417"/>
      <c r="F33" s="455"/>
      <c r="G33" s="447"/>
    </row>
    <row r="34" s="398" customFormat="1" ht="13.5" customHeight="1" spans="1:7">
      <c r="A34" s="450" t="s">
        <v>1112</v>
      </c>
      <c r="B34" s="420" t="s">
        <v>1172</v>
      </c>
      <c r="C34" s="425">
        <f ca="1">ROUND(IF(B1="",SUMPRODUCT('数据-取费表'!K6:K14,'数据-取费表'!L6:L14),INDIRECT("'数据-取费表'!l"&amp;$G$1)*INDIRECT("'数据-取费表'!k"&amp;$G$1)+'数据-取费表'!L14*INDIRECT("'数据-取费表'!S"&amp;$G$1)),0)</f>
        <v>108754740</v>
      </c>
      <c r="D34" s="422"/>
      <c r="E34" s="425"/>
      <c r="F34" s="471"/>
      <c r="G34" s="424"/>
    </row>
    <row r="35" ht="13.5" customHeight="1" spans="1:7">
      <c r="A35" s="450" t="s">
        <v>1114</v>
      </c>
      <c r="B35" s="420" t="s">
        <v>1174</v>
      </c>
      <c r="C35" s="425">
        <f ca="1">ROUND(C34*F35,0)</f>
        <v>5437737</v>
      </c>
      <c r="D35" s="425"/>
      <c r="E35" s="425"/>
      <c r="F35" s="472">
        <f>'数据-取费表'!B33</f>
        <v>0.05</v>
      </c>
      <c r="G35" s="424" t="s">
        <v>1175</v>
      </c>
    </row>
    <row r="36" ht="26" spans="1:7">
      <c r="A36" s="450" t="s">
        <v>1116</v>
      </c>
      <c r="B36" s="420" t="s">
        <v>1176</v>
      </c>
      <c r="C36" s="425">
        <f ca="1">ROUND(IF(B1="",SUM('数据-取费表'!AP6:AP13)*F36,IF(INDIRECT("'数据-取费表'!c"&amp;$G$1)="住宅",INDIRECT("'数据-取费表'!k"&amp;$G$1)*INDIRECT("'数据-取费表'!l"&amp;$G$1)*F36,0)),0)</f>
        <v>0</v>
      </c>
      <c r="D36" s="425"/>
      <c r="E36" s="425"/>
      <c r="F36" s="472">
        <f>'数据-取费表'!B34</f>
        <v>0</v>
      </c>
      <c r="G36" s="473" t="s">
        <v>1177</v>
      </c>
    </row>
    <row r="37" s="398" customFormat="1" ht="13.5" customHeight="1" spans="1:7">
      <c r="A37" s="450" t="s">
        <v>1158</v>
      </c>
      <c r="B37" s="420" t="s">
        <v>1178</v>
      </c>
      <c r="C37" s="463">
        <f ca="1">ROUND(E37*D37,0)</f>
        <v>10875474</v>
      </c>
      <c r="D37" s="422">
        <f ca="1">D19</f>
        <v>54377.37</v>
      </c>
      <c r="E37" s="463">
        <f>'数据-取费表'!B35</f>
        <v>200</v>
      </c>
      <c r="F37" s="472"/>
      <c r="G37" s="474"/>
    </row>
    <row r="38" ht="13.5" customHeight="1" spans="1:7">
      <c r="A38" s="450" t="s">
        <v>1180</v>
      </c>
      <c r="B38" s="420" t="s">
        <v>947</v>
      </c>
      <c r="C38" s="425">
        <f ca="1">ROUND(C34*F38,0)</f>
        <v>2175095</v>
      </c>
      <c r="D38" s="425"/>
      <c r="E38" s="425"/>
      <c r="F38" s="472">
        <f>'数据-取费表'!B36</f>
        <v>0.02</v>
      </c>
      <c r="G38" s="424" t="s">
        <v>1175</v>
      </c>
    </row>
    <row r="39" s="396" customFormat="1" ht="13.5" customHeight="1" spans="1:7">
      <c r="A39" s="414" t="s">
        <v>1140</v>
      </c>
      <c r="B39" s="415" t="s">
        <v>1144</v>
      </c>
      <c r="C39" s="442">
        <f ca="1">ROUND(C33*F20,0)</f>
        <v>2544861</v>
      </c>
      <c r="D39" s="442"/>
      <c r="E39" s="442"/>
      <c r="F39" s="443">
        <f>F20</f>
        <v>0.02</v>
      </c>
      <c r="G39" s="447" t="s">
        <v>1181</v>
      </c>
    </row>
    <row r="40" s="396" customFormat="1" ht="13.5" customHeight="1" spans="1:7">
      <c r="A40" s="414" t="s">
        <v>1143</v>
      </c>
      <c r="B40" s="415" t="s">
        <v>1147</v>
      </c>
      <c r="C40" s="2469">
        <f>F21</f>
        <v>0.02</v>
      </c>
      <c r="D40" s="446" t="s">
        <v>1182</v>
      </c>
      <c r="E40" s="442"/>
      <c r="F40" s="443">
        <f>F21</f>
        <v>0.02</v>
      </c>
      <c r="G40" s="447" t="s">
        <v>1183</v>
      </c>
    </row>
    <row r="41" s="396" customFormat="1" ht="13.5" customHeight="1" spans="1:7">
      <c r="A41" s="414" t="s">
        <v>1146</v>
      </c>
      <c r="B41" s="415" t="s">
        <v>1151</v>
      </c>
      <c r="C41" s="442">
        <f ca="1">ROUND(SUM(C42:C43),0)</f>
        <v>1946819</v>
      </c>
      <c r="D41" s="445">
        <f ca="1">C44</f>
        <v>0.0003</v>
      </c>
      <c r="E41" s="446" t="s">
        <v>1182</v>
      </c>
      <c r="F41" s="449">
        <f ca="1">F22</f>
        <v>0.03</v>
      </c>
      <c r="G41" s="447" t="str">
        <f>IF('数据-取费表'!B22&lt;=1,"单利计息","复利计息")</f>
        <v>单利计息</v>
      </c>
    </row>
    <row r="42" ht="13.5" customHeight="1" spans="1:7">
      <c r="A42" s="450" t="s">
        <v>1112</v>
      </c>
      <c r="B42" s="420" t="s">
        <v>1152</v>
      </c>
      <c r="C42" s="452">
        <f ca="1">ROUND(IF('数据-取费表'!B22&lt;=1,C33*F22*'数据-取费表'!B20/2,C33*(POWER((1+F22),'数据-取费表'!B20/2)-1)),0)</f>
        <v>1908646</v>
      </c>
      <c r="D42" s="452"/>
      <c r="E42" s="452"/>
      <c r="F42" s="453"/>
      <c r="G42" s="476" t="s">
        <v>1204</v>
      </c>
    </row>
    <row r="43" ht="13.5" customHeight="1" spans="1:7">
      <c r="A43" s="450" t="s">
        <v>1114</v>
      </c>
      <c r="B43" s="420" t="s">
        <v>1154</v>
      </c>
      <c r="C43" s="452">
        <f ca="1">ROUND(IF('数据-取费表'!B22&lt;=1,C39*F22*'数据-取费表'!B20/2,C39*(POWER((1+F22),'数据-取费表'!B20/2)-1)),0)</f>
        <v>38173</v>
      </c>
      <c r="D43" s="452"/>
      <c r="E43" s="452"/>
      <c r="F43" s="453"/>
      <c r="G43" s="477"/>
    </row>
    <row r="44" ht="13.5" customHeight="1" spans="1:7">
      <c r="A44" s="450" t="s">
        <v>1116</v>
      </c>
      <c r="B44" s="420" t="s">
        <v>1156</v>
      </c>
      <c r="C44" s="452">
        <f ca="1">ROUND(IF('数据-取费表'!B22&lt;=1,C40*F22*'数据-取费表'!B20/2,C40*(POWER((1+F22),'数据-取费表'!B20/2)-1)),4)</f>
        <v>0.0003</v>
      </c>
      <c r="D44" s="452"/>
      <c r="E44" s="452"/>
      <c r="F44" s="453"/>
      <c r="G44" s="478"/>
    </row>
    <row r="45" s="396" customFormat="1" ht="13.5" customHeight="1" spans="1:7">
      <c r="A45" s="414" t="s">
        <v>1150</v>
      </c>
      <c r="B45" s="458" t="s">
        <v>1161</v>
      </c>
      <c r="C45" s="459">
        <f ca="1">C46</f>
        <v>6489395</v>
      </c>
      <c r="D45" s="445">
        <f ca="1">C47</f>
        <v>0.001</v>
      </c>
      <c r="E45" s="446" t="s">
        <v>1182</v>
      </c>
      <c r="F45" s="460">
        <f ca="1">F27</f>
        <v>0.05</v>
      </c>
      <c r="G45" s="461" t="s">
        <v>1185</v>
      </c>
    </row>
    <row r="46" s="396" customFormat="1" ht="13.5" customHeight="1" spans="1:7">
      <c r="A46" s="450" t="s">
        <v>1112</v>
      </c>
      <c r="B46" s="462" t="s">
        <v>1186</v>
      </c>
      <c r="C46" s="463">
        <f ca="1">ROUND((C33+C39)*F27,0)</f>
        <v>6489395</v>
      </c>
      <c r="D46" s="479"/>
      <c r="E46" s="446"/>
      <c r="F46" s="460"/>
      <c r="G46" s="461"/>
    </row>
    <row r="47" s="396" customFormat="1" ht="13.5" customHeight="1" spans="1:7">
      <c r="A47" s="450" t="s">
        <v>1114</v>
      </c>
      <c r="B47" s="462" t="s">
        <v>1187</v>
      </c>
      <c r="C47" s="452">
        <f ca="1">ROUND(C40*F27,4)</f>
        <v>0.001</v>
      </c>
      <c r="D47" s="479"/>
      <c r="E47" s="446"/>
      <c r="F47" s="460"/>
      <c r="G47" s="461"/>
    </row>
    <row r="48" s="396" customFormat="1" ht="13.5" customHeight="1" spans="1:7">
      <c r="A48" s="414" t="s">
        <v>1160</v>
      </c>
      <c r="B48" s="415" t="s">
        <v>1166</v>
      </c>
      <c r="C48" s="475">
        <f>ROUND(F30/(1+'数据-取费表'!C42),4)</f>
        <v>0.0524</v>
      </c>
      <c r="D48" s="446" t="s">
        <v>1182</v>
      </c>
      <c r="E48" s="442"/>
      <c r="F48" s="449">
        <f>F30</f>
        <v>0.055</v>
      </c>
      <c r="G48" s="447" t="s">
        <v>1188</v>
      </c>
    </row>
    <row r="49" ht="16.5" customHeight="1" spans="1:7">
      <c r="A49" s="414" t="s">
        <v>1165</v>
      </c>
      <c r="B49" s="415" t="s">
        <v>1205</v>
      </c>
      <c r="C49" s="442">
        <f ca="1">ROUND((C33+C39+C41+C45)/(1-C40-D41-D45-C48),0)</f>
        <v>149221765</v>
      </c>
      <c r="D49" s="442"/>
      <c r="E49" s="442"/>
      <c r="F49" s="480"/>
      <c r="G49" s="447" t="s">
        <v>1190</v>
      </c>
    </row>
    <row r="50" s="398" customFormat="1" ht="13" spans="1:7">
      <c r="A50" s="414" t="s">
        <v>1191</v>
      </c>
      <c r="B50" s="415" t="s">
        <v>1192</v>
      </c>
      <c r="C50" s="442"/>
      <c r="D50" s="442"/>
      <c r="E50" s="442"/>
      <c r="F50" s="480">
        <f>IF('数据-取费表'!B24=0,'数据-取费表'!N16,1)</f>
        <v>1</v>
      </c>
      <c r="G50" s="461"/>
    </row>
    <row r="51" ht="16.5" customHeight="1" spans="1:7">
      <c r="A51" s="414" t="s">
        <v>1194</v>
      </c>
      <c r="B51" s="415" t="s">
        <v>1206</v>
      </c>
      <c r="C51" s="442">
        <f ca="1">ROUND(C49*F50,0)</f>
        <v>149221765</v>
      </c>
      <c r="D51" s="442"/>
      <c r="E51" s="442"/>
      <c r="F51" s="480"/>
      <c r="G51" s="447" t="s">
        <v>1196</v>
      </c>
    </row>
    <row r="52" s="395" customFormat="1" ht="16.25" spans="1:7">
      <c r="A52" s="481" t="s">
        <v>1197</v>
      </c>
      <c r="B52" s="482"/>
      <c r="C52" s="483">
        <f ca="1">C31+C51</f>
        <v>173788971</v>
      </c>
      <c r="D52" s="482"/>
      <c r="E52" s="482"/>
      <c r="F52" s="482"/>
      <c r="G52" s="484"/>
    </row>
    <row r="55" ht="15.5" spans="2:3">
      <c r="B55" s="485" t="s">
        <v>1198</v>
      </c>
      <c r="C55" s="486"/>
    </row>
    <row r="56" ht="13" spans="2:3">
      <c r="B56" s="487" t="s">
        <v>1199</v>
      </c>
      <c r="C56" s="489">
        <f ca="1">1-C57</f>
        <v>0.141</v>
      </c>
    </row>
    <row r="57" ht="13" spans="2:3">
      <c r="B57" s="487" t="s">
        <v>1200</v>
      </c>
      <c r="C57" s="488">
        <f ca="1">ROUND(C51/C52,3)</f>
        <v>0.859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25" sqref="Q25"/>
    </sheetView>
  </sheetViews>
  <sheetFormatPr defaultColWidth="6.62727272727273" defaultRowHeight="12.5"/>
  <cols>
    <col min="1" max="1" width="9.75454545454545" style="1102" customWidth="1"/>
    <col min="2" max="2" width="25.7545454545455" style="2372" customWidth="1"/>
    <col min="3" max="3" width="10.3727272727273" style="2373" customWidth="1"/>
    <col min="4" max="4" width="9.87272727272727" style="2372" customWidth="1"/>
    <col min="5" max="5" width="9.5" style="1102" customWidth="1"/>
    <col min="6" max="6" width="10.1272727272727" style="2372" customWidth="1"/>
    <col min="7" max="7" width="10.7545454545455" style="2372" customWidth="1"/>
    <col min="8" max="8" width="10" style="2372" customWidth="1"/>
    <col min="9" max="11" width="9.5" style="2372" customWidth="1"/>
    <col min="12" max="12" width="9" style="2372" customWidth="1"/>
    <col min="13" max="13" width="10.5" style="2372" customWidth="1"/>
    <col min="14" max="254" width="9" style="2372" customWidth="1"/>
    <col min="255" max="16384" width="6.62727272727273" style="2372"/>
  </cols>
  <sheetData>
    <row r="1" ht="21" spans="1:11">
      <c r="A1" s="402" t="s">
        <v>1207</v>
      </c>
      <c r="B1" s="2181"/>
      <c r="C1" s="2374"/>
      <c r="D1" s="2375"/>
      <c r="E1" s="2376"/>
      <c r="F1" s="2376"/>
      <c r="G1" s="2377"/>
      <c r="H1" s="2376"/>
      <c r="I1" s="2376"/>
      <c r="J1" s="2376"/>
      <c r="K1" s="2445">
        <f>MATCH(C1,'数据-取费表'!A6:A16,0)+5</f>
        <v>7</v>
      </c>
    </row>
    <row r="2" ht="18" customHeight="1" spans="1:11">
      <c r="A2" s="406" t="s">
        <v>1012</v>
      </c>
      <c r="B2" s="410">
        <f ca="1">C32</f>
        <v>4749</v>
      </c>
      <c r="C2" s="2378" t="s">
        <v>1208</v>
      </c>
      <c r="D2" s="2378"/>
      <c r="E2" s="2376"/>
      <c r="F2" s="2376"/>
      <c r="G2" s="2376"/>
      <c r="H2" s="2376"/>
      <c r="I2" s="2376"/>
      <c r="J2" s="2376"/>
      <c r="K2" s="2376"/>
    </row>
    <row r="3" ht="18" customHeight="1" spans="1:11">
      <c r="A3" s="409" t="s">
        <v>1014</v>
      </c>
      <c r="B3" s="410">
        <f ca="1">ROUND(B2*10000/IF(C1="",'数据-汇总表'!E3,INDIRECT("'数据-取费表'!K"&amp;$K$1)),0)</f>
        <v>873</v>
      </c>
      <c r="C3" s="2378" t="s">
        <v>1209</v>
      </c>
      <c r="D3" s="2378"/>
      <c r="E3" s="2376"/>
      <c r="F3" s="2376"/>
      <c r="G3" s="2376"/>
      <c r="H3" s="2376"/>
      <c r="I3" s="2376"/>
      <c r="J3" s="2376"/>
      <c r="K3" s="2376"/>
    </row>
    <row r="4" s="2363" customFormat="1" ht="16.5" customHeight="1" spans="1:11">
      <c r="A4" s="2379" t="s">
        <v>1210</v>
      </c>
      <c r="B4" s="2380"/>
      <c r="C4" s="2381">
        <f ca="1">SUM(C8:K8)</f>
        <v>10795</v>
      </c>
      <c r="D4" s="2380"/>
      <c r="E4" s="2380"/>
      <c r="F4" s="2380"/>
      <c r="G4" s="2380"/>
      <c r="H4" s="2380"/>
      <c r="I4" s="2380"/>
      <c r="J4" s="2380"/>
      <c r="K4" s="2446"/>
    </row>
    <row r="5" s="2364" customFormat="1" ht="14" spans="1:33">
      <c r="A5" s="2382" t="s">
        <v>1211</v>
      </c>
      <c r="B5" s="2383" t="s">
        <v>1212</v>
      </c>
      <c r="C5" s="2384" t="s">
        <v>611</v>
      </c>
      <c r="D5" s="2384"/>
      <c r="E5" s="2384"/>
      <c r="F5" s="2384"/>
      <c r="G5" s="2384"/>
      <c r="H5" s="2384"/>
      <c r="I5" s="2384"/>
      <c r="J5" s="2384"/>
      <c r="K5" s="2384"/>
      <c r="L5" s="2447"/>
      <c r="M5" s="2447"/>
      <c r="N5" s="2447"/>
      <c r="O5" s="2447"/>
      <c r="P5" s="2447"/>
      <c r="Q5" s="2447"/>
      <c r="R5" s="2447"/>
      <c r="S5" s="2447"/>
      <c r="T5" s="2447"/>
      <c r="U5" s="2447"/>
      <c r="V5" s="2447"/>
      <c r="W5" s="2447"/>
      <c r="X5" s="2447"/>
      <c r="Y5" s="2447"/>
      <c r="Z5" s="2447"/>
      <c r="AA5" s="2447"/>
      <c r="AB5" s="2447"/>
      <c r="AC5" s="2447"/>
      <c r="AD5" s="2447"/>
      <c r="AE5" s="2447"/>
      <c r="AF5" s="2447"/>
      <c r="AG5" s="2447"/>
    </row>
    <row r="6" s="2365" customFormat="1" ht="13.5" customHeight="1" spans="1:33">
      <c r="A6" s="2385" t="s">
        <v>916</v>
      </c>
      <c r="B6" s="2144" t="s">
        <v>1213</v>
      </c>
      <c r="C6" s="2386">
        <f ca="1">收益法!B3</f>
        <v>1985</v>
      </c>
      <c r="D6" s="2386"/>
      <c r="E6" s="2386"/>
      <c r="F6" s="2386"/>
      <c r="G6" s="2386"/>
      <c r="H6" s="2386"/>
      <c r="I6" s="2386"/>
      <c r="J6" s="2386"/>
      <c r="K6" s="2448"/>
      <c r="L6" s="2449"/>
      <c r="M6" s="2449"/>
      <c r="N6" s="2449"/>
      <c r="O6" s="2449"/>
      <c r="P6" s="2449"/>
      <c r="Q6" s="2449"/>
      <c r="R6" s="2449"/>
      <c r="S6" s="2449"/>
      <c r="T6" s="2449"/>
      <c r="U6" s="2449"/>
      <c r="V6" s="2449"/>
      <c r="W6" s="2449"/>
      <c r="X6" s="2449"/>
      <c r="Y6" s="2449"/>
      <c r="Z6" s="2449"/>
      <c r="AA6" s="2449"/>
      <c r="AB6" s="2449"/>
      <c r="AC6" s="2449"/>
      <c r="AD6" s="2449"/>
      <c r="AE6" s="2449"/>
      <c r="AF6" s="2449"/>
      <c r="AG6" s="2449"/>
    </row>
    <row r="7" s="2365" customFormat="1" ht="13.5" customHeight="1" spans="1:33">
      <c r="A7" s="2385" t="s">
        <v>920</v>
      </c>
      <c r="B7" s="2144" t="s">
        <v>469</v>
      </c>
      <c r="C7" s="2387">
        <f>SUMIF('数据-汇总表'!$C19:$C33,假设开发法!C5,'数据-汇总表'!$E19:$E33)</f>
        <v>54377.37</v>
      </c>
      <c r="D7" s="2387">
        <f>SUMIF('数据-汇总表'!$C19:$C33,假设开发法!D5,'数据-汇总表'!$E19:$E33)</f>
        <v>0</v>
      </c>
      <c r="E7" s="2387">
        <f>SUMIF('数据-汇总表'!$C19:$C33,假设开发法!E5,'数据-汇总表'!$E19:$E33)</f>
        <v>0</v>
      </c>
      <c r="F7" s="2387">
        <f>SUMIF('数据-汇总表'!$C19:$C33,假设开发法!F5,'数据-汇总表'!$E19:$E33)</f>
        <v>0</v>
      </c>
      <c r="G7" s="2387">
        <f>SUMIF('数据-汇总表'!$C19:$C33,假设开发法!G5,'数据-汇总表'!$E19:$E33)</f>
        <v>0</v>
      </c>
      <c r="H7" s="2387">
        <f>SUMIF('数据-汇总表'!$C19:$C33,假设开发法!H5,'数据-汇总表'!$E19:$E33)</f>
        <v>0</v>
      </c>
      <c r="I7" s="2387">
        <f>SUMIF('数据-汇总表'!$C19:$C33,假设开发法!I5,'数据-汇总表'!$E19:$E33)</f>
        <v>0</v>
      </c>
      <c r="J7" s="2387">
        <f>SUMIF('数据-汇总表'!$C19:$C33,假设开发法!J5,'数据-汇总表'!$E19:$E33)</f>
        <v>0</v>
      </c>
      <c r="K7" s="2450">
        <f>SUMIF('数据-汇总表'!$C19:$C33,假设开发法!K5,'数据-汇总表'!$E19:$E33)</f>
        <v>0</v>
      </c>
      <c r="L7" s="2449"/>
      <c r="M7" s="2449"/>
      <c r="N7" s="2449"/>
      <c r="O7" s="2449"/>
      <c r="P7" s="2449"/>
      <c r="Q7" s="2449"/>
      <c r="R7" s="2449"/>
      <c r="S7" s="2449"/>
      <c r="T7" s="2449"/>
      <c r="U7" s="2449"/>
      <c r="V7" s="2449"/>
      <c r="W7" s="2449"/>
      <c r="X7" s="2449"/>
      <c r="Y7" s="2449"/>
      <c r="Z7" s="2449"/>
      <c r="AA7" s="2449"/>
      <c r="AB7" s="2449"/>
      <c r="AC7" s="2449"/>
      <c r="AD7" s="2449"/>
      <c r="AE7" s="2449"/>
      <c r="AF7" s="2449"/>
      <c r="AG7" s="2449"/>
    </row>
    <row r="8" s="2365" customFormat="1" ht="13.5" customHeight="1" spans="1:33">
      <c r="A8" s="2388" t="s">
        <v>965</v>
      </c>
      <c r="B8" s="2389" t="s">
        <v>1214</v>
      </c>
      <c r="C8" s="2390">
        <f ca="1">收益法!B2</f>
        <v>10795</v>
      </c>
      <c r="D8" s="2390"/>
      <c r="E8" s="2390"/>
      <c r="F8" s="2391"/>
      <c r="G8" s="2391"/>
      <c r="H8" s="2391"/>
      <c r="I8" s="2391"/>
      <c r="J8" s="2391"/>
      <c r="K8" s="2451"/>
      <c r="L8" s="2449"/>
      <c r="M8" s="2449"/>
      <c r="N8" s="2449"/>
      <c r="O8" s="2449"/>
      <c r="P8" s="2449"/>
      <c r="Q8" s="2449"/>
      <c r="R8" s="2449"/>
      <c r="S8" s="2449"/>
      <c r="T8" s="2449"/>
      <c r="U8" s="2449"/>
      <c r="V8" s="2449"/>
      <c r="W8" s="2449"/>
      <c r="X8" s="2449"/>
      <c r="Y8" s="2449"/>
      <c r="Z8" s="2449"/>
      <c r="AA8" s="2449"/>
      <c r="AB8" s="2449"/>
      <c r="AC8" s="2449"/>
      <c r="AD8" s="2449"/>
      <c r="AE8" s="2449"/>
      <c r="AF8" s="2449"/>
      <c r="AG8" s="2449"/>
    </row>
    <row r="9" s="2363" customFormat="1" ht="16.5" customHeight="1" spans="1:11">
      <c r="A9" s="2379" t="s">
        <v>1215</v>
      </c>
      <c r="B9" s="2380"/>
      <c r="C9" s="2380"/>
      <c r="D9" s="2380"/>
      <c r="E9" s="2380"/>
      <c r="F9" s="2380"/>
      <c r="G9" s="2380"/>
      <c r="H9" s="2380"/>
      <c r="I9" s="2380"/>
      <c r="J9" s="2380"/>
      <c r="K9" s="2446"/>
    </row>
    <row r="10" s="2366" customFormat="1" ht="13.5" customHeight="1" spans="1:11">
      <c r="A10" s="2382" t="s">
        <v>1211</v>
      </c>
      <c r="B10" s="2392" t="s">
        <v>1212</v>
      </c>
      <c r="C10" s="2393" t="s">
        <v>1216</v>
      </c>
      <c r="D10" s="2394" t="s">
        <v>1217</v>
      </c>
      <c r="E10" s="2394" t="s">
        <v>1218</v>
      </c>
      <c r="F10" s="2394" t="s">
        <v>1219</v>
      </c>
      <c r="G10" s="2392"/>
      <c r="H10" s="2395"/>
      <c r="I10" s="2395"/>
      <c r="J10" s="2395"/>
      <c r="K10" s="2452"/>
    </row>
    <row r="11" s="2367" customFormat="1" ht="13.5" customHeight="1" spans="1:11">
      <c r="A11" s="2396" t="s">
        <v>1119</v>
      </c>
      <c r="B11" s="2397" t="s">
        <v>1220</v>
      </c>
      <c r="C11" s="2398">
        <f ca="1">IF(C1="",'数据-取费表'!P16,INDIRECT("'数据-取费表'!p"&amp;$K$1)+INDIRECT("'数据-取费表'!ar"&amp;$K$1))</f>
        <v>3262</v>
      </c>
      <c r="D11" s="2399"/>
      <c r="E11" s="2147"/>
      <c r="F11" s="2400">
        <f ca="1">1-IF('数据-取费表'!B24=0,1,IF(C1="",'数据-取费表'!N16,INDIRECT("'数据-取费表'!n"&amp;$K$1)))</f>
        <v>0.3</v>
      </c>
      <c r="G11" s="2392"/>
      <c r="H11" s="2395"/>
      <c r="I11" s="2395"/>
      <c r="J11" s="2395"/>
      <c r="K11" s="2452"/>
    </row>
    <row r="12" s="2367" customFormat="1" ht="13.5" customHeight="1" spans="1:11">
      <c r="A12" s="2396" t="s">
        <v>1122</v>
      </c>
      <c r="B12" s="2397" t="s">
        <v>1221</v>
      </c>
      <c r="C12" s="1060">
        <f ca="1">ROUND(C11*F12,0)</f>
        <v>163</v>
      </c>
      <c r="D12" s="2399"/>
      <c r="E12" s="2147"/>
      <c r="F12" s="2400">
        <f>'数据-取费表'!B33</f>
        <v>0.05</v>
      </c>
      <c r="G12" s="2392" t="s">
        <v>1222</v>
      </c>
      <c r="H12" s="2395"/>
      <c r="I12" s="2395"/>
      <c r="J12" s="2395"/>
      <c r="K12" s="2452"/>
    </row>
    <row r="13" s="2367" customFormat="1" ht="13.5" customHeight="1" spans="1:11">
      <c r="A13" s="2396" t="s">
        <v>1223</v>
      </c>
      <c r="B13" s="2397" t="s">
        <v>1224</v>
      </c>
      <c r="C13" s="1060">
        <f ca="1">ROUND(IF(C1="",SUMIF('数据-取费表'!C:C,"住宅",'数据-取费表'!P:P)*F13,IF(INDIRECT("'数据-取费表'!c"&amp;$K$1)="住宅",INDIRECT("'数据-取费表'!P"&amp;$K$1)*F13,0)),0)</f>
        <v>0</v>
      </c>
      <c r="D13" s="2401"/>
      <c r="E13" s="2147"/>
      <c r="F13" s="2400">
        <f>'数据-取费表'!B34</f>
        <v>0</v>
      </c>
      <c r="G13" s="2392" t="s">
        <v>1225</v>
      </c>
      <c r="H13" s="2395"/>
      <c r="I13" s="2395"/>
      <c r="J13" s="2395"/>
      <c r="K13" s="2452"/>
    </row>
    <row r="14" s="2368" customFormat="1" ht="13.5" customHeight="1" spans="1:33">
      <c r="A14" s="2396" t="s">
        <v>1226</v>
      </c>
      <c r="B14" s="2397" t="s">
        <v>1227</v>
      </c>
      <c r="C14" s="1060">
        <f ca="1">ROUND(D14*E14*F11/10000,0)</f>
        <v>326</v>
      </c>
      <c r="D14" s="2401">
        <f ca="1">IF(C1="",'数据-汇总表'!E3,INDIRECT("'数据-取费表'!K"&amp;$K$1)+INDIRECT("'数据-取费表'!S"&amp;$K$1))</f>
        <v>54377.37</v>
      </c>
      <c r="E14" s="1060">
        <f>'数据-取费表'!B35</f>
        <v>200</v>
      </c>
      <c r="F14" s="2402"/>
      <c r="G14" s="2392" t="s">
        <v>1228</v>
      </c>
      <c r="H14" s="2395"/>
      <c r="I14" s="2395"/>
      <c r="J14" s="2395"/>
      <c r="K14" s="2452"/>
      <c r="L14" s="2367"/>
      <c r="M14" s="2367"/>
      <c r="N14" s="2367"/>
      <c r="O14" s="2367"/>
      <c r="P14" s="2367"/>
      <c r="Q14" s="2367"/>
      <c r="R14" s="2367"/>
      <c r="S14" s="2367"/>
      <c r="T14" s="2367"/>
      <c r="U14" s="2367"/>
      <c r="V14" s="2367"/>
      <c r="W14" s="2367"/>
      <c r="X14" s="2367"/>
      <c r="Y14" s="2367"/>
      <c r="Z14" s="2367"/>
      <c r="AA14" s="2367"/>
      <c r="AB14" s="2367"/>
      <c r="AC14" s="2367"/>
      <c r="AD14" s="2367"/>
      <c r="AE14" s="2367"/>
      <c r="AF14" s="2367"/>
      <c r="AG14" s="2367"/>
    </row>
    <row r="15" s="2368" customFormat="1" ht="13.5" customHeight="1" spans="1:33">
      <c r="A15" s="2396" t="s">
        <v>1229</v>
      </c>
      <c r="B15" s="2397" t="s">
        <v>1230</v>
      </c>
      <c r="C15" s="2403">
        <f ca="1">ROUND(C11*F15,0)</f>
        <v>65</v>
      </c>
      <c r="D15" s="2404"/>
      <c r="E15" s="2403"/>
      <c r="F15" s="2400">
        <f>'数据-取费表'!B36</f>
        <v>0.02</v>
      </c>
      <c r="G15" s="2144" t="s">
        <v>1231</v>
      </c>
      <c r="H15" s="2259"/>
      <c r="I15" s="2259"/>
      <c r="J15" s="2259"/>
      <c r="K15" s="2260"/>
      <c r="L15" s="2367"/>
      <c r="M15" s="2367"/>
      <c r="N15" s="2367"/>
      <c r="O15" s="2367"/>
      <c r="P15" s="2367"/>
      <c r="Q15" s="2367"/>
      <c r="R15" s="2367"/>
      <c r="S15" s="2367"/>
      <c r="T15" s="2367"/>
      <c r="U15" s="2367"/>
      <c r="V15" s="2367"/>
      <c r="W15" s="2367"/>
      <c r="X15" s="2367"/>
      <c r="Y15" s="2367"/>
      <c r="Z15" s="2367"/>
      <c r="AA15" s="2367"/>
      <c r="AB15" s="2367"/>
      <c r="AC15" s="2367"/>
      <c r="AD15" s="2367"/>
      <c r="AE15" s="2367"/>
      <c r="AF15" s="2367"/>
      <c r="AG15" s="2367"/>
    </row>
    <row r="16" s="2368" customFormat="1" ht="13.5" customHeight="1" spans="1:33">
      <c r="A16" s="2396" t="s">
        <v>939</v>
      </c>
      <c r="B16" s="2397" t="s">
        <v>1232</v>
      </c>
      <c r="C16" s="2403">
        <f ca="1">SUM(C11:C15)</f>
        <v>3816</v>
      </c>
      <c r="D16" s="2404"/>
      <c r="E16" s="2403"/>
      <c r="F16" s="2400"/>
      <c r="G16" s="2144"/>
      <c r="H16" s="2405"/>
      <c r="I16" s="2259"/>
      <c r="J16" s="2259"/>
      <c r="K16" s="2260"/>
      <c r="L16" s="2367"/>
      <c r="M16" s="2367"/>
      <c r="N16" s="2367"/>
      <c r="O16" s="2367"/>
      <c r="P16" s="2367"/>
      <c r="Q16" s="2367"/>
      <c r="R16" s="2367"/>
      <c r="S16" s="2367"/>
      <c r="T16" s="2367"/>
      <c r="U16" s="2367"/>
      <c r="V16" s="2367"/>
      <c r="W16" s="2367"/>
      <c r="X16" s="2367"/>
      <c r="Y16" s="2367"/>
      <c r="Z16" s="2367"/>
      <c r="AA16" s="2367"/>
      <c r="AB16" s="2367"/>
      <c r="AC16" s="2367"/>
      <c r="AD16" s="2367"/>
      <c r="AE16" s="2367"/>
      <c r="AF16" s="2367"/>
      <c r="AG16" s="2367"/>
    </row>
    <row r="17" s="2368" customFormat="1" ht="13.5" customHeight="1" spans="1:33">
      <c r="A17" s="2396" t="s">
        <v>943</v>
      </c>
      <c r="B17" s="2397" t="s">
        <v>1233</v>
      </c>
      <c r="C17" s="1060">
        <f ca="1">ROUND(D17*E17/10000,0)</f>
        <v>0</v>
      </c>
      <c r="D17" s="2401">
        <f ca="1">D14</f>
        <v>54377.37</v>
      </c>
      <c r="E17" s="1060">
        <f>'数据-取费表'!B32</f>
        <v>0</v>
      </c>
      <c r="F17" s="2404"/>
      <c r="G17" s="2144" t="s">
        <v>1234</v>
      </c>
      <c r="H17" s="2405"/>
      <c r="I17" s="2259"/>
      <c r="J17" s="2259"/>
      <c r="K17" s="2260"/>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row>
    <row r="18" s="2367" customFormat="1" ht="13.5" customHeight="1" spans="1:11">
      <c r="A18" s="2396" t="s">
        <v>1235</v>
      </c>
      <c r="B18" s="2397" t="s">
        <v>1236</v>
      </c>
      <c r="C18" s="1060">
        <f ca="1">C19+C20-IF(C1="",'数据-取费表'!B29,IF(G18="已全部缴纳",C19+C20,H18))</f>
        <v>979</v>
      </c>
      <c r="D18" s="2401"/>
      <c r="E18" s="1060"/>
      <c r="F18" s="2402"/>
      <c r="G18" s="2406" t="s">
        <v>1237</v>
      </c>
      <c r="H18" s="2407">
        <v>0</v>
      </c>
      <c r="I18" s="2453" t="s">
        <v>1238</v>
      </c>
      <c r="J18" s="2259"/>
      <c r="K18" s="2260"/>
    </row>
    <row r="19" s="2367" customFormat="1" ht="13.5" customHeight="1" spans="1:11">
      <c r="A19" s="2396" t="s">
        <v>1119</v>
      </c>
      <c r="B19" s="2397" t="s">
        <v>456</v>
      </c>
      <c r="C19" s="1060">
        <f ca="1">ROUND(D19*E19/10000,0)</f>
        <v>0</v>
      </c>
      <c r="D19" s="2401">
        <f ca="1">IF(C1="",'数据-汇总表'!E5,IF(INDIRECT("'数据-取费表'!c"&amp;$K$1)="住宅",INDIRECT("'数据-取费表'!k"&amp;$K$1),0))</f>
        <v>0</v>
      </c>
      <c r="E19" s="1060">
        <f>'数据-取费表'!B27</f>
        <v>0</v>
      </c>
      <c r="F19" s="2402"/>
      <c r="G19" s="2258"/>
      <c r="H19" s="2408"/>
      <c r="I19" s="2409"/>
      <c r="J19" s="2409"/>
      <c r="K19" s="2454"/>
    </row>
    <row r="20" s="2367" customFormat="1" ht="13.5" customHeight="1" spans="1:11">
      <c r="A20" s="2396" t="s">
        <v>1122</v>
      </c>
      <c r="B20" s="2397" t="s">
        <v>1239</v>
      </c>
      <c r="C20" s="1060">
        <f ca="1">ROUND(D20*E20/10000,0)</f>
        <v>979</v>
      </c>
      <c r="D20" s="2401">
        <f ca="1">IF(C1="",'数据-汇总表'!E6,IF(INDIRECT("'数据-取费表'!c"&amp;$K$1)="住宅",INDIRECT("'数据-取费表'!s"&amp;$K$1),INDIRECT("'数据-取费表'!k"&amp;$K$1)+INDIRECT("'数据-取费表'!s"&amp;$K$1)))</f>
        <v>54377.37</v>
      </c>
      <c r="E20" s="1060">
        <f>'数据-取费表'!B28</f>
        <v>180</v>
      </c>
      <c r="F20" s="2402"/>
      <c r="G20" s="2258"/>
      <c r="H20" s="2409"/>
      <c r="I20" s="2409"/>
      <c r="J20" s="2409"/>
      <c r="K20" s="2454"/>
    </row>
    <row r="21" s="2367" customFormat="1" ht="13.5" customHeight="1" spans="1:11">
      <c r="A21" s="2385" t="s">
        <v>916</v>
      </c>
      <c r="B21" s="2410" t="s">
        <v>1240</v>
      </c>
      <c r="C21" s="2411">
        <f ca="1">C16+C17+C18</f>
        <v>4795</v>
      </c>
      <c r="D21" s="2412"/>
      <c r="E21" s="2413"/>
      <c r="F21" s="2413"/>
      <c r="G21" s="2144" t="s">
        <v>1241</v>
      </c>
      <c r="H21" s="2259"/>
      <c r="I21" s="2259"/>
      <c r="J21" s="2259"/>
      <c r="K21" s="2260"/>
    </row>
    <row r="22" s="2367" customFormat="1" ht="13.5" customHeight="1" spans="1:11">
      <c r="A22" s="2385" t="s">
        <v>920</v>
      </c>
      <c r="B22" s="2410" t="s">
        <v>1242</v>
      </c>
      <c r="C22" s="2411">
        <f ca="1">ROUND(C21*F22,0)</f>
        <v>96</v>
      </c>
      <c r="D22" s="2413"/>
      <c r="E22" s="2413"/>
      <c r="F22" s="2414">
        <f>'数据-取费表'!B37</f>
        <v>0.02</v>
      </c>
      <c r="G22" s="2392" t="s">
        <v>1243</v>
      </c>
      <c r="H22" s="2395"/>
      <c r="I22" s="2395"/>
      <c r="J22" s="2395"/>
      <c r="K22" s="2452"/>
    </row>
    <row r="23" s="2367" customFormat="1" ht="13.5" customHeight="1" spans="1:11">
      <c r="A23" s="2385" t="s">
        <v>965</v>
      </c>
      <c r="B23" s="2410" t="s">
        <v>1244</v>
      </c>
      <c r="C23" s="2411">
        <f ca="1">ROUND(C4*F23*F11,0)</f>
        <v>65</v>
      </c>
      <c r="D23" s="2413"/>
      <c r="E23" s="2413"/>
      <c r="F23" s="2414">
        <f>'数据-取费表'!B38</f>
        <v>0.02</v>
      </c>
      <c r="G23" s="2392" t="s">
        <v>1245</v>
      </c>
      <c r="H23" s="2395"/>
      <c r="I23" s="2395"/>
      <c r="J23" s="2395"/>
      <c r="K23" s="2452"/>
    </row>
    <row r="24" s="2367" customFormat="1" ht="13.5" customHeight="1" spans="1:11">
      <c r="A24" s="2385" t="s">
        <v>968</v>
      </c>
      <c r="B24" s="2410" t="s">
        <v>1246</v>
      </c>
      <c r="C24" s="2415">
        <f>ROUND(F24/(1+'数据-取费表'!C42),4)</f>
        <v>0.0386</v>
      </c>
      <c r="D24" s="2413" t="s">
        <v>1247</v>
      </c>
      <c r="E24" s="2413"/>
      <c r="F24" s="2414">
        <f>IF(项目基本情况!B8="出让",0,'数据-取费表'!B48+'数据-取费表'!B49)</f>
        <v>0.0405</v>
      </c>
      <c r="G24" s="2392" t="s">
        <v>1248</v>
      </c>
      <c r="H24" s="2416"/>
      <c r="I24" s="2416"/>
      <c r="J24" s="2416"/>
      <c r="K24" s="2455"/>
    </row>
    <row r="25" s="2367" customFormat="1" ht="13.5" customHeight="1" spans="1:11">
      <c r="A25" s="2385" t="s">
        <v>972</v>
      </c>
      <c r="B25" s="2412" t="s">
        <v>1249</v>
      </c>
      <c r="C25" s="2417">
        <f ca="1">C27</f>
        <v>15</v>
      </c>
      <c r="D25" s="2415">
        <f ca="1">C26</f>
        <v>0.0062</v>
      </c>
      <c r="E25" s="2418" t="s">
        <v>1247</v>
      </c>
      <c r="F25" s="2419">
        <f ca="1">'数据-取费表'!B40</f>
        <v>0.03</v>
      </c>
      <c r="G25" s="2144" t="str">
        <f>IF('数据-取费表'!B22&lt;=1,"单利计息。","复利计息。")&amp;"后续开发成本、管理费用及销售费用产生的利息。"</f>
        <v>单利计息。后续开发成本、管理费用及销售费用产生的利息。</v>
      </c>
      <c r="H25" s="2416"/>
      <c r="I25" s="2416"/>
      <c r="J25" s="2416"/>
      <c r="K25" s="2455"/>
    </row>
    <row r="26" s="2369" customFormat="1" ht="13.5" customHeight="1" spans="1:11">
      <c r="A26" s="2396" t="s">
        <v>939</v>
      </c>
      <c r="B26" s="2420" t="s">
        <v>1250</v>
      </c>
      <c r="C26" s="2421">
        <f ca="1">ROUND(IF('数据-取费表'!B22&lt;=1,(1+C24)*F25*'数据-取费表'!B24,(1+C24)*(POWER((1+F25),'数据-取费表'!B24)-1)),4)</f>
        <v>0.0062</v>
      </c>
      <c r="D26" s="2422"/>
      <c r="E26" s="2423"/>
      <c r="F26" s="2424"/>
      <c r="G26" s="2425" t="str">
        <f>IF('数据-取费表'!B22&lt;=1,"（(1)+取得税费率/(1+5%)）×年利率×建设期","（(1)+取得税费率）/(1+5%)×((1+年利率)^建设期-1)")</f>
        <v>（(1)+取得税费率/(1+5%)）×年利率×建设期</v>
      </c>
      <c r="H26" s="2259"/>
      <c r="I26" s="2259"/>
      <c r="J26" s="2259"/>
      <c r="K26" s="2260"/>
    </row>
    <row r="27" s="2369" customFormat="1" ht="13.5" customHeight="1" spans="1:11">
      <c r="A27" s="2396" t="s">
        <v>943</v>
      </c>
      <c r="B27" s="2420" t="s">
        <v>1251</v>
      </c>
      <c r="C27" s="2426">
        <f ca="1">ROUND(IF('数据-取费表'!B22&lt;=1,(C21+C22+C23)*F25*'数据-取费表'!B24/2,(C21+C22+C23)*(POWER((1+F25),'数据-取费表'!B24/2)-1)),0)</f>
        <v>15</v>
      </c>
      <c r="D27" s="2422"/>
      <c r="E27" s="2423"/>
      <c r="F27" s="2424"/>
      <c r="G27" s="2425" t="str">
        <f>IF('数据-取费表'!B22&lt;=1,"（1）-（3）项×年利率×建设期÷2","（1）-（3）项×((1+年利率)^(建设期÷2)-1)")</f>
        <v>（1）-（3）项×年利率×建设期÷2</v>
      </c>
      <c r="H27" s="2259"/>
      <c r="I27" s="2259"/>
      <c r="J27" s="2259"/>
      <c r="K27" s="2260"/>
    </row>
    <row r="28" s="2370" customFormat="1" ht="13.5" customHeight="1" spans="1:11">
      <c r="A28" s="2385" t="s">
        <v>973</v>
      </c>
      <c r="B28" s="2427" t="s">
        <v>1252</v>
      </c>
      <c r="C28" s="2428">
        <f ca="1">C30</f>
        <v>248</v>
      </c>
      <c r="D28" s="2415">
        <f ca="1">C29</f>
        <v>0.0104</v>
      </c>
      <c r="E28" s="2418" t="s">
        <v>1247</v>
      </c>
      <c r="F28" s="1395">
        <f ca="1">IF(C1="",'数据-取费表'!Q16,INDIRECT("'数据-取费表'!q"&amp;$K$1))</f>
        <v>0.05</v>
      </c>
      <c r="G28" s="2429"/>
      <c r="H28" s="2416"/>
      <c r="I28" s="2416"/>
      <c r="J28" s="2416"/>
      <c r="K28" s="2455"/>
    </row>
    <row r="29" s="2371" customFormat="1" ht="13.5" customHeight="1" spans="1:11">
      <c r="A29" s="2396" t="s">
        <v>939</v>
      </c>
      <c r="B29" s="2430" t="s">
        <v>1253</v>
      </c>
      <c r="C29" s="2422">
        <f ca="1">ROUND((1+C24)*F28*'数据-取费表'!B24/'数据-取费表'!B20,4)</f>
        <v>0.0104</v>
      </c>
      <c r="D29" s="2422"/>
      <c r="E29" s="2423"/>
      <c r="F29" s="2431"/>
      <c r="G29" s="2144" t="s">
        <v>1254</v>
      </c>
      <c r="H29" s="2259"/>
      <c r="I29" s="2259"/>
      <c r="J29" s="2259"/>
      <c r="K29" s="2260"/>
    </row>
    <row r="30" s="2371" customFormat="1" ht="13.5" customHeight="1" spans="1:11">
      <c r="A30" s="2396" t="s">
        <v>943</v>
      </c>
      <c r="B30" s="2430" t="s">
        <v>1255</v>
      </c>
      <c r="C30" s="2432">
        <f ca="1">ROUND((C21+C22+C23)*F28,0)</f>
        <v>248</v>
      </c>
      <c r="D30" s="2422"/>
      <c r="E30" s="2423"/>
      <c r="F30" s="2431"/>
      <c r="G30" s="2144"/>
      <c r="H30" s="2259"/>
      <c r="I30" s="2259"/>
      <c r="J30" s="2259"/>
      <c r="K30" s="2260"/>
    </row>
    <row r="31" s="2367" customFormat="1" ht="13.5" customHeight="1" spans="1:11">
      <c r="A31" s="2433" t="s">
        <v>1256</v>
      </c>
      <c r="B31" s="2434" t="s">
        <v>1257</v>
      </c>
      <c r="C31" s="2435">
        <f ca="1">ROUND(C4*F31/(1+'数据-取费表'!C42),0)</f>
        <v>565</v>
      </c>
      <c r="D31" s="2436"/>
      <c r="E31" s="2437"/>
      <c r="F31" s="2438">
        <f>'数据-取费表'!B41</f>
        <v>0.055</v>
      </c>
      <c r="G31" s="2439" t="s">
        <v>1258</v>
      </c>
      <c r="H31" s="2440"/>
      <c r="I31" s="2440"/>
      <c r="J31" s="2440"/>
      <c r="K31" s="2456"/>
    </row>
    <row r="32" s="2366" customFormat="1" ht="13.5" customHeight="1" spans="1:11">
      <c r="A32" s="2441" t="s">
        <v>1259</v>
      </c>
      <c r="B32" s="2442"/>
      <c r="C32" s="2443">
        <f ca="1">ROUND((C4-C21-C22-C23-C25-C28-C31)/(1+C24+D25+D28),0)</f>
        <v>4749</v>
      </c>
      <c r="D32" s="2442"/>
      <c r="E32" s="2442"/>
      <c r="F32" s="2442"/>
      <c r="G32" s="2444" t="s">
        <v>1260</v>
      </c>
      <c r="H32" s="2442"/>
      <c r="I32" s="2442"/>
      <c r="J32" s="2442"/>
      <c r="K32" s="245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60" zoomScaleNormal="70" workbookViewId="0">
      <selection activeCell="K37" sqref="K37"/>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5.1272727272727" style="2070"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8" customFormat="1" ht="21" spans="1:37">
      <c r="A1" s="2071" t="s">
        <v>1261</v>
      </c>
      <c r="B1" s="1383"/>
      <c r="C1" s="2072" t="s">
        <v>611</v>
      </c>
      <c r="D1" s="2073" t="s">
        <v>1262</v>
      </c>
      <c r="E1" s="2074" t="s">
        <v>1263</v>
      </c>
      <c r="F1" s="2075">
        <f ca="1">J53</f>
        <v>40.3</v>
      </c>
      <c r="G1" s="2076">
        <f>MATCH(C1,'数据-取费表'!A6:A16,0)+5</f>
        <v>6</v>
      </c>
      <c r="H1" s="2077"/>
      <c r="I1" s="2243"/>
      <c r="J1" s="2243"/>
      <c r="K1" s="2244"/>
      <c r="L1" s="2243"/>
      <c r="M1" s="2243"/>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row>
    <row r="2" ht="18" customHeight="1" spans="1:13">
      <c r="A2" s="1890" t="s">
        <v>1264</v>
      </c>
      <c r="B2" s="2355">
        <f ca="1">C40+J29+L46</f>
        <v>10795</v>
      </c>
      <c r="C2" s="2079" t="s">
        <v>1265</v>
      </c>
      <c r="D2" s="2079"/>
      <c r="E2" s="2081"/>
      <c r="F2" s="2082"/>
      <c r="G2" s="2083"/>
      <c r="H2" s="2084"/>
      <c r="I2" s="2084"/>
      <c r="J2" s="2084"/>
      <c r="K2" s="2246"/>
      <c r="L2" s="2084"/>
      <c r="M2" s="2084"/>
    </row>
    <row r="3" ht="18" customHeight="1" spans="1:13">
      <c r="A3" s="2085" t="s">
        <v>1266</v>
      </c>
      <c r="B3" s="2086">
        <f ca="1">IF(ISERROR(B2*10000/F43),0,ROUND(B2*10000/F43,0))</f>
        <v>1985</v>
      </c>
      <c r="C3" s="2079" t="s">
        <v>1267</v>
      </c>
      <c r="D3" s="2079"/>
      <c r="E3" s="2081"/>
      <c r="F3" s="2082"/>
      <c r="G3" s="2083"/>
      <c r="H3" s="2087" t="s">
        <v>1268</v>
      </c>
      <c r="I3" s="2247"/>
      <c r="J3" s="2247"/>
      <c r="K3" s="2248"/>
      <c r="L3" s="2247"/>
      <c r="M3" s="2247"/>
    </row>
    <row r="4" ht="18" customHeight="1" spans="1:13">
      <c r="A4" s="2088" t="s">
        <v>1269</v>
      </c>
      <c r="B4" s="2089" t="s">
        <v>1270</v>
      </c>
      <c r="C4" s="2089" t="s">
        <v>1271</v>
      </c>
      <c r="D4" s="2089" t="s">
        <v>1272</v>
      </c>
      <c r="E4" s="2090" t="s">
        <v>1273</v>
      </c>
      <c r="F4" s="2091"/>
      <c r="G4" s="811"/>
      <c r="H4" s="2088" t="s">
        <v>1269</v>
      </c>
      <c r="I4" s="2089" t="s">
        <v>1270</v>
      </c>
      <c r="J4" s="2089" t="s">
        <v>1271</v>
      </c>
      <c r="K4" s="2089" t="s">
        <v>1272</v>
      </c>
      <c r="L4" s="2090" t="s">
        <v>1273</v>
      </c>
      <c r="M4" s="2091"/>
    </row>
    <row r="5" ht="18" customHeight="1" spans="1:13">
      <c r="A5" s="2092">
        <v>1</v>
      </c>
      <c r="B5" s="2093" t="s">
        <v>1274</v>
      </c>
      <c r="C5" s="2094">
        <f ca="1">C6+C10+C12</f>
        <v>735</v>
      </c>
      <c r="D5" s="2095" t="s">
        <v>1275</v>
      </c>
      <c r="E5" s="2096"/>
      <c r="F5" s="2097"/>
      <c r="G5" s="811"/>
      <c r="H5" s="2092">
        <v>1</v>
      </c>
      <c r="I5" s="2093" t="s">
        <v>1274</v>
      </c>
      <c r="J5" s="2094">
        <f ca="1">J6+J10+J12</f>
        <v>0</v>
      </c>
      <c r="K5" s="2095" t="s">
        <v>1275</v>
      </c>
      <c r="L5" s="2096"/>
      <c r="M5" s="2097"/>
    </row>
    <row r="6" ht="18" customHeight="1" spans="1:13">
      <c r="A6" s="2098" t="s">
        <v>916</v>
      </c>
      <c r="B6" s="2099" t="s">
        <v>1276</v>
      </c>
      <c r="C6" s="2100">
        <f ca="1">ROUND(F6*F8*F7*(1-F9)/10000,0)</f>
        <v>734</v>
      </c>
      <c r="D6" s="2101" t="s">
        <v>1277</v>
      </c>
      <c r="E6" s="2102" t="s">
        <v>1278</v>
      </c>
      <c r="F6" s="2103">
        <f ca="1">INDIRECT("'数据-取费表'!u"&amp;$G$1)</f>
        <v>0.5</v>
      </c>
      <c r="G6" s="811"/>
      <c r="H6" s="2098" t="s">
        <v>916</v>
      </c>
      <c r="I6" s="2099" t="s">
        <v>1276</v>
      </c>
      <c r="J6" s="2176">
        <f ca="1">ROUND(M6*M8*M7*(1-M9)/10000,0)</f>
        <v>0</v>
      </c>
      <c r="K6" s="2101" t="s">
        <v>1279</v>
      </c>
      <c r="L6" s="2102" t="s">
        <v>1278</v>
      </c>
      <c r="M6" s="2103">
        <f ca="1">INDIRECT("'数据-取费表'!z"&amp;$G$1)</f>
        <v>0</v>
      </c>
    </row>
    <row r="7" ht="18" customHeight="1" spans="1:13">
      <c r="A7" s="2104"/>
      <c r="B7" s="2105"/>
      <c r="C7" s="2106"/>
      <c r="D7" s="2107"/>
      <c r="E7" s="2108" t="s">
        <v>1280</v>
      </c>
      <c r="F7" s="2103">
        <f ca="1">IF(INDIRECT("'数据-取费表'!ah"&amp;$G$1)="",INDIRECT("'数据-取费表'!k"&amp;$G$1),INDIRECT("'数据-取费表'!ah"&amp;$G$1))</f>
        <v>44718.07</v>
      </c>
      <c r="G7" s="811"/>
      <c r="H7" s="2109"/>
      <c r="I7" s="2105"/>
      <c r="J7" s="2110"/>
      <c r="K7" s="2107"/>
      <c r="L7" s="2102" t="s">
        <v>1280</v>
      </c>
      <c r="M7" s="2103">
        <f ca="1">F7</f>
        <v>44718.07</v>
      </c>
    </row>
    <row r="8" ht="18" customHeight="1" spans="1:13">
      <c r="A8" s="2109"/>
      <c r="B8" s="2105"/>
      <c r="C8" s="2110"/>
      <c r="D8" s="2107"/>
      <c r="E8" s="2102" t="s">
        <v>1281</v>
      </c>
      <c r="F8" s="2103">
        <f ca="1">INDIRECT("'数据-取费表'!ai"&amp;$G$1)</f>
        <v>365</v>
      </c>
      <c r="G8" s="811"/>
      <c r="H8" s="2109"/>
      <c r="I8" s="2105"/>
      <c r="J8" s="2110"/>
      <c r="K8" s="2107"/>
      <c r="L8" s="2102" t="s">
        <v>1281</v>
      </c>
      <c r="M8" s="2103">
        <f ca="1">INDIRECT("'数据-取费表'!ai"&amp;$G$1)</f>
        <v>365</v>
      </c>
    </row>
    <row r="9" ht="18" customHeight="1" spans="1:13">
      <c r="A9" s="2109"/>
      <c r="B9" s="2111"/>
      <c r="C9" s="2110"/>
      <c r="D9" s="2107"/>
      <c r="E9" s="2102" t="s">
        <v>1282</v>
      </c>
      <c r="F9" s="2112">
        <f ca="1">INDIRECT("'数据-取费表'!w"&amp;$G$1)</f>
        <v>0.1</v>
      </c>
      <c r="G9" s="811"/>
      <c r="H9" s="2109"/>
      <c r="I9" s="2111"/>
      <c r="J9" s="2110"/>
      <c r="K9" s="2107"/>
      <c r="L9" s="2115" t="s">
        <v>1282</v>
      </c>
      <c r="M9" s="2120">
        <f ca="1">INDIRECT("'数据-取费表'!ab"&amp;$G$1)</f>
        <v>0</v>
      </c>
    </row>
    <row r="10" ht="18" customHeight="1" spans="1:13">
      <c r="A10" s="2098" t="s">
        <v>920</v>
      </c>
      <c r="B10" s="2113" t="s">
        <v>1283</v>
      </c>
      <c r="C10" s="1059">
        <f ca="1">ROUND(IF(F10="押一",C6/12*F11,IF(F10="押二",C6/12*2*F11,IF(F10="押三",C6/12*3*F11,C11*F11))),0)</f>
        <v>1</v>
      </c>
      <c r="D10" s="2114" t="s">
        <v>1284</v>
      </c>
      <c r="E10" s="2115" t="s">
        <v>1285</v>
      </c>
      <c r="F10" s="2116" t="s">
        <v>1286</v>
      </c>
      <c r="G10" s="811"/>
      <c r="H10" s="2098" t="s">
        <v>920</v>
      </c>
      <c r="I10" s="2113" t="s">
        <v>1283</v>
      </c>
      <c r="J10" s="2176">
        <f ca="1">ROUND(IF(M10="押一",J6/12*M11,IF(M10="押二",J6/12*2*M11,IF(M10="押三",J6/12*3*M11,J11*M11))),0)</f>
        <v>0</v>
      </c>
      <c r="K10" s="2114" t="s">
        <v>1284</v>
      </c>
      <c r="L10" s="2115" t="s">
        <v>1285</v>
      </c>
      <c r="M10" s="2116"/>
    </row>
    <row r="11" ht="18" customHeight="1" spans="1:13">
      <c r="A11" s="2117"/>
      <c r="B11" s="2118" t="s">
        <v>1287</v>
      </c>
      <c r="C11" s="2119"/>
      <c r="D11" s="2356"/>
      <c r="E11" s="2115" t="s">
        <v>1288</v>
      </c>
      <c r="F11" s="2120">
        <f ca="1">'数据-取费表'!B39</f>
        <v>0.015</v>
      </c>
      <c r="G11" s="811"/>
      <c r="H11" s="2121"/>
      <c r="I11" s="2118" t="s">
        <v>1287</v>
      </c>
      <c r="J11" s="2119"/>
      <c r="K11" s="2251"/>
      <c r="L11" s="2115" t="s">
        <v>1288</v>
      </c>
      <c r="M11" s="2252">
        <f ca="1">'数据-取费表'!B39</f>
        <v>0.015</v>
      </c>
    </row>
    <row r="12" ht="18" customHeight="1" spans="1:13">
      <c r="A12" s="2122" t="s">
        <v>965</v>
      </c>
      <c r="B12" s="2123" t="s">
        <v>1289</v>
      </c>
      <c r="C12" s="2124"/>
      <c r="D12" s="2125"/>
      <c r="E12" s="2126"/>
      <c r="F12" s="2127"/>
      <c r="G12" s="811"/>
      <c r="H12" s="2122" t="s">
        <v>965</v>
      </c>
      <c r="I12" s="2123" t="s">
        <v>1289</v>
      </c>
      <c r="J12" s="2124"/>
      <c r="K12" s="2253"/>
      <c r="L12" s="2126"/>
      <c r="M12" s="2254"/>
    </row>
    <row r="13" ht="18" customHeight="1" spans="1:13">
      <c r="A13" s="2128">
        <v>2</v>
      </c>
      <c r="B13" s="2129" t="s">
        <v>1290</v>
      </c>
      <c r="C13" s="2130">
        <f ca="1">ROUND(C29*F13,0)</f>
        <v>10447</v>
      </c>
      <c r="D13" s="2131" t="s">
        <v>1291</v>
      </c>
      <c r="E13" s="2131" t="s">
        <v>1292</v>
      </c>
      <c r="F13" s="2132">
        <f ca="1">INDIRECT("'数据-取费表'!y"&amp;$G$1)</f>
        <v>0.7</v>
      </c>
      <c r="G13" s="811"/>
      <c r="H13" s="2128">
        <v>2</v>
      </c>
      <c r="I13" s="2129" t="s">
        <v>1290</v>
      </c>
      <c r="J13" s="2255">
        <f ca="1">ROUND(J14*J15,0)</f>
        <v>0</v>
      </c>
      <c r="K13" s="2154" t="s">
        <v>1291</v>
      </c>
      <c r="L13" s="2256"/>
      <c r="M13" s="2257"/>
    </row>
    <row r="14" ht="18" customHeight="1" spans="1:13">
      <c r="A14" s="2133" t="s">
        <v>939</v>
      </c>
      <c r="B14" s="2102" t="s">
        <v>1293</v>
      </c>
      <c r="C14" s="2134">
        <f ca="1">INDIRECT("'数据-取费表'!m"&amp;$G$1)+INDIRECT("'数据-取费表'!t"&amp;$G$1)</f>
        <v>10875</v>
      </c>
      <c r="D14" s="2135" t="s">
        <v>1294</v>
      </c>
      <c r="E14" s="2136"/>
      <c r="F14" s="2137"/>
      <c r="G14" s="811"/>
      <c r="H14" s="2133" t="s">
        <v>916</v>
      </c>
      <c r="I14" s="2102" t="s">
        <v>1295</v>
      </c>
      <c r="J14" s="1060">
        <f ca="1">C29</f>
        <v>14924</v>
      </c>
      <c r="K14" s="2258"/>
      <c r="L14" s="2259"/>
      <c r="M14" s="2260"/>
    </row>
    <row r="15" s="2069" customFormat="1" ht="18" customHeight="1" spans="1:37">
      <c r="A15" s="2133" t="s">
        <v>943</v>
      </c>
      <c r="B15" s="2102" t="s">
        <v>1221</v>
      </c>
      <c r="C15" s="1060">
        <f ca="1">ROUND(C14*F15,0)</f>
        <v>544</v>
      </c>
      <c r="D15" s="2138" t="s">
        <v>1296</v>
      </c>
      <c r="E15" s="2138" t="s">
        <v>1297</v>
      </c>
      <c r="F15" s="2139">
        <f>'数据-取费表'!B33</f>
        <v>0.05</v>
      </c>
      <c r="G15" s="2140"/>
      <c r="H15" s="2141" t="s">
        <v>920</v>
      </c>
      <c r="I15" s="2126" t="s">
        <v>1292</v>
      </c>
      <c r="J15" s="2254">
        <f ca="1">INDIRECT("'数据-取费表'!ad"&amp;$G$1)</f>
        <v>0</v>
      </c>
      <c r="K15" s="2261"/>
      <c r="L15" s="2262"/>
      <c r="M15" s="2263"/>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13">
      <c r="A16" s="2133" t="s">
        <v>946</v>
      </c>
      <c r="B16" s="2102" t="s">
        <v>1224</v>
      </c>
      <c r="C16" s="1060">
        <f ca="1">ROUND(INDIRECT("'数据-取费表'!m"&amp;$G$1)*F16,0)</f>
        <v>0</v>
      </c>
      <c r="D16" s="2102" t="s">
        <v>1296</v>
      </c>
      <c r="E16" s="2102" t="s">
        <v>1297</v>
      </c>
      <c r="F16" s="2142">
        <f ca="1">IF(INDIRECT("'数据-取费表'!c"&amp;$G$1)="住宅",'数据-取费表'!B34,0)</f>
        <v>0</v>
      </c>
      <c r="G16" s="811"/>
      <c r="H16" s="2128" t="s">
        <v>1298</v>
      </c>
      <c r="I16" s="2129" t="s">
        <v>1299</v>
      </c>
      <c r="J16" s="2130">
        <f ca="1">ROUND(J17+J22+J23+J24,0)</f>
        <v>52</v>
      </c>
      <c r="K16" s="2154" t="s">
        <v>1300</v>
      </c>
      <c r="L16" s="2155"/>
      <c r="M16" s="2097"/>
    </row>
    <row r="17" s="2069" customFormat="1" ht="18" customHeight="1" spans="1:37">
      <c r="A17" s="2133" t="s">
        <v>1301</v>
      </c>
      <c r="B17" s="2102" t="s">
        <v>1302</v>
      </c>
      <c r="C17" s="1060">
        <f ca="1">ROUND(F17*(F43+INDIRECT("'数据-取费表'!S"&amp;$G$1))/10000,0)</f>
        <v>1088</v>
      </c>
      <c r="D17" s="2102" t="s">
        <v>1303</v>
      </c>
      <c r="E17" s="2102" t="s">
        <v>1304</v>
      </c>
      <c r="F17" s="2143">
        <f>'数据-取费表'!B35</f>
        <v>200</v>
      </c>
      <c r="G17" s="2140"/>
      <c r="H17" s="2133" t="s">
        <v>916</v>
      </c>
      <c r="I17" s="2102" t="s">
        <v>1305</v>
      </c>
      <c r="J17" s="2157">
        <f ca="1">ROUND(IF(AND(项目基本情况!B11="自然人",项目基本情况!B10="北京市"),J6*M17/(1+'数据-取费表'!C42),J18+J19+J20),2)</f>
        <v>7.08</v>
      </c>
      <c r="K17" s="2135" t="s">
        <v>1306</v>
      </c>
      <c r="L17" s="2158" t="s">
        <v>1307</v>
      </c>
      <c r="M17" s="2159"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69" customFormat="1" ht="18" customHeight="1" spans="1:37">
      <c r="A18" s="2133" t="s">
        <v>1308</v>
      </c>
      <c r="B18" s="2102" t="s">
        <v>1230</v>
      </c>
      <c r="C18" s="1060">
        <f ca="1">ROUND(C14*F18,0)</f>
        <v>218</v>
      </c>
      <c r="D18" s="2102" t="s">
        <v>1296</v>
      </c>
      <c r="E18" s="2102" t="s">
        <v>1297</v>
      </c>
      <c r="F18" s="2142">
        <f>'数据-取费表'!B36</f>
        <v>0.02</v>
      </c>
      <c r="G18" s="2140"/>
      <c r="H18" s="2133" t="s">
        <v>939</v>
      </c>
      <c r="I18" s="2102" t="s">
        <v>1309</v>
      </c>
      <c r="J18" s="1060">
        <f ca="1">ROUND(J6*M18/(1+'数据-取费表'!C42),2)</f>
        <v>0</v>
      </c>
      <c r="K18" s="2158" t="s">
        <v>1310</v>
      </c>
      <c r="L18" s="2102" t="s">
        <v>1297</v>
      </c>
      <c r="M18" s="2142">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13">
      <c r="A19" s="2133" t="s">
        <v>916</v>
      </c>
      <c r="B19" s="2102" t="s">
        <v>1311</v>
      </c>
      <c r="C19" s="1060">
        <f ca="1">SUM(C14:C18)</f>
        <v>12725</v>
      </c>
      <c r="D19" s="2144" t="s">
        <v>1312</v>
      </c>
      <c r="E19" s="1062"/>
      <c r="F19" s="2143"/>
      <c r="G19" s="811"/>
      <c r="H19" s="2133" t="s">
        <v>943</v>
      </c>
      <c r="I19" s="2102" t="s">
        <v>1313</v>
      </c>
      <c r="J19" s="1060">
        <f ca="1">IF(K19="按租金收入计税",ROUND(J6*M19/(1+'数据-取费表'!C42),2),ROUND(C29*M19*0.7,2))</f>
        <v>0</v>
      </c>
      <c r="K19" s="2161" t="s">
        <v>1314</v>
      </c>
      <c r="L19" s="2102" t="s">
        <v>1297</v>
      </c>
      <c r="M19" s="2142">
        <f>IF(K19="按租金收入计税",'数据-取费表'!B51,'数据-取费表'!B50)</f>
        <v>0.12</v>
      </c>
    </row>
    <row r="20" s="2069" customFormat="1" ht="18" customHeight="1" spans="1:37">
      <c r="A20" s="2133" t="s">
        <v>920</v>
      </c>
      <c r="B20" s="2102" t="s">
        <v>1315</v>
      </c>
      <c r="C20" s="1060">
        <f ca="1">ROUND(C19*F20,0)</f>
        <v>255</v>
      </c>
      <c r="D20" s="2145" t="s">
        <v>1316</v>
      </c>
      <c r="E20" s="2102" t="s">
        <v>1297</v>
      </c>
      <c r="F20" s="2142">
        <f>'数据-取费表'!B37</f>
        <v>0.02</v>
      </c>
      <c r="G20" s="2140"/>
      <c r="H20" s="2133" t="s">
        <v>946</v>
      </c>
      <c r="I20" s="2101" t="s">
        <v>1317</v>
      </c>
      <c r="J20" s="2163">
        <f ca="1">ROUND(M20*M21/10000,2)</f>
        <v>7.08</v>
      </c>
      <c r="K20" s="2164" t="s">
        <v>1318</v>
      </c>
      <c r="L20" s="2102" t="s">
        <v>1319</v>
      </c>
      <c r="M20" s="2148">
        <f>'数据-取费表'!B52</f>
        <v>6</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69" customFormat="1" ht="18" customHeight="1" spans="1:37">
      <c r="A21" s="2133" t="s">
        <v>965</v>
      </c>
      <c r="B21" s="2102" t="s">
        <v>1320</v>
      </c>
      <c r="C21" s="1060" t="s">
        <v>124</v>
      </c>
      <c r="D21" s="2145" t="s">
        <v>1321</v>
      </c>
      <c r="E21" s="2102" t="s">
        <v>1322</v>
      </c>
      <c r="F21" s="2142">
        <f>'数据-取费表'!B38</f>
        <v>0.02</v>
      </c>
      <c r="G21" s="2140"/>
      <c r="H21" s="2146"/>
      <c r="I21" s="2264"/>
      <c r="J21" s="2167"/>
      <c r="K21" s="2168"/>
      <c r="L21" s="2102" t="s">
        <v>1323</v>
      </c>
      <c r="M21" s="2103">
        <f ca="1">INDIRECT("'数据-取费表'!r"&amp;$G$1)</f>
        <v>11805</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13">
      <c r="A22" s="2133" t="s">
        <v>968</v>
      </c>
      <c r="B22" s="2102" t="s">
        <v>1324</v>
      </c>
      <c r="C22" s="1060"/>
      <c r="D22" s="2144" t="str">
        <f>IF(F23&lt;=1,"单利计息。","复利计息。")&amp;"建造成本、管理费用、销售费用产生的利息。"</f>
        <v>单利计息。建造成本、管理费用、销售费用产生的利息。</v>
      </c>
      <c r="E22" s="1062"/>
      <c r="F22" s="2143"/>
      <c r="G22" s="811"/>
      <c r="H22" s="2133" t="s">
        <v>920</v>
      </c>
      <c r="I22" s="2102" t="s">
        <v>1325</v>
      </c>
      <c r="J22" s="1060">
        <f ca="1">ROUND(J14*M22,2)</f>
        <v>44.77</v>
      </c>
      <c r="K22" s="2158" t="s">
        <v>1326</v>
      </c>
      <c r="L22" s="2102" t="s">
        <v>1297</v>
      </c>
      <c r="M22" s="2170">
        <f ca="1">INDIRECT("'数据-取费表'!Ak"&amp;$G$1)</f>
        <v>0.003</v>
      </c>
    </row>
    <row r="23" s="2069" customFormat="1" ht="18" customHeight="1" spans="1:37">
      <c r="A23" s="2133" t="s">
        <v>939</v>
      </c>
      <c r="B23" s="2102" t="s">
        <v>1327</v>
      </c>
      <c r="C23" s="1060">
        <f ca="1">IF('数据-取费表'!B22&lt;=1,ROUND(C19*F24*F23/2,0)+ROUND(C20*F24*F23/2,0),ROUND(C19*(POWER((1+F24),F23/2)-1),0)+ROUND(C20*(POWER((1+F24),F23/2)-1),0))</f>
        <v>195</v>
      </c>
      <c r="D23" s="2147" t="str">
        <f>IF(F23&lt;=1,"(建造成本+管理费用)×利率×(建设周期÷2)","(建造成本+管理费用)×((1+利率)^(建设周期÷2)-1)")</f>
        <v>(建造成本+管理费用)×利率×(建设周期÷2)</v>
      </c>
      <c r="E23" s="2102" t="s">
        <v>1328</v>
      </c>
      <c r="F23" s="2148">
        <f>'数据-取费表'!B20</f>
        <v>1</v>
      </c>
      <c r="G23" s="2140"/>
      <c r="H23" s="2133" t="s">
        <v>965</v>
      </c>
      <c r="I23" s="2102" t="s">
        <v>1329</v>
      </c>
      <c r="J23" s="1060">
        <f ca="1">ROUND(J13*M23,2)</f>
        <v>0</v>
      </c>
      <c r="K23" s="2158" t="s">
        <v>1330</v>
      </c>
      <c r="L23" s="2102" t="s">
        <v>1297</v>
      </c>
      <c r="M23" s="2171">
        <f ca="1">INDIRECT("'数据-取费表'!Al"&amp;$G$1)</f>
        <v>0.001</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69" customFormat="1" ht="18" customHeight="1" spans="1:37">
      <c r="A24" s="2133" t="s">
        <v>943</v>
      </c>
      <c r="B24" s="2102" t="s">
        <v>1331</v>
      </c>
      <c r="C24" s="1060">
        <f ca="1">ROUND(IF('数据-取费表'!B22&lt;=1,F21*F24*F23/2,F21*(POWER((1+F24),F23/2)-1)),4)</f>
        <v>0.0003</v>
      </c>
      <c r="D24" s="2147" t="str">
        <f>IF(F23&lt;=1,"销售费用×利率×(建设周期÷2)","销售费用×((1+利率)^(建设周期÷2)-1)")</f>
        <v>销售费用×利率×(建设周期÷2)</v>
      </c>
      <c r="E24" s="2102" t="s">
        <v>1332</v>
      </c>
      <c r="F24" s="2149">
        <f ca="1">'数据-取费表'!B40</f>
        <v>0.03</v>
      </c>
      <c r="G24" s="2140"/>
      <c r="H24" s="2141" t="s">
        <v>968</v>
      </c>
      <c r="I24" s="2126" t="s">
        <v>1315</v>
      </c>
      <c r="J24" s="2150">
        <f ca="1">ROUND(J5*M24,2)</f>
        <v>0</v>
      </c>
      <c r="K24" s="2151" t="s">
        <v>1333</v>
      </c>
      <c r="L24" s="2126" t="s">
        <v>1297</v>
      </c>
      <c r="M24" s="2127">
        <f ca="1">INDIRECT("'数据-取费表'!Am"&amp;$G$1)</f>
        <v>0.005</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24" customHeight="1" spans="1:13">
      <c r="A25" s="2133" t="s">
        <v>972</v>
      </c>
      <c r="B25" s="2102" t="s">
        <v>1334</v>
      </c>
      <c r="C25" s="1060"/>
      <c r="D25" s="2144" t="s">
        <v>1335</v>
      </c>
      <c r="E25" s="1062"/>
      <c r="F25" s="2143"/>
      <c r="G25" s="811"/>
      <c r="H25" s="2128" t="s">
        <v>1336</v>
      </c>
      <c r="I25" s="2172" t="s">
        <v>1337</v>
      </c>
      <c r="J25" s="2130">
        <f ca="1">J5-J16</f>
        <v>-52</v>
      </c>
      <c r="K25" s="2173" t="s">
        <v>1338</v>
      </c>
      <c r="L25" s="2174"/>
      <c r="M25" s="2175"/>
    </row>
    <row r="26" ht="13" spans="1:13">
      <c r="A26" s="2133" t="s">
        <v>939</v>
      </c>
      <c r="B26" s="2102" t="s">
        <v>1339</v>
      </c>
      <c r="C26" s="1060">
        <f ca="1">ROUND((C19+C20)*F26,0)</f>
        <v>649</v>
      </c>
      <c r="D26" s="2145" t="s">
        <v>1340</v>
      </c>
      <c r="E26" s="2115" t="s">
        <v>1341</v>
      </c>
      <c r="F26" s="2112">
        <f ca="1">INDIRECT("'数据-取费表'!q"&amp;$G$1)</f>
        <v>0.05</v>
      </c>
      <c r="G26" s="811"/>
      <c r="H26" s="2092" t="s">
        <v>1342</v>
      </c>
      <c r="I26" s="2093" t="s">
        <v>1343</v>
      </c>
      <c r="J26" s="2176">
        <f ca="1">IF(J5&lt;&gt;0,ROUND(J25*(1-((1+M28)/(1+M26))^M27)/(M26-M28),0),0)</f>
        <v>0</v>
      </c>
      <c r="K26" s="2164" t="s">
        <v>1344</v>
      </c>
      <c r="L26" s="2102" t="s">
        <v>1345</v>
      </c>
      <c r="M26" s="2112">
        <f ca="1">INDIRECT("'数据-取费表'!I"&amp;$G$1)</f>
        <v>0.055</v>
      </c>
    </row>
    <row r="27" ht="18" customHeight="1" spans="1:13">
      <c r="A27" s="2133" t="s">
        <v>943</v>
      </c>
      <c r="B27" s="2102" t="s">
        <v>1346</v>
      </c>
      <c r="C27" s="1060">
        <f ca="1">ROUND(F21*F26,4)</f>
        <v>0.001</v>
      </c>
      <c r="D27" s="2145" t="s">
        <v>1347</v>
      </c>
      <c r="E27" s="2138"/>
      <c r="F27" s="2139"/>
      <c r="G27" s="811"/>
      <c r="H27" s="2109"/>
      <c r="I27" s="2178"/>
      <c r="J27" s="2110"/>
      <c r="K27" s="2179" t="s">
        <v>1348</v>
      </c>
      <c r="L27" s="2102" t="s">
        <v>1349</v>
      </c>
      <c r="M27" s="2180">
        <f ca="1">INDIRECT("'数据-取费表'!ag"&amp;$G$1)</f>
        <v>0</v>
      </c>
    </row>
    <row r="28" s="2069" customFormat="1" ht="18" customHeight="1" spans="1:37">
      <c r="A28" s="2133" t="s">
        <v>973</v>
      </c>
      <c r="B28" s="2102" t="s">
        <v>1350</v>
      </c>
      <c r="C28" s="1060">
        <f>ROUND(F28/(1+'数据-取费表'!C42),4)</f>
        <v>0.0524</v>
      </c>
      <c r="D28" s="2145" t="s">
        <v>1351</v>
      </c>
      <c r="E28" s="2102" t="s">
        <v>1297</v>
      </c>
      <c r="F28" s="2142">
        <f>'数据-取费表'!B41</f>
        <v>0.055</v>
      </c>
      <c r="G28" s="2140"/>
      <c r="H28" s="2117"/>
      <c r="I28" s="2182"/>
      <c r="J28" s="2130"/>
      <c r="K28" s="2168"/>
      <c r="L28" s="2102" t="s">
        <v>1352</v>
      </c>
      <c r="M28" s="2112">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69" customFormat="1" ht="18" customHeight="1" spans="1:37">
      <c r="A29" s="2141" t="s">
        <v>1256</v>
      </c>
      <c r="B29" s="2126" t="s">
        <v>1353</v>
      </c>
      <c r="C29" s="2150">
        <f ca="1">ROUND((C19+C20+C23+C26)/(1-F21-C24-C27-C28),0)</f>
        <v>14924</v>
      </c>
      <c r="D29" s="2151"/>
      <c r="E29" s="2126"/>
      <c r="F29" s="2152"/>
      <c r="G29" s="2140"/>
      <c r="H29" s="2153" t="s">
        <v>1354</v>
      </c>
      <c r="I29" s="2183" t="s">
        <v>1355</v>
      </c>
      <c r="J29" s="2184">
        <f ca="1">ROUND(J26/(1+F40)^F41,0)</f>
        <v>0</v>
      </c>
      <c r="K29" s="2185" t="s">
        <v>1356</v>
      </c>
      <c r="L29" s="2186"/>
      <c r="M29" s="2187">
        <f ca="1">INDIRECT("'数据-取费表'!k"&amp;$G$1)</f>
        <v>54377.37</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13">
      <c r="A30" s="2128" t="s">
        <v>1298</v>
      </c>
      <c r="B30" s="2129" t="s">
        <v>1299</v>
      </c>
      <c r="C30" s="2130">
        <f ca="1">ROUND(C31+C36+C37+C38,0)</f>
        <v>188</v>
      </c>
      <c r="D30" s="2154" t="s">
        <v>1300</v>
      </c>
      <c r="E30" s="2155"/>
      <c r="F30" s="2097"/>
      <c r="G30" s="811"/>
      <c r="H30" s="2156"/>
      <c r="I30" s="2265"/>
      <c r="J30" s="2266"/>
      <c r="K30" s="2267"/>
      <c r="L30" s="2268"/>
      <c r="M30" s="2269"/>
    </row>
    <row r="31" ht="18" customHeight="1" spans="1:13">
      <c r="A31" s="2133" t="s">
        <v>916</v>
      </c>
      <c r="B31" s="2102" t="s">
        <v>1305</v>
      </c>
      <c r="C31" s="2157">
        <f ca="1">ROUND(IF(AND(项目基本情况!B11="自然人",项目基本情况!B10="北京市"),C6*F31/(1+'数据-取费表'!C42),C32+C33+C34),2)</f>
        <v>129.42</v>
      </c>
      <c r="D31" s="2135" t="s">
        <v>1306</v>
      </c>
      <c r="E31" s="2158" t="s">
        <v>1307</v>
      </c>
      <c r="F31" s="2159" t="str">
        <f ca="1">IF(项目基本情况!B11="企业","——",IF(M47="住宅",IF(F6*F7*F8/12/(1+'数据-取费表'!F30)&gt;100000,4%,2.5%),IF(F6*F7*F8/12/(1+'数据-取费表'!F30)&gt;100000,12%,7%)))</f>
        <v>——</v>
      </c>
      <c r="G31" s="811"/>
      <c r="H31" s="2160" t="s">
        <v>1357</v>
      </c>
      <c r="I31" s="2265"/>
      <c r="J31" s="2266"/>
      <c r="K31" s="2267"/>
      <c r="L31" s="2268"/>
      <c r="M31" s="2269"/>
    </row>
    <row r="32" ht="18" customHeight="1" spans="1:13">
      <c r="A32" s="2133" t="s">
        <v>939</v>
      </c>
      <c r="B32" s="2102" t="s">
        <v>1309</v>
      </c>
      <c r="C32" s="1060">
        <f ca="1">IF(项目基本情况!B11="自然人","——",ROUND(C6*F32/(1+'数据-取费表'!C42),2))</f>
        <v>38.45</v>
      </c>
      <c r="D32" s="2158" t="s">
        <v>1310</v>
      </c>
      <c r="E32" s="2102" t="s">
        <v>1297</v>
      </c>
      <c r="F32" s="2149">
        <f>'数据-取费表'!B41</f>
        <v>0.055</v>
      </c>
      <c r="G32" s="811"/>
      <c r="H32" s="2156"/>
      <c r="I32" s="2265"/>
      <c r="J32" s="2266"/>
      <c r="K32" s="2267"/>
      <c r="L32" s="2268"/>
      <c r="M32" s="2269"/>
    </row>
    <row r="33" ht="18" customHeight="1" spans="1:13">
      <c r="A33" s="2133" t="s">
        <v>943</v>
      </c>
      <c r="B33" s="2102" t="s">
        <v>1313</v>
      </c>
      <c r="C33" s="1060">
        <f ca="1">IF(项目基本情况!B11="自然人","——",IF(D33="按租金收入计税",ROUND(C6*F33/(1+'数据-取费表'!C42),2),IF(D33="按房产原值计税",ROUND(C29*F33*0.7,2),INDIRECT("'数据-取费表'!Aj"&amp;$G$1))))</f>
        <v>83.89</v>
      </c>
      <c r="D33" s="2161" t="s">
        <v>1314</v>
      </c>
      <c r="E33" s="2102" t="s">
        <v>1297</v>
      </c>
      <c r="F33" s="2142">
        <f>IF(D33="按票据","——",IF(D33="按租金收入计税",'数据-取费表'!B51,'数据-取费表'!B50))</f>
        <v>0.12</v>
      </c>
      <c r="G33" s="811"/>
      <c r="H33" s="2162"/>
      <c r="I33" s="2265"/>
      <c r="J33" s="2266"/>
      <c r="K33" s="2270"/>
      <c r="L33" s="2162"/>
      <c r="M33" s="2162"/>
    </row>
    <row r="34" ht="18" customHeight="1" spans="1:13">
      <c r="A34" s="2098" t="s">
        <v>946</v>
      </c>
      <c r="B34" s="2101" t="s">
        <v>1317</v>
      </c>
      <c r="C34" s="2163">
        <f ca="1">IF(项目基本情况!B11="自然人","——",ROUND(F34*F35/10000,2))</f>
        <v>7.08</v>
      </c>
      <c r="D34" s="2164" t="s">
        <v>1318</v>
      </c>
      <c r="E34" s="2102" t="s">
        <v>1319</v>
      </c>
      <c r="F34" s="2148">
        <f>'数据-取费表'!B52</f>
        <v>6</v>
      </c>
      <c r="G34" s="811"/>
      <c r="H34" s="2156"/>
      <c r="I34" s="2265"/>
      <c r="J34" s="2266"/>
      <c r="K34" s="2271"/>
      <c r="L34" s="2272"/>
      <c r="M34" s="2272"/>
    </row>
    <row r="35" ht="18" customHeight="1" spans="1:13">
      <c r="A35" s="2165"/>
      <c r="B35" s="2166"/>
      <c r="C35" s="2167"/>
      <c r="D35" s="2168"/>
      <c r="E35" s="2102" t="s">
        <v>1323</v>
      </c>
      <c r="F35" s="2103">
        <f ca="1">INDIRECT("'数据-取费表'!r"&amp;$G$1)</f>
        <v>11805</v>
      </c>
      <c r="G35" s="811"/>
      <c r="H35" s="2156"/>
      <c r="I35" s="2265"/>
      <c r="J35" s="2266"/>
      <c r="K35" s="2270"/>
      <c r="L35" s="2162"/>
      <c r="M35" s="2162"/>
    </row>
    <row r="36" ht="18" customHeight="1" spans="1:13">
      <c r="A36" s="2169" t="s">
        <v>920</v>
      </c>
      <c r="B36" s="2102" t="s">
        <v>1325</v>
      </c>
      <c r="C36" s="1060">
        <f ca="1">ROUND(C29*F36,2)</f>
        <v>44.77</v>
      </c>
      <c r="D36" s="2158" t="s">
        <v>1358</v>
      </c>
      <c r="E36" s="2102" t="s">
        <v>1297</v>
      </c>
      <c r="F36" s="2170">
        <f ca="1">INDIRECT("'数据-取费表'!Ak"&amp;$G$1)</f>
        <v>0.003</v>
      </c>
      <c r="G36" s="811"/>
      <c r="H36" s="2162"/>
      <c r="I36" s="2265"/>
      <c r="J36" s="2266"/>
      <c r="K36" s="2273"/>
      <c r="L36" s="2162"/>
      <c r="M36" s="2162"/>
    </row>
    <row r="37" ht="18" customHeight="1" spans="1:13">
      <c r="A37" s="2133" t="s">
        <v>965</v>
      </c>
      <c r="B37" s="2102" t="s">
        <v>1329</v>
      </c>
      <c r="C37" s="1060">
        <f ca="1">ROUND(C13*F37,2)</f>
        <v>10.45</v>
      </c>
      <c r="D37" s="2158" t="s">
        <v>1330</v>
      </c>
      <c r="E37" s="2102" t="s">
        <v>1297</v>
      </c>
      <c r="F37" s="2171">
        <f ca="1">INDIRECT("'数据-取费表'!Al"&amp;$G$1)</f>
        <v>0.001</v>
      </c>
      <c r="G37" s="811"/>
      <c r="H37" s="2162"/>
      <c r="I37" s="2265"/>
      <c r="J37" s="2266"/>
      <c r="K37" s="2273"/>
      <c r="L37" s="2162"/>
      <c r="M37" s="2162"/>
    </row>
    <row r="38" ht="18" customHeight="1" spans="1:13">
      <c r="A38" s="2141" t="s">
        <v>968</v>
      </c>
      <c r="B38" s="2126" t="s">
        <v>1315</v>
      </c>
      <c r="C38" s="2150">
        <f ca="1">ROUND(C5*F38,2)</f>
        <v>3.68</v>
      </c>
      <c r="D38" s="2151" t="s">
        <v>1333</v>
      </c>
      <c r="E38" s="2126" t="s">
        <v>1297</v>
      </c>
      <c r="F38" s="2127">
        <f ca="1">INDIRECT("'数据-取费表'!Am"&amp;$G$1)</f>
        <v>0.005</v>
      </c>
      <c r="G38" s="811"/>
      <c r="H38" s="2162"/>
      <c r="I38" s="2265"/>
      <c r="J38" s="2266"/>
      <c r="K38" s="2274"/>
      <c r="L38" s="2162"/>
      <c r="M38" s="2162"/>
    </row>
    <row r="39" ht="24.6" customHeight="1" spans="1:13">
      <c r="A39" s="2128" t="s">
        <v>1336</v>
      </c>
      <c r="B39" s="2172" t="s">
        <v>1337</v>
      </c>
      <c r="C39" s="2130">
        <f ca="1">C5-C30</f>
        <v>547</v>
      </c>
      <c r="D39" s="2173" t="s">
        <v>1338</v>
      </c>
      <c r="E39" s="2174"/>
      <c r="F39" s="2175"/>
      <c r="G39" s="811"/>
      <c r="H39" s="2162"/>
      <c r="I39" s="2265"/>
      <c r="J39" s="2266"/>
      <c r="K39" s="2274"/>
      <c r="L39" s="2162"/>
      <c r="M39" s="2162"/>
    </row>
    <row r="40" ht="18" customHeight="1" spans="1:13">
      <c r="A40" s="2092" t="s">
        <v>1342</v>
      </c>
      <c r="B40" s="2093" t="s">
        <v>1359</v>
      </c>
      <c r="C40" s="2176">
        <f ca="1">ROUND(C39*(1-((1+F42)/(1+F40))^F41)/(F40-F42),0)</f>
        <v>10795</v>
      </c>
      <c r="D40" s="2164" t="s">
        <v>1344</v>
      </c>
      <c r="E40" s="2102" t="s">
        <v>1345</v>
      </c>
      <c r="F40" s="2112">
        <f ca="1">INDIRECT("'数据-取费表'!I"&amp;$G$1)</f>
        <v>0.055</v>
      </c>
      <c r="G40" s="811"/>
      <c r="H40" s="2177"/>
      <c r="I40" s="2265"/>
      <c r="J40" s="2266"/>
      <c r="K40" s="2274"/>
      <c r="L40" s="2177"/>
      <c r="M40" s="2177"/>
    </row>
    <row r="41" ht="18" customHeight="1" spans="1:13">
      <c r="A41" s="2109"/>
      <c r="B41" s="2178"/>
      <c r="C41" s="2110"/>
      <c r="D41" s="2179" t="s">
        <v>1348</v>
      </c>
      <c r="E41" s="2102" t="s">
        <v>1349</v>
      </c>
      <c r="F41" s="2180">
        <f ca="1">IF(INDIRECT("'数据-取费表'!af"&amp;$G$1)=0,INDIRECT("'数据-取费表'!ae"&amp;$G$1),INDIRECT("'数据-取费表'!af"&amp;$G$1))</f>
        <v>40.3</v>
      </c>
      <c r="G41" s="811"/>
      <c r="H41" s="2181"/>
      <c r="I41" s="2265"/>
      <c r="J41" s="2266"/>
      <c r="K41" s="2273"/>
      <c r="L41" s="2181"/>
      <c r="M41" s="2181"/>
    </row>
    <row r="42" ht="18" customHeight="1" spans="1:13">
      <c r="A42" s="2117"/>
      <c r="B42" s="2182"/>
      <c r="C42" s="2130"/>
      <c r="D42" s="2168"/>
      <c r="E42" s="2102" t="s">
        <v>1352</v>
      </c>
      <c r="F42" s="2112">
        <f ca="1">INDIRECT("'数据-取费表'!v"&amp;$G$1)</f>
        <v>0.015</v>
      </c>
      <c r="G42" s="811"/>
      <c r="H42" s="2181"/>
      <c r="I42" s="2265"/>
      <c r="J42" s="2266"/>
      <c r="K42" s="2273"/>
      <c r="L42" s="2181"/>
      <c r="M42" s="2181"/>
    </row>
    <row r="43" ht="18" customHeight="1" spans="1:13">
      <c r="A43" s="2153" t="s">
        <v>1354</v>
      </c>
      <c r="B43" s="2183" t="s">
        <v>1360</v>
      </c>
      <c r="C43" s="2184">
        <f ca="1">ROUND(C40*10000/F43,0)</f>
        <v>1985</v>
      </c>
      <c r="D43" s="2185" t="s">
        <v>1361</v>
      </c>
      <c r="E43" s="2186" t="s">
        <v>1362</v>
      </c>
      <c r="F43" s="2187">
        <f ca="1">INDIRECT("'数据-取费表'!k"&amp;$G$1)</f>
        <v>54377.37</v>
      </c>
      <c r="G43" s="811"/>
      <c r="H43" s="2181"/>
      <c r="I43" s="2181"/>
      <c r="J43" s="2181"/>
      <c r="K43" s="2273"/>
      <c r="L43" s="2181"/>
      <c r="M43" s="2181"/>
    </row>
    <row r="44" s="811" customFormat="1" ht="18" customHeight="1" spans="1:11">
      <c r="A44" s="2188"/>
      <c r="B44" s="2188"/>
      <c r="C44" s="2189"/>
      <c r="D44" s="2188"/>
      <c r="E44" s="2188"/>
      <c r="F44" s="2188"/>
      <c r="K44" s="2275"/>
    </row>
    <row r="45" s="811" customFormat="1" ht="18" customHeight="1" spans="1:18">
      <c r="A45" s="2188"/>
      <c r="B45" s="2188"/>
      <c r="C45" s="2189"/>
      <c r="D45" s="2188"/>
      <c r="E45" s="2188"/>
      <c r="F45" s="2188"/>
      <c r="J45" s="1094"/>
      <c r="O45" s="2362" t="s">
        <v>1363</v>
      </c>
      <c r="P45" s="2177"/>
      <c r="Q45" s="2177"/>
      <c r="R45" s="2177"/>
    </row>
    <row r="46" s="811" customFormat="1" ht="13.75" spans="1:18">
      <c r="A46" s="2193" t="s">
        <v>1364</v>
      </c>
      <c r="C46" s="2194">
        <f ca="1">C68-C40</f>
        <v>-11792</v>
      </c>
      <c r="D46" s="2195" t="str">
        <f>C2</f>
        <v>万元</v>
      </c>
      <c r="E46" s="2188"/>
      <c r="F46" s="2188"/>
      <c r="I46" s="2277" t="s">
        <v>1365</v>
      </c>
      <c r="J46" s="2278"/>
      <c r="K46" s="2279"/>
      <c r="L46" s="2280" t="str">
        <f ca="1">IF(M47="住宅",0,IF(L48&gt;J51,L60,J60))</f>
        <v>0</v>
      </c>
      <c r="O46" s="2281" t="s">
        <v>1366</v>
      </c>
      <c r="P46" s="2282" t="s">
        <v>1367</v>
      </c>
      <c r="Q46" s="2329" t="s">
        <v>1368</v>
      </c>
      <c r="R46" s="2329" t="s">
        <v>1369</v>
      </c>
    </row>
    <row r="47" s="811" customFormat="1" ht="13.75" spans="1:18">
      <c r="A47" s="2196" t="s">
        <v>1269</v>
      </c>
      <c r="B47" s="2197" t="s">
        <v>1270</v>
      </c>
      <c r="C47" s="2357" t="s">
        <v>1271</v>
      </c>
      <c r="D47" s="2197" t="s">
        <v>1272</v>
      </c>
      <c r="E47" s="2198" t="s">
        <v>1273</v>
      </c>
      <c r="F47" s="1053"/>
      <c r="G47" s="2199"/>
      <c r="I47" s="2283" t="s">
        <v>1370</v>
      </c>
      <c r="J47" s="2284" t="s">
        <v>1097</v>
      </c>
      <c r="K47" s="2285" t="s">
        <v>1371</v>
      </c>
      <c r="L47" s="2286">
        <f ca="1">INDIRECT("'数据-取费表'!d"&amp;$G$1)</f>
        <v>50</v>
      </c>
      <c r="M47" s="2287" t="str">
        <f>IF(ISNUMBER(FIND("住宅",C1)),"住宅","非住宅")</f>
        <v>非住宅</v>
      </c>
      <c r="O47" s="2288" t="s">
        <v>1119</v>
      </c>
      <c r="P47" s="2289" t="s">
        <v>1372</v>
      </c>
      <c r="Q47" s="2330">
        <f ca="1">C40+J29</f>
        <v>10795</v>
      </c>
      <c r="R47" s="2330" t="s">
        <v>1373</v>
      </c>
    </row>
    <row r="48" s="811" customFormat="1" ht="42.75" spans="1:18">
      <c r="A48" s="2200" t="s">
        <v>1374</v>
      </c>
      <c r="B48" s="2093" t="s">
        <v>1274</v>
      </c>
      <c r="C48" s="1061">
        <f ca="1">C49+C53+C55</f>
        <v>0</v>
      </c>
      <c r="D48" s="2201"/>
      <c r="E48" s="2202"/>
      <c r="F48" s="2203"/>
      <c r="G48" s="2199"/>
      <c r="H48" s="2204"/>
      <c r="I48" s="2290" t="s">
        <v>1375</v>
      </c>
      <c r="J48" s="2291" t="s">
        <v>1376</v>
      </c>
      <c r="K48" s="2292" t="s">
        <v>1377</v>
      </c>
      <c r="L48" s="2293">
        <f ca="1">INDIRECT("'数据-取费表'!f"&amp;$G$1)</f>
        <v>40.5</v>
      </c>
      <c r="O48" s="2288" t="s">
        <v>1122</v>
      </c>
      <c r="P48" s="2289" t="s">
        <v>1378</v>
      </c>
      <c r="Q48" s="2330" t="str">
        <f ca="1">J60</f>
        <v>0</v>
      </c>
      <c r="R48" s="2330" t="s">
        <v>1379</v>
      </c>
    </row>
    <row r="49" s="811" customFormat="1" ht="13.75" spans="1:18">
      <c r="A49" s="2205" t="s">
        <v>1380</v>
      </c>
      <c r="B49" s="2206" t="s">
        <v>1381</v>
      </c>
      <c r="C49" s="2207">
        <f ca="1">ROUND(F49*F51*F50*(1-F52)/10000,0)</f>
        <v>0</v>
      </c>
      <c r="D49" s="2208" t="s">
        <v>1279</v>
      </c>
      <c r="E49" s="2209" t="s">
        <v>1382</v>
      </c>
      <c r="F49" s="2210"/>
      <c r="G49" s="2211"/>
      <c r="H49" s="2204"/>
      <c r="I49" s="2290" t="s">
        <v>1383</v>
      </c>
      <c r="J49" s="2294">
        <v>2025</v>
      </c>
      <c r="K49" s="2292" t="s">
        <v>1384</v>
      </c>
      <c r="L49" s="2295"/>
      <c r="O49" s="2296" t="s">
        <v>1385</v>
      </c>
      <c r="P49" s="2289" t="s">
        <v>1386</v>
      </c>
      <c r="Q49" s="2330">
        <f ca="1">C29</f>
        <v>14924</v>
      </c>
      <c r="R49" s="2330" t="s">
        <v>1373</v>
      </c>
    </row>
    <row r="50" s="811" customFormat="1" ht="13.75" spans="1:18">
      <c r="A50" s="2212"/>
      <c r="B50" s="2213"/>
      <c r="C50" s="2358"/>
      <c r="D50" s="2215"/>
      <c r="E50" s="2216" t="s">
        <v>1280</v>
      </c>
      <c r="F50" s="2217">
        <f ca="1">F7</f>
        <v>44718.07</v>
      </c>
      <c r="H50" s="2204"/>
      <c r="I50" s="2290" t="s">
        <v>1387</v>
      </c>
      <c r="J50" s="2297">
        <f>SUMPRODUCT((I63:I65=J47)*(J62:L62=J48)*(J63:L65))</f>
        <v>50</v>
      </c>
      <c r="K50" s="2292" t="s">
        <v>1388</v>
      </c>
      <c r="L50" s="2295"/>
      <c r="M50" s="2298"/>
      <c r="O50" s="2296" t="s">
        <v>1389</v>
      </c>
      <c r="P50" s="2289" t="s">
        <v>1390</v>
      </c>
      <c r="Q50" s="2331" t="e">
        <f ca="1">J58</f>
        <v>#VALUE!</v>
      </c>
      <c r="R50" s="2330"/>
    </row>
    <row r="51" s="811" customFormat="1" ht="13.75" spans="1:18">
      <c r="A51" s="2218"/>
      <c r="B51" s="2213"/>
      <c r="C51" s="2214"/>
      <c r="D51" s="2215"/>
      <c r="E51" s="2219" t="s">
        <v>1281</v>
      </c>
      <c r="F51" s="2103">
        <f ca="1">F8</f>
        <v>365</v>
      </c>
      <c r="I51" s="2299" t="s">
        <v>1391</v>
      </c>
      <c r="J51" s="2300">
        <f>IF(J49="",J50,J49+J50-YEAR('数据-取费表'!B2))</f>
        <v>50</v>
      </c>
      <c r="K51" s="2301" t="s">
        <v>1392</v>
      </c>
      <c r="L51" s="2302">
        <f ca="1">ROUND(-PV(INDIRECT("'数据-取费表'!h"&amp;$G$1),J51,(C39-C13*C76),0),0)</f>
        <v>-3364</v>
      </c>
      <c r="M51" s="2303"/>
      <c r="O51" s="2296" t="s">
        <v>1393</v>
      </c>
      <c r="P51" s="2289" t="s">
        <v>1394</v>
      </c>
      <c r="Q51" s="2331">
        <f>J52</f>
        <v>0.075</v>
      </c>
      <c r="R51" s="2330"/>
    </row>
    <row r="52" s="811" customFormat="1" ht="13.75" spans="1:18">
      <c r="A52" s="2218"/>
      <c r="B52" s="2213"/>
      <c r="C52" s="2214"/>
      <c r="D52" s="2215"/>
      <c r="E52" s="2219" t="s">
        <v>1282</v>
      </c>
      <c r="F52" s="2220"/>
      <c r="I52" s="2304" t="s">
        <v>1395</v>
      </c>
      <c r="J52" s="2305">
        <v>0.075</v>
      </c>
      <c r="K52" s="2304" t="s">
        <v>1396</v>
      </c>
      <c r="L52" s="2305"/>
      <c r="O52" s="2296" t="s">
        <v>1397</v>
      </c>
      <c r="P52" s="2289" t="s">
        <v>1398</v>
      </c>
      <c r="Q52" s="2330">
        <f ca="1">J53</f>
        <v>40.3</v>
      </c>
      <c r="R52" s="2330" t="s">
        <v>1399</v>
      </c>
    </row>
    <row r="53" s="811" customFormat="1" ht="26.75" spans="1:18">
      <c r="A53" s="2359" t="s">
        <v>1400</v>
      </c>
      <c r="B53" s="2360" t="s">
        <v>1283</v>
      </c>
      <c r="C53" s="1059">
        <f ca="1">ROUND(IF(F53="押一",C49/12*F11,IF(F53="押二",C49/12*2*F11,IF(F53="押三",C49/12*3*F11,C54*F11))),0)</f>
        <v>0</v>
      </c>
      <c r="D53" s="2114" t="s">
        <v>1284</v>
      </c>
      <c r="E53" s="2115" t="s">
        <v>1285</v>
      </c>
      <c r="F53" s="2116"/>
      <c r="I53" s="2306" t="s">
        <v>1401</v>
      </c>
      <c r="J53" s="2307">
        <f ca="1">IF(M47="住宅",IF(D1="——",MAX(J51,L48),MAX(J51,L48-'数据-取费表'!B24)),IF(D1="——",MIN(J51,L48),MIN(J51,L48-'数据-取费表'!B24)))</f>
        <v>40.3</v>
      </c>
      <c r="K53" s="2308" t="s">
        <v>1402</v>
      </c>
      <c r="L53" s="2309"/>
      <c r="O53" s="2288" t="s">
        <v>1223</v>
      </c>
      <c r="P53" s="2289" t="s">
        <v>1403</v>
      </c>
      <c r="Q53" s="2330">
        <f ca="1">Q47+Q48</f>
        <v>10795</v>
      </c>
      <c r="R53" s="2330" t="s">
        <v>1404</v>
      </c>
    </row>
    <row r="54" s="811" customFormat="1" ht="26.75" spans="1:18">
      <c r="A54" s="2361"/>
      <c r="B54" s="2118" t="s">
        <v>1287</v>
      </c>
      <c r="C54" s="2119"/>
      <c r="D54" s="2114"/>
      <c r="E54" s="2223"/>
      <c r="F54" s="2224"/>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1"/>
      <c r="K54" s="2311"/>
      <c r="L54" s="2311"/>
      <c r="M54" s="2211"/>
      <c r="O54" s="2276" t="s">
        <v>1405</v>
      </c>
      <c r="P54" s="2312"/>
      <c r="Q54" s="2312"/>
      <c r="R54" s="2312"/>
    </row>
    <row r="55" s="811" customFormat="1" ht="13.75" spans="1:18">
      <c r="A55" s="2122" t="s">
        <v>965</v>
      </c>
      <c r="B55" s="2123" t="s">
        <v>1289</v>
      </c>
      <c r="C55" s="2124"/>
      <c r="D55" s="2114"/>
      <c r="E55" s="2223"/>
      <c r="F55" s="2224"/>
      <c r="I55" s="2313" t="s">
        <v>1406</v>
      </c>
      <c r="J55" s="2314" t="e">
        <f ca="1">ROUND(IF(J47="钢混",J57/J50,1-(1-2%)*(J50-J57)/J50),3)</f>
        <v>#VALUE!</v>
      </c>
      <c r="K55" s="2315" t="s">
        <v>1407</v>
      </c>
      <c r="L55" s="2316"/>
      <c r="O55" s="2281" t="s">
        <v>1366</v>
      </c>
      <c r="P55" s="2282" t="s">
        <v>1367</v>
      </c>
      <c r="Q55" s="2329" t="s">
        <v>1368</v>
      </c>
      <c r="R55" s="2329" t="s">
        <v>1369</v>
      </c>
    </row>
    <row r="56" s="811" customFormat="1" ht="40.5" spans="1:18">
      <c r="A56" s="2225">
        <v>2</v>
      </c>
      <c r="B56" s="2226" t="s">
        <v>1290</v>
      </c>
      <c r="C56" s="442">
        <f ca="1">C13</f>
        <v>10447</v>
      </c>
      <c r="D56" s="2227"/>
      <c r="E56" s="2228"/>
      <c r="F56" s="2224"/>
      <c r="I56" s="2317" t="s">
        <v>1408</v>
      </c>
      <c r="J56" s="2318" t="s">
        <v>538</v>
      </c>
      <c r="K56" s="2290" t="s">
        <v>1409</v>
      </c>
      <c r="L56" s="2293" t="str">
        <f ca="1">IF(L48&lt;J51,"——",L48-J53)</f>
        <v>——</v>
      </c>
      <c r="O56" s="2288" t="s">
        <v>1119</v>
      </c>
      <c r="P56" s="2289" t="s">
        <v>1372</v>
      </c>
      <c r="Q56" s="2330">
        <f ca="1">C40+J29</f>
        <v>10795</v>
      </c>
      <c r="R56" s="2330" t="s">
        <v>1373</v>
      </c>
    </row>
    <row r="57" s="811" customFormat="1" ht="26.75" spans="1:18">
      <c r="A57" s="2229"/>
      <c r="B57" s="2230" t="s">
        <v>1353</v>
      </c>
      <c r="C57" s="452">
        <f ca="1">C29</f>
        <v>14924</v>
      </c>
      <c r="D57" s="2231"/>
      <c r="E57" s="2232"/>
      <c r="F57" s="2233"/>
      <c r="I57" s="2319" t="s">
        <v>1410</v>
      </c>
      <c r="J57" s="2320" t="str">
        <f ca="1">IF(OR(M47="住宅",J51&lt;L48,J56="是"),"——",J51-L48)</f>
        <v>——</v>
      </c>
      <c r="K57" s="2290" t="s">
        <v>1411</v>
      </c>
      <c r="L57" s="2293" t="str">
        <f ca="1">IF(L48&lt;J51,"——",IF(L55="比较法",L49,IF(L55="基准地价",L50,L51)))</f>
        <v>——</v>
      </c>
      <c r="O57" s="2288" t="s">
        <v>1122</v>
      </c>
      <c r="P57" s="2289" t="s">
        <v>1412</v>
      </c>
      <c r="Q57" s="2330">
        <f ca="1">L60</f>
        <v>0</v>
      </c>
      <c r="R57" s="2330" t="s">
        <v>1413</v>
      </c>
    </row>
    <row r="58" s="811" customFormat="1" ht="26.75" spans="1:18">
      <c r="A58" s="2234" t="s">
        <v>1298</v>
      </c>
      <c r="B58" s="2226" t="s">
        <v>1299</v>
      </c>
      <c r="C58" s="1059">
        <f ca="1">ROUND(C59+C64+C65+C66,0)</f>
        <v>62</v>
      </c>
      <c r="D58" s="2235" t="s">
        <v>1300</v>
      </c>
      <c r="E58" s="2236"/>
      <c r="F58" s="2203"/>
      <c r="I58" s="2319" t="s">
        <v>1414</v>
      </c>
      <c r="J58" s="2321" t="e">
        <f ca="1">IF(J55&lt;0.4,0.4,J55)</f>
        <v>#VALUE!</v>
      </c>
      <c r="K58" s="2301" t="s">
        <v>1415</v>
      </c>
      <c r="L58" s="2293" t="e">
        <f ca="1">ROUND(POWER(1+L52,L47-L48)*(POWER(1+L52,L48)-1)/(POWER(1+L52,L47)-1),4)</f>
        <v>#DIV/0!</v>
      </c>
      <c r="O58" s="2296" t="s">
        <v>1385</v>
      </c>
      <c r="P58" s="2289" t="s">
        <v>1416</v>
      </c>
      <c r="Q58" s="2330">
        <f>IF(L55="比较法",L49,IF(L55="基准地价",L50,0))</f>
        <v>0</v>
      </c>
      <c r="R58" s="2330" t="s">
        <v>1373</v>
      </c>
    </row>
    <row r="59" s="811" customFormat="1" ht="26.75" spans="1:18">
      <c r="A59" s="2133" t="s">
        <v>916</v>
      </c>
      <c r="B59" s="2230" t="s">
        <v>1305</v>
      </c>
      <c r="C59" s="2157">
        <f ca="1">ROUND(IF(AND(项目基本情况!B11="自然人",项目基本情况!B10="北京市"),C49*F59/(1+'数据-取费表'!C42),C60+C61+C62),0)</f>
        <v>7</v>
      </c>
      <c r="D59" s="2237" t="s">
        <v>1306</v>
      </c>
      <c r="E59" s="2238" t="s">
        <v>1307</v>
      </c>
      <c r="F59" s="2159" t="str">
        <f ca="1">IF(项目基本情况!B11="企业","——",IF('数据-取费表'!B10="住宅",IF(F49*F50*F51/12/(1+'数据-取费表'!F30)&gt;100000,4%,2.5%),IF(F49*F50*F51/12/(1+'数据-取费表'!F30)&gt;100000,12%,7%)))</f>
        <v>——</v>
      </c>
      <c r="I59" s="2319" t="s">
        <v>1417</v>
      </c>
      <c r="J59" s="2320" t="str">
        <f ca="1">IF(OR(M47="住宅",J51&lt;L48,J56="是"),"——",ROUND(C29*J58,0))</f>
        <v>——</v>
      </c>
      <c r="K59" s="22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93" t="e">
        <f ca="1">ROUND(IF(D1="在建（套用方法）",M59,IF(D1="土地（套用方法）",N59,POWER(1+L52,L47-J51)*(POWER(1+L52,J51)-1)/(POWER(1+L52,L47)-1))),4)</f>
        <v>#DIV/0!</v>
      </c>
      <c r="M59" s="2287" t="e">
        <f ca="1">ROUND(POWER(1+L52,L47-(J51+'数据-取费表'!B24))*(POWER(1+L52,(J51+'数据-取费表'!B24))-1)/(POWER(1+L52,L47)-1),4)</f>
        <v>#DIV/0!</v>
      </c>
      <c r="N59" s="2287" t="e">
        <f ca="1">ROUND(POWER(1+L52,L47-(J51+'数据-取费表'!B20))*(POWER(1+L52,(J51+'数据-取费表'!B20))-1)/(POWER(1+L52,L47)-1),4)</f>
        <v>#DIV/0!</v>
      </c>
      <c r="O59" s="2296" t="s">
        <v>1389</v>
      </c>
      <c r="P59" s="2289" t="s">
        <v>1418</v>
      </c>
      <c r="Q59" s="2331">
        <f>L52</f>
        <v>0</v>
      </c>
      <c r="R59" s="2330"/>
    </row>
    <row r="60" s="811" customFormat="1" ht="16.75" spans="1:18">
      <c r="A60" s="2133" t="s">
        <v>939</v>
      </c>
      <c r="B60" s="2230" t="s">
        <v>1309</v>
      </c>
      <c r="C60" s="1060">
        <f ca="1">IF(项目基本情况!B11="自然人","——",ROUND(C48*F60/(1+'数据-取费表'!C42),2))</f>
        <v>0</v>
      </c>
      <c r="D60" s="2238" t="s">
        <v>1310</v>
      </c>
      <c r="E60" s="2230" t="s">
        <v>1297</v>
      </c>
      <c r="F60" s="2149">
        <f t="shared" ref="F60:F66" si="0">F32</f>
        <v>0.055</v>
      </c>
      <c r="I60" s="2322" t="s">
        <v>1419</v>
      </c>
      <c r="J60" s="2323" t="str">
        <f ca="1">IF(OR(M47="住宅",J51&lt;L48,J56="是"),"0",ROUND(J59/(1+J52)^J53,0))</f>
        <v>0</v>
      </c>
      <c r="K60" s="2324" t="s">
        <v>1420</v>
      </c>
      <c r="L60" s="2323">
        <f ca="1">IF(OR(M47="住宅",L48&lt;J51),0,ROUND(L57*(L58/L59-1),0))</f>
        <v>0</v>
      </c>
      <c r="O60" s="2296" t="s">
        <v>1393</v>
      </c>
      <c r="P60" s="2289" t="s">
        <v>1421</v>
      </c>
      <c r="Q60" s="2330" t="e">
        <f ca="1">L58</f>
        <v>#DIV/0!</v>
      </c>
      <c r="R60" s="2330" t="s">
        <v>1422</v>
      </c>
    </row>
    <row r="61" s="811" customFormat="1" ht="13.75" spans="1:18">
      <c r="A61" s="2133" t="s">
        <v>943</v>
      </c>
      <c r="B61" s="2230" t="s">
        <v>1313</v>
      </c>
      <c r="C61" s="1060">
        <f ca="1">IF(项目基本情况!B11="自然人","——",IF(D61="按租金收入计税",ROUND(C49*F61/(1+'数据-取费表'!C42),2),IF(D61="按房产原值计税",ROUND(C57*F61*0.7,2),INDIRECT("'数据-取费表'!Aj"&amp;$G$1))))</f>
        <v>0</v>
      </c>
      <c r="D61" s="2161" t="s">
        <v>1314</v>
      </c>
      <c r="E61" s="2230" t="s">
        <v>1297</v>
      </c>
      <c r="F61" s="2142">
        <f t="shared" si="0"/>
        <v>0.12</v>
      </c>
      <c r="I61" s="2177"/>
      <c r="J61" s="2177"/>
      <c r="K61" s="2177"/>
      <c r="L61" s="2177"/>
      <c r="O61" s="2296" t="s">
        <v>1397</v>
      </c>
      <c r="P61" s="2289" t="str">
        <f>K59</f>
        <v>续建工期及建筑物耐用年限下的土地年期修正系数Kn</v>
      </c>
      <c r="Q61" s="2330" t="e">
        <f ca="1">L59</f>
        <v>#DIV/0!</v>
      </c>
      <c r="R61" s="2330" t="s">
        <v>1423</v>
      </c>
    </row>
    <row r="62" s="811" customFormat="1" ht="13.75" spans="1:18">
      <c r="A62" s="2133" t="s">
        <v>946</v>
      </c>
      <c r="B62" s="2239" t="s">
        <v>1317</v>
      </c>
      <c r="C62" s="2163">
        <f ca="1">IF(项目基本情况!B11="自然人","——",ROUND(F62*F63/10000,2))</f>
        <v>7.08</v>
      </c>
      <c r="D62" s="2240" t="s">
        <v>1318</v>
      </c>
      <c r="E62" s="2230" t="s">
        <v>1319</v>
      </c>
      <c r="F62" s="2148">
        <f t="shared" si="0"/>
        <v>6</v>
      </c>
      <c r="I62" s="2325" t="s">
        <v>1424</v>
      </c>
      <c r="J62" s="2326" t="s">
        <v>1425</v>
      </c>
      <c r="K62" s="2326" t="s">
        <v>1426</v>
      </c>
      <c r="L62" s="2326" t="s">
        <v>1427</v>
      </c>
      <c r="M62" s="2327" t="s">
        <v>1428</v>
      </c>
      <c r="O62" s="2288" t="s">
        <v>1223</v>
      </c>
      <c r="P62" s="2289" t="s">
        <v>1403</v>
      </c>
      <c r="Q62" s="2330">
        <f ca="1">Q56+Q57</f>
        <v>10795</v>
      </c>
      <c r="R62" s="2330" t="s">
        <v>1404</v>
      </c>
    </row>
    <row r="63" s="811" customFormat="1" ht="13.75" spans="1:18">
      <c r="A63" s="2146"/>
      <c r="B63" s="2241"/>
      <c r="C63" s="2167"/>
      <c r="D63" s="2242"/>
      <c r="E63" s="2230" t="s">
        <v>1323</v>
      </c>
      <c r="F63" s="2103">
        <f ca="1" t="shared" si="0"/>
        <v>11805</v>
      </c>
      <c r="I63" s="2325" t="s">
        <v>1429</v>
      </c>
      <c r="J63" s="2326">
        <v>70</v>
      </c>
      <c r="K63" s="2326">
        <v>50</v>
      </c>
      <c r="L63" s="2326">
        <v>80</v>
      </c>
      <c r="M63" s="2328">
        <v>0.02</v>
      </c>
      <c r="O63" s="2276" t="s">
        <v>1430</v>
      </c>
      <c r="P63" s="2312"/>
      <c r="Q63" s="2312"/>
      <c r="R63" s="2312"/>
    </row>
    <row r="64" s="811" customFormat="1" ht="13.75" spans="1:18">
      <c r="A64" s="2133" t="s">
        <v>920</v>
      </c>
      <c r="B64" s="2230" t="s">
        <v>1325</v>
      </c>
      <c r="C64" s="1060">
        <f ca="1">ROUND(C57*F64,2)</f>
        <v>44.77</v>
      </c>
      <c r="D64" s="2238" t="s">
        <v>1358</v>
      </c>
      <c r="E64" s="2230" t="s">
        <v>1297</v>
      </c>
      <c r="F64" s="2170">
        <f ca="1" t="shared" si="0"/>
        <v>0.003</v>
      </c>
      <c r="I64" s="2325" t="s">
        <v>1431</v>
      </c>
      <c r="J64" s="2326">
        <v>50</v>
      </c>
      <c r="K64" s="2326">
        <v>35</v>
      </c>
      <c r="L64" s="2326">
        <v>60</v>
      </c>
      <c r="M64" s="2327">
        <v>0</v>
      </c>
      <c r="O64" s="2281" t="s">
        <v>1366</v>
      </c>
      <c r="P64" s="2282" t="s">
        <v>1367</v>
      </c>
      <c r="Q64" s="2329" t="s">
        <v>1368</v>
      </c>
      <c r="R64" s="2329" t="s">
        <v>1369</v>
      </c>
    </row>
    <row r="65" s="811" customFormat="1" ht="13.75" spans="1:18">
      <c r="A65" s="2133" t="s">
        <v>965</v>
      </c>
      <c r="B65" s="2230" t="s">
        <v>1329</v>
      </c>
      <c r="C65" s="1060">
        <f ca="1">ROUND(C56*F65,2)</f>
        <v>10.45</v>
      </c>
      <c r="D65" s="2238" t="s">
        <v>1330</v>
      </c>
      <c r="E65" s="2230" t="s">
        <v>1297</v>
      </c>
      <c r="F65" s="2171">
        <f ca="1" t="shared" si="0"/>
        <v>0.001</v>
      </c>
      <c r="I65" s="2325" t="s">
        <v>1432</v>
      </c>
      <c r="J65" s="2326">
        <v>40</v>
      </c>
      <c r="K65" s="2326">
        <v>30</v>
      </c>
      <c r="L65" s="2326">
        <v>50</v>
      </c>
      <c r="M65" s="2328">
        <v>0.02</v>
      </c>
      <c r="O65" s="2288" t="s">
        <v>1119</v>
      </c>
      <c r="P65" s="2289" t="s">
        <v>1372</v>
      </c>
      <c r="Q65" s="2330">
        <f ca="1">C40+J29</f>
        <v>10795</v>
      </c>
      <c r="R65" s="2330" t="s">
        <v>1373</v>
      </c>
    </row>
    <row r="66" s="811" customFormat="1" ht="16.75" spans="1:18">
      <c r="A66" s="2133" t="s">
        <v>968</v>
      </c>
      <c r="B66" s="2230" t="s">
        <v>1315</v>
      </c>
      <c r="C66" s="1060">
        <f ca="1">ROUND(C48*F66,2)</f>
        <v>0</v>
      </c>
      <c r="D66" s="2238" t="s">
        <v>1333</v>
      </c>
      <c r="E66" s="2230" t="s">
        <v>1297</v>
      </c>
      <c r="F66" s="2112">
        <f ca="1" t="shared" si="0"/>
        <v>0.005</v>
      </c>
      <c r="O66" s="2288" t="s">
        <v>1122</v>
      </c>
      <c r="P66" s="2289" t="s">
        <v>1412</v>
      </c>
      <c r="Q66" s="2330">
        <f ca="1">L60</f>
        <v>0</v>
      </c>
      <c r="R66" s="2330" t="s">
        <v>1413</v>
      </c>
    </row>
    <row r="67" s="811" customFormat="1" ht="26.75" spans="1:18">
      <c r="A67" s="2225" t="s">
        <v>1336</v>
      </c>
      <c r="B67" s="2332" t="s">
        <v>1337</v>
      </c>
      <c r="C67" s="1059">
        <f ca="1">C48-C58</f>
        <v>-62</v>
      </c>
      <c r="D67" s="2237" t="s">
        <v>1338</v>
      </c>
      <c r="E67" s="2333"/>
      <c r="F67" s="2334"/>
      <c r="O67" s="2296" t="s">
        <v>1385</v>
      </c>
      <c r="P67" s="2289" t="s">
        <v>1416</v>
      </c>
      <c r="Q67" s="2354">
        <f ca="1">L51</f>
        <v>-3364</v>
      </c>
      <c r="R67" s="2330" t="s">
        <v>1433</v>
      </c>
    </row>
    <row r="68" s="811" customFormat="1" ht="16.75" spans="1:18">
      <c r="A68" s="2335" t="s">
        <v>1342</v>
      </c>
      <c r="B68" s="2336" t="s">
        <v>1359</v>
      </c>
      <c r="C68" s="2176">
        <f ca="1">ROUND(C67*(1-((1+F70)/(1+F68))^F69)/(F68-F70),0)</f>
        <v>-997</v>
      </c>
      <c r="D68" s="2240" t="s">
        <v>1344</v>
      </c>
      <c r="E68" s="2230" t="s">
        <v>1345</v>
      </c>
      <c r="F68" s="2112">
        <f ca="1">F40</f>
        <v>0.055</v>
      </c>
      <c r="O68" s="2296" t="s">
        <v>1389</v>
      </c>
      <c r="P68" s="2353" t="s">
        <v>1434</v>
      </c>
      <c r="Q68" s="2330">
        <f ca="1">ROUND(Q69-Q70*Q71,0)</f>
        <v>-184</v>
      </c>
      <c r="R68" s="2330" t="s">
        <v>1435</v>
      </c>
    </row>
    <row r="69" s="811" customFormat="1" ht="13.75" spans="1:18">
      <c r="A69" s="2337"/>
      <c r="B69" s="2338"/>
      <c r="C69" s="2110"/>
      <c r="D69" s="2339" t="s">
        <v>1348</v>
      </c>
      <c r="E69" s="2230" t="s">
        <v>1349</v>
      </c>
      <c r="F69" s="2180">
        <f ca="1">F41</f>
        <v>40.3</v>
      </c>
      <c r="O69" s="2296" t="s">
        <v>1436</v>
      </c>
      <c r="P69" s="2353" t="s">
        <v>1437</v>
      </c>
      <c r="Q69" s="2330">
        <f ca="1">C39</f>
        <v>547</v>
      </c>
      <c r="R69" s="2330" t="s">
        <v>1373</v>
      </c>
    </row>
    <row r="70" s="811" customFormat="1" ht="13.75" spans="1:18">
      <c r="A70" s="2340"/>
      <c r="B70" s="2341"/>
      <c r="C70" s="2130"/>
      <c r="D70" s="2242"/>
      <c r="E70" s="2230" t="s">
        <v>1352</v>
      </c>
      <c r="F70" s="2220"/>
      <c r="O70" s="2296" t="s">
        <v>1438</v>
      </c>
      <c r="P70" s="2353" t="s">
        <v>1439</v>
      </c>
      <c r="Q70" s="2330">
        <f ca="1">C13</f>
        <v>10447</v>
      </c>
      <c r="R70" s="2330" t="s">
        <v>1373</v>
      </c>
    </row>
    <row r="71" s="811" customFormat="1" ht="13.75" spans="1:18">
      <c r="A71" s="2342" t="s">
        <v>1354</v>
      </c>
      <c r="B71" s="2343" t="s">
        <v>1360</v>
      </c>
      <c r="C71" s="2184">
        <f ca="1">ROUND(C68*10000/F71,0)</f>
        <v>-183</v>
      </c>
      <c r="D71" s="2344" t="s">
        <v>1361</v>
      </c>
      <c r="E71" s="2345" t="s">
        <v>1362</v>
      </c>
      <c r="F71" s="2187">
        <f ca="1">F43</f>
        <v>54377.37</v>
      </c>
      <c r="O71" s="2296" t="s">
        <v>1440</v>
      </c>
      <c r="P71" s="2353" t="s">
        <v>1441</v>
      </c>
      <c r="Q71" s="2331">
        <f ca="1">C76</f>
        <v>0.07</v>
      </c>
      <c r="R71" s="2330"/>
    </row>
    <row r="72" s="811" customFormat="1" ht="13.75" spans="2:18">
      <c r="B72" s="1094"/>
      <c r="C72" s="1094"/>
      <c r="O72" s="2296" t="s">
        <v>1393</v>
      </c>
      <c r="P72" s="2289" t="s">
        <v>1418</v>
      </c>
      <c r="Q72" s="2331">
        <f>L52</f>
        <v>0</v>
      </c>
      <c r="R72" s="2330"/>
    </row>
    <row r="73" ht="16.75" spans="1:18">
      <c r="A73" s="811"/>
      <c r="B73" s="1094"/>
      <c r="C73" s="1094"/>
      <c r="D73" s="811"/>
      <c r="E73" s="811"/>
      <c r="F73" s="811"/>
      <c r="O73" s="2296" t="s">
        <v>1397</v>
      </c>
      <c r="P73" s="2289" t="s">
        <v>1421</v>
      </c>
      <c r="Q73" s="2330" t="e">
        <f ca="1">L58</f>
        <v>#DIV/0!</v>
      </c>
      <c r="R73" s="2330" t="s">
        <v>1422</v>
      </c>
    </row>
    <row r="74" ht="13.75" spans="1:18">
      <c r="A74" s="811"/>
      <c r="B74" s="487" t="s">
        <v>1442</v>
      </c>
      <c r="C74" s="2346"/>
      <c r="D74" s="811"/>
      <c r="E74" s="811"/>
      <c r="F74" s="811"/>
      <c r="O74" s="2296" t="s">
        <v>1443</v>
      </c>
      <c r="P74" s="2289" t="str">
        <f>K59</f>
        <v>续建工期及建筑物耐用年限下的土地年期修正系数Kn</v>
      </c>
      <c r="Q74" s="2330" t="e">
        <f ca="1">L59</f>
        <v>#DIV/0!</v>
      </c>
      <c r="R74" s="2330" t="s">
        <v>1423</v>
      </c>
    </row>
    <row r="75" ht="13.75" spans="1:18">
      <c r="A75" s="811"/>
      <c r="B75" s="2347" t="s">
        <v>1444</v>
      </c>
      <c r="C75" s="2348">
        <f ca="1">ROUND(C13*C76,0)</f>
        <v>731</v>
      </c>
      <c r="D75" s="811"/>
      <c r="E75" s="811"/>
      <c r="F75" s="811"/>
      <c r="K75" s="2275"/>
      <c r="L75" s="811"/>
      <c r="O75" s="2288" t="s">
        <v>1223</v>
      </c>
      <c r="P75" s="2289" t="s">
        <v>1403</v>
      </c>
      <c r="Q75" s="2330">
        <f ca="1">Q65+Q66</f>
        <v>10795</v>
      </c>
      <c r="R75" s="2330" t="s">
        <v>1404</v>
      </c>
    </row>
    <row r="76" ht="13" spans="2:12">
      <c r="B76" s="587" t="s">
        <v>1445</v>
      </c>
      <c r="C76" s="2349">
        <f ca="1">INDIRECT("'数据-取费表'!j"&amp;$G$1)</f>
        <v>0.07</v>
      </c>
      <c r="I76" s="811"/>
      <c r="J76" s="811"/>
      <c r="K76" s="2275"/>
      <c r="L76" s="811"/>
    </row>
    <row r="77" ht="13" spans="2:12">
      <c r="B77" s="2350" t="s">
        <v>1446</v>
      </c>
      <c r="C77" s="2351"/>
      <c r="I77" s="811"/>
      <c r="J77" s="811"/>
      <c r="K77" s="2275"/>
      <c r="L77" s="811"/>
    </row>
    <row r="78" ht="13" spans="2:3">
      <c r="B78" s="485" t="s">
        <v>1447</v>
      </c>
      <c r="C78" s="2352"/>
    </row>
    <row r="79" ht="13" spans="2:3">
      <c r="B79" s="2347" t="s">
        <v>1448</v>
      </c>
      <c r="C79" s="488">
        <f ca="1">1-C80</f>
        <v>-0.336</v>
      </c>
    </row>
    <row r="80" ht="13" spans="2:3">
      <c r="B80" s="2347" t="s">
        <v>1449</v>
      </c>
      <c r="C80" s="488">
        <f ca="1">ROUND(C75/C39,3)</f>
        <v>1.336</v>
      </c>
    </row>
    <row r="81" ht="13" spans="2:3">
      <c r="B81" s="485" t="s">
        <v>1450</v>
      </c>
      <c r="C81" s="452"/>
    </row>
    <row r="82" ht="13" spans="2:3">
      <c r="B82" s="487" t="s">
        <v>1199</v>
      </c>
      <c r="C82" s="489">
        <f ca="1">1-C83</f>
        <v>0.032</v>
      </c>
    </row>
    <row r="83" ht="13" spans="2:3">
      <c r="B83" s="487" t="s">
        <v>1200</v>
      </c>
      <c r="C83" s="488">
        <f ca="1">ROUND(C13/C40,3)</f>
        <v>0.968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98" customWidth="1"/>
    <col min="2" max="2" width="20.6272727272727" style="997" customWidth="1"/>
    <col min="3" max="3" width="11.8727272727273" style="997" customWidth="1"/>
    <col min="4" max="4" width="40.5" style="398" customWidth="1"/>
    <col min="5" max="5" width="15.7545454545455" style="398" customWidth="1"/>
    <col min="6" max="6" width="10.6272727272727" style="398" customWidth="1"/>
    <col min="7" max="7" width="4.87272727272727" style="398" customWidth="1"/>
    <col min="8" max="8" width="8.5" style="398" customWidth="1"/>
    <col min="9" max="9" width="21.2545454545455" style="398" customWidth="1"/>
    <col min="10" max="10" width="12.2545454545455" style="398" customWidth="1"/>
    <col min="11" max="11" width="40.1272727272727" style="2070" customWidth="1"/>
    <col min="12" max="12" width="16.3727272727273" style="398" customWidth="1"/>
    <col min="13" max="13" width="13" style="398" customWidth="1"/>
    <col min="14" max="14" width="13.7545454545455" style="811" customWidth="1"/>
    <col min="15" max="15" width="5.12727272727273" style="811" customWidth="1"/>
    <col min="16" max="16" width="25.7545454545455" style="811" customWidth="1"/>
    <col min="17" max="17" width="13.7545454545455" style="811" customWidth="1"/>
    <col min="18" max="18" width="20.5" style="811" customWidth="1"/>
    <col min="19" max="19" width="13.2545454545455" style="811" customWidth="1"/>
    <col min="20" max="37" width="9" style="811"/>
    <col min="38" max="16384" width="9" style="398"/>
  </cols>
  <sheetData>
    <row r="1" s="2068" customFormat="1" ht="21" spans="1:37">
      <c r="A1" s="2071" t="s">
        <v>1261</v>
      </c>
      <c r="B1" s="1383"/>
      <c r="C1" s="2072"/>
      <c r="D1" s="2073" t="s">
        <v>124</v>
      </c>
      <c r="E1" s="2074" t="s">
        <v>1263</v>
      </c>
      <c r="F1" s="2075">
        <f ca="1">J53</f>
        <v>0</v>
      </c>
      <c r="G1" s="2076">
        <f>MATCH(C1,'数据-取费表'!A6:A16,0)+5</f>
        <v>7</v>
      </c>
      <c r="H1" s="2077"/>
      <c r="I1" s="2243"/>
      <c r="J1" s="2243"/>
      <c r="K1" s="2244"/>
      <c r="L1" s="2243"/>
      <c r="M1" s="2243"/>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row>
    <row r="2" ht="18" customHeight="1" spans="1:13">
      <c r="A2" s="1890" t="s">
        <v>1264</v>
      </c>
      <c r="B2" s="2078" t="e">
        <f ca="1">ROUND(D2/10000,4)</f>
        <v>#DIV/0!</v>
      </c>
      <c r="C2" s="2079" t="s">
        <v>1265</v>
      </c>
      <c r="D2" s="2080" t="e">
        <f ca="1">C40+J29+L46</f>
        <v>#DIV/0!</v>
      </c>
      <c r="E2" s="2081" t="s">
        <v>1451</v>
      </c>
      <c r="F2" s="2082"/>
      <c r="G2" s="2083"/>
      <c r="H2" s="2084"/>
      <c r="I2" s="2084"/>
      <c r="J2" s="2084"/>
      <c r="K2" s="2246"/>
      <c r="L2" s="2084"/>
      <c r="M2" s="2084"/>
    </row>
    <row r="3" ht="18" customHeight="1" spans="1:13">
      <c r="A3" s="2085" t="s">
        <v>1266</v>
      </c>
      <c r="B3" s="2086">
        <f ca="1">IF(ISERROR(D2/F43),0,ROUND(D2/F43,0))</f>
        <v>0</v>
      </c>
      <c r="C3" s="2079" t="s">
        <v>1267</v>
      </c>
      <c r="D3" s="2079"/>
      <c r="E3" s="2081"/>
      <c r="F3" s="2082"/>
      <c r="G3" s="2083"/>
      <c r="H3" s="2087" t="s">
        <v>1268</v>
      </c>
      <c r="I3" s="2247"/>
      <c r="J3" s="2247"/>
      <c r="K3" s="2248"/>
      <c r="L3" s="2247"/>
      <c r="M3" s="2247"/>
    </row>
    <row r="4" ht="18" customHeight="1" spans="1:13">
      <c r="A4" s="2088" t="s">
        <v>1269</v>
      </c>
      <c r="B4" s="2089" t="s">
        <v>1270</v>
      </c>
      <c r="C4" s="2089" t="s">
        <v>1271</v>
      </c>
      <c r="D4" s="2089" t="s">
        <v>1272</v>
      </c>
      <c r="E4" s="2090" t="s">
        <v>1273</v>
      </c>
      <c r="F4" s="2091"/>
      <c r="G4" s="811"/>
      <c r="H4" s="2088" t="s">
        <v>1269</v>
      </c>
      <c r="I4" s="2089" t="s">
        <v>1270</v>
      </c>
      <c r="J4" s="2089" t="s">
        <v>1271</v>
      </c>
      <c r="K4" s="2089" t="s">
        <v>1272</v>
      </c>
      <c r="L4" s="2090" t="s">
        <v>1273</v>
      </c>
      <c r="M4" s="2091"/>
    </row>
    <row r="5" ht="18" customHeight="1" spans="1:13">
      <c r="A5" s="2092">
        <v>1</v>
      </c>
      <c r="B5" s="2093" t="s">
        <v>1274</v>
      </c>
      <c r="C5" s="2094">
        <f ca="1">C6+C10+C12</f>
        <v>0</v>
      </c>
      <c r="D5" s="2095" t="s">
        <v>1275</v>
      </c>
      <c r="E5" s="2096"/>
      <c r="F5" s="2097"/>
      <c r="G5" s="811"/>
      <c r="H5" s="2092">
        <v>1</v>
      </c>
      <c r="I5" s="2093" t="s">
        <v>1274</v>
      </c>
      <c r="J5" s="2094">
        <f ca="1">J6+J10+J12</f>
        <v>0</v>
      </c>
      <c r="K5" s="2095" t="s">
        <v>1275</v>
      </c>
      <c r="L5" s="2096"/>
      <c r="M5" s="2097"/>
    </row>
    <row r="6" ht="18" customHeight="1" spans="1:13">
      <c r="A6" s="2098" t="s">
        <v>916</v>
      </c>
      <c r="B6" s="2099" t="s">
        <v>1276</v>
      </c>
      <c r="C6" s="2100">
        <f ca="1">ROUND(F6*F8*F7*(1-F9),0)</f>
        <v>0</v>
      </c>
      <c r="D6" s="2101" t="s">
        <v>1452</v>
      </c>
      <c r="E6" s="2102" t="s">
        <v>1278</v>
      </c>
      <c r="F6" s="2103">
        <f ca="1">INDIRECT("'数据-取费表'!u"&amp;$G$1)</f>
        <v>0</v>
      </c>
      <c r="G6" s="811"/>
      <c r="H6" s="2098" t="s">
        <v>916</v>
      </c>
      <c r="I6" s="2099" t="s">
        <v>1276</v>
      </c>
      <c r="J6" s="2176">
        <f ca="1">ROUND(M6*M8*M7*(1-M9),0)</f>
        <v>0</v>
      </c>
      <c r="K6" s="2249" t="s">
        <v>1453</v>
      </c>
      <c r="L6" s="2102" t="s">
        <v>1278</v>
      </c>
      <c r="M6" s="2103">
        <f ca="1">INDIRECT("'数据-取费表'!z"&amp;$G$1)</f>
        <v>0</v>
      </c>
    </row>
    <row r="7" ht="18" customHeight="1" spans="1:13">
      <c r="A7" s="2104"/>
      <c r="B7" s="2105"/>
      <c r="C7" s="2106"/>
      <c r="D7" s="2107"/>
      <c r="E7" s="2108" t="s">
        <v>1280</v>
      </c>
      <c r="F7" s="2103">
        <f ca="1">IF(INDIRECT("'数据-取费表'!ah"&amp;$G$1)="",INDIRECT("'数据-取费表'!k"&amp;$G$1),INDIRECT("'数据-取费表'!ah"&amp;$G$1))</f>
        <v>0</v>
      </c>
      <c r="G7" s="811"/>
      <c r="H7" s="2109"/>
      <c r="I7" s="2105"/>
      <c r="J7" s="2110"/>
      <c r="K7" s="2107"/>
      <c r="L7" s="2102" t="s">
        <v>1280</v>
      </c>
      <c r="M7" s="2103">
        <f ca="1">F7</f>
        <v>0</v>
      </c>
    </row>
    <row r="8" ht="18" customHeight="1" spans="1:13">
      <c r="A8" s="2109"/>
      <c r="B8" s="2105"/>
      <c r="C8" s="2110"/>
      <c r="D8" s="2107"/>
      <c r="E8" s="2102" t="s">
        <v>1281</v>
      </c>
      <c r="F8" s="2103">
        <f ca="1">INDIRECT("'数据-取费表'!ai"&amp;$G$1)</f>
        <v>0</v>
      </c>
      <c r="G8" s="811"/>
      <c r="H8" s="2109"/>
      <c r="I8" s="2105"/>
      <c r="J8" s="2110"/>
      <c r="K8" s="2107"/>
      <c r="L8" s="2102" t="s">
        <v>1281</v>
      </c>
      <c r="M8" s="2103">
        <f ca="1">INDIRECT("'数据-取费表'!ai"&amp;$G$1)</f>
        <v>0</v>
      </c>
    </row>
    <row r="9" ht="18" customHeight="1" spans="1:13">
      <c r="A9" s="2109"/>
      <c r="B9" s="2111"/>
      <c r="C9" s="2110"/>
      <c r="D9" s="2107"/>
      <c r="E9" s="2102" t="s">
        <v>1282</v>
      </c>
      <c r="F9" s="2112">
        <f ca="1">INDIRECT("'数据-取费表'!w"&amp;$G$1)</f>
        <v>0</v>
      </c>
      <c r="G9" s="811"/>
      <c r="H9" s="2109"/>
      <c r="I9" s="2111"/>
      <c r="J9" s="2110"/>
      <c r="K9" s="2107"/>
      <c r="L9" s="2115" t="s">
        <v>1282</v>
      </c>
      <c r="M9" s="2120">
        <f ca="1">INDIRECT("'数据-取费表'!ab"&amp;$G$1)</f>
        <v>0</v>
      </c>
    </row>
    <row r="10" ht="18" customHeight="1" spans="1:13">
      <c r="A10" s="2098" t="s">
        <v>920</v>
      </c>
      <c r="B10" s="2113" t="s">
        <v>1283</v>
      </c>
      <c r="C10" s="1059">
        <f ca="1">ROUND(IF(F10="押一",C6/12*F11,IF(F10="押二",C6/12*2*F11,IF(F10="押三",C6/12*3*F11,C11*F11))),0)</f>
        <v>0</v>
      </c>
      <c r="D10" s="2114" t="s">
        <v>1284</v>
      </c>
      <c r="E10" s="2115" t="s">
        <v>1285</v>
      </c>
      <c r="F10" s="2116"/>
      <c r="G10" s="811"/>
      <c r="H10" s="2098" t="s">
        <v>920</v>
      </c>
      <c r="I10" s="2113" t="s">
        <v>1283</v>
      </c>
      <c r="J10" s="2176">
        <f ca="1">ROUND(IF(M10="押一",J6/12*M11,IF(M10="押二",J6/12*2*M11,IF(M10="押三",J6/12*3*M11,J11*M11))),0)</f>
        <v>0</v>
      </c>
      <c r="K10" s="2250" t="s">
        <v>1454</v>
      </c>
      <c r="L10" s="2115" t="s">
        <v>1285</v>
      </c>
      <c r="M10" s="2116"/>
    </row>
    <row r="11" ht="18" customHeight="1" spans="1:13">
      <c r="A11" s="2117"/>
      <c r="B11" s="2118" t="s">
        <v>1455</v>
      </c>
      <c r="C11" s="2119"/>
      <c r="D11" s="2107"/>
      <c r="E11" s="2115" t="s">
        <v>1288</v>
      </c>
      <c r="F11" s="2120">
        <f ca="1">'数据-取费表'!B39</f>
        <v>0.015</v>
      </c>
      <c r="G11" s="811"/>
      <c r="H11" s="2121"/>
      <c r="I11" s="2118" t="s">
        <v>1456</v>
      </c>
      <c r="J11" s="2119"/>
      <c r="K11" s="2251"/>
      <c r="L11" s="2115" t="s">
        <v>1288</v>
      </c>
      <c r="M11" s="2252">
        <f ca="1">'数据-取费表'!B39</f>
        <v>0.015</v>
      </c>
    </row>
    <row r="12" ht="18" customHeight="1" spans="1:13">
      <c r="A12" s="2122" t="s">
        <v>965</v>
      </c>
      <c r="B12" s="2123" t="s">
        <v>1289</v>
      </c>
      <c r="C12" s="2124"/>
      <c r="D12" s="2125"/>
      <c r="E12" s="2126"/>
      <c r="F12" s="2127"/>
      <c r="G12" s="811"/>
      <c r="H12" s="2122" t="s">
        <v>965</v>
      </c>
      <c r="I12" s="2123" t="s">
        <v>1289</v>
      </c>
      <c r="J12" s="2124"/>
      <c r="K12" s="2253"/>
      <c r="L12" s="2126"/>
      <c r="M12" s="2254"/>
    </row>
    <row r="13" ht="18" customHeight="1" spans="1:13">
      <c r="A13" s="2128">
        <v>2</v>
      </c>
      <c r="B13" s="2129" t="s">
        <v>1290</v>
      </c>
      <c r="C13" s="2130">
        <f ca="1">ROUND(C29*F13,0)</f>
        <v>0</v>
      </c>
      <c r="D13" s="2131" t="s">
        <v>1291</v>
      </c>
      <c r="E13" s="2131" t="s">
        <v>1292</v>
      </c>
      <c r="F13" s="2132">
        <f ca="1">INDIRECT("'数据-取费表'!y"&amp;$G$1)</f>
        <v>0</v>
      </c>
      <c r="G13" s="811"/>
      <c r="H13" s="2128">
        <v>2</v>
      </c>
      <c r="I13" s="2129" t="s">
        <v>1290</v>
      </c>
      <c r="J13" s="2255">
        <f ca="1">ROUND(J14*J15,0)</f>
        <v>0</v>
      </c>
      <c r="K13" s="2154" t="s">
        <v>1291</v>
      </c>
      <c r="L13" s="2256"/>
      <c r="M13" s="2257"/>
    </row>
    <row r="14" ht="18" customHeight="1" spans="1:13">
      <c r="A14" s="2133" t="s">
        <v>939</v>
      </c>
      <c r="B14" s="2102" t="s">
        <v>1293</v>
      </c>
      <c r="C14" s="2134">
        <f ca="1">ROUND(INDIRECT("'数据-取费表'!l"&amp;$G$1)*F43+'数据-取费表'!L14*INDIRECT("'数据-取费表'!S"&amp;$G$1),0)</f>
        <v>0</v>
      </c>
      <c r="D14" s="2135" t="s">
        <v>1294</v>
      </c>
      <c r="E14" s="2136"/>
      <c r="F14" s="2137"/>
      <c r="G14" s="811"/>
      <c r="H14" s="2133" t="s">
        <v>916</v>
      </c>
      <c r="I14" s="2102" t="s">
        <v>1295</v>
      </c>
      <c r="J14" s="1060">
        <f ca="1">C29</f>
        <v>0</v>
      </c>
      <c r="K14" s="2258"/>
      <c r="L14" s="2259"/>
      <c r="M14" s="2260"/>
    </row>
    <row r="15" s="2069" customFormat="1" ht="18" customHeight="1" spans="1:37">
      <c r="A15" s="2133" t="s">
        <v>943</v>
      </c>
      <c r="B15" s="2102" t="s">
        <v>1221</v>
      </c>
      <c r="C15" s="1060">
        <f ca="1">ROUND(C14*F15,0)</f>
        <v>0</v>
      </c>
      <c r="D15" s="2138" t="s">
        <v>1296</v>
      </c>
      <c r="E15" s="2138" t="s">
        <v>1297</v>
      </c>
      <c r="F15" s="2139">
        <f>'数据-取费表'!B33</f>
        <v>0.05</v>
      </c>
      <c r="G15" s="2140"/>
      <c r="H15" s="2141" t="s">
        <v>920</v>
      </c>
      <c r="I15" s="2126" t="s">
        <v>1292</v>
      </c>
      <c r="J15" s="2254">
        <f ca="1">INDIRECT("'数据-取费表'!ad"&amp;$G$1)</f>
        <v>0</v>
      </c>
      <c r="K15" s="2261"/>
      <c r="L15" s="2262"/>
      <c r="M15" s="2263"/>
      <c r="N15" s="2140"/>
      <c r="O15" s="2140"/>
      <c r="P15" s="2140"/>
      <c r="Q15" s="2140"/>
      <c r="R15" s="2140"/>
      <c r="S15" s="2140"/>
      <c r="T15" s="2140"/>
      <c r="U15" s="2140"/>
      <c r="V15" s="2140"/>
      <c r="W15" s="2140"/>
      <c r="X15" s="2140"/>
      <c r="Y15" s="2140"/>
      <c r="Z15" s="2140"/>
      <c r="AA15" s="2140"/>
      <c r="AB15" s="2140"/>
      <c r="AC15" s="2140"/>
      <c r="AD15" s="2140"/>
      <c r="AE15" s="2140"/>
      <c r="AF15" s="2140"/>
      <c r="AG15" s="2140"/>
      <c r="AH15" s="2140"/>
      <c r="AI15" s="2140"/>
      <c r="AJ15" s="2140"/>
      <c r="AK15" s="2140"/>
    </row>
    <row r="16" ht="18" customHeight="1" spans="1:13">
      <c r="A16" s="2133" t="s">
        <v>946</v>
      </c>
      <c r="B16" s="2102" t="s">
        <v>1224</v>
      </c>
      <c r="C16" s="1060">
        <f ca="1">ROUND(INDIRECT("'数据-取费表'!l"&amp;$G$1)*F43*F16,0)</f>
        <v>0</v>
      </c>
      <c r="D16" s="2102" t="s">
        <v>1296</v>
      </c>
      <c r="E16" s="2102" t="s">
        <v>1297</v>
      </c>
      <c r="F16" s="2142">
        <f ca="1">IF(INDIRECT("'数据-取费表'!c"&amp;$G$1)="住宅",'数据-取费表'!B34,0)</f>
        <v>0</v>
      </c>
      <c r="G16" s="811"/>
      <c r="H16" s="2128" t="s">
        <v>1298</v>
      </c>
      <c r="I16" s="2129" t="s">
        <v>1299</v>
      </c>
      <c r="J16" s="2130">
        <f ca="1">ROUND(J17+J22+J23+J24,0)</f>
        <v>0</v>
      </c>
      <c r="K16" s="2154" t="s">
        <v>1300</v>
      </c>
      <c r="L16" s="2155"/>
      <c r="M16" s="2097"/>
    </row>
    <row r="17" s="2069" customFormat="1" ht="18" customHeight="1" spans="1:37">
      <c r="A17" s="2133" t="s">
        <v>1301</v>
      </c>
      <c r="B17" s="2102" t="s">
        <v>1302</v>
      </c>
      <c r="C17" s="1060">
        <f ca="1">ROUND(F17*(F43+INDIRECT("'数据-取费表'!S"&amp;$G$1)),0)</f>
        <v>0</v>
      </c>
      <c r="D17" s="2102" t="s">
        <v>1303</v>
      </c>
      <c r="E17" s="2102" t="s">
        <v>1304</v>
      </c>
      <c r="F17" s="2143">
        <f>'数据-取费表'!B35</f>
        <v>200</v>
      </c>
      <c r="G17" s="2140"/>
      <c r="H17" s="2133" t="s">
        <v>916</v>
      </c>
      <c r="I17" s="2102" t="s">
        <v>1305</v>
      </c>
      <c r="J17" s="2157">
        <f ca="1">ROUND(IF(AND(项目基本情况!B11="自然人",项目基本情况!B10="北京市"),J6*M17/(1+'数据-取费表'!C42),J18+J19+J20),0)</f>
        <v>0</v>
      </c>
      <c r="K17" s="2135" t="s">
        <v>1306</v>
      </c>
      <c r="L17" s="2158" t="s">
        <v>1307</v>
      </c>
      <c r="M17" s="2159" t="str">
        <f ca="1">IF(项目基本情况!B11="企业","",IF('数据-取费表'!B10="住宅",IF(M6*M7*M8/12/(1+'数据-取费表'!F30)&gt;100000,4%,2.5%),IF(M6*M7*M8/12/(1+'数据-取费表'!F30)&gt;100000,12%,7%)))</f>
        <v/>
      </c>
      <c r="N17" s="2140"/>
      <c r="O17" s="2140"/>
      <c r="P17" s="2140"/>
      <c r="Q17" s="2140"/>
      <c r="R17" s="2140"/>
      <c r="S17" s="2140"/>
      <c r="T17" s="2140"/>
      <c r="U17" s="2140"/>
      <c r="V17" s="2140"/>
      <c r="W17" s="2140"/>
      <c r="X17" s="2140"/>
      <c r="Y17" s="2140"/>
      <c r="Z17" s="2140"/>
      <c r="AA17" s="2140"/>
      <c r="AB17" s="2140"/>
      <c r="AC17" s="2140"/>
      <c r="AD17" s="2140"/>
      <c r="AE17" s="2140"/>
      <c r="AF17" s="2140"/>
      <c r="AG17" s="2140"/>
      <c r="AH17" s="2140"/>
      <c r="AI17" s="2140"/>
      <c r="AJ17" s="2140"/>
      <c r="AK17" s="2140"/>
    </row>
    <row r="18" s="2069" customFormat="1" ht="18" customHeight="1" spans="1:37">
      <c r="A18" s="2133" t="s">
        <v>1308</v>
      </c>
      <c r="B18" s="2102" t="s">
        <v>1230</v>
      </c>
      <c r="C18" s="1060">
        <f ca="1">ROUND(C14*F18,0)</f>
        <v>0</v>
      </c>
      <c r="D18" s="2102" t="s">
        <v>1296</v>
      </c>
      <c r="E18" s="2102" t="s">
        <v>1297</v>
      </c>
      <c r="F18" s="2142">
        <f>'数据-取费表'!B36</f>
        <v>0.02</v>
      </c>
      <c r="G18" s="2140"/>
      <c r="H18" s="2133" t="s">
        <v>939</v>
      </c>
      <c r="I18" s="2102" t="s">
        <v>1309</v>
      </c>
      <c r="J18" s="1060">
        <f ca="1">ROUND(J6*M18/(1+'数据-取费表'!C42),0)</f>
        <v>0</v>
      </c>
      <c r="K18" s="2158" t="s">
        <v>1310</v>
      </c>
      <c r="L18" s="2102" t="s">
        <v>1297</v>
      </c>
      <c r="M18" s="2142">
        <f>'数据-取费表'!B41</f>
        <v>0.055</v>
      </c>
      <c r="N18" s="2140"/>
      <c r="O18" s="2140"/>
      <c r="P18" s="2140"/>
      <c r="Q18" s="2140"/>
      <c r="R18" s="2140"/>
      <c r="S18" s="2140"/>
      <c r="T18" s="2140"/>
      <c r="U18" s="2140"/>
      <c r="V18" s="2140"/>
      <c r="W18" s="2140"/>
      <c r="X18" s="2140"/>
      <c r="Y18" s="2140"/>
      <c r="Z18" s="2140"/>
      <c r="AA18" s="2140"/>
      <c r="AB18" s="2140"/>
      <c r="AC18" s="2140"/>
      <c r="AD18" s="2140"/>
      <c r="AE18" s="2140"/>
      <c r="AF18" s="2140"/>
      <c r="AG18" s="2140"/>
      <c r="AH18" s="2140"/>
      <c r="AI18" s="2140"/>
      <c r="AJ18" s="2140"/>
      <c r="AK18" s="2140"/>
    </row>
    <row r="19" ht="18" customHeight="1" spans="1:13">
      <c r="A19" s="2133" t="s">
        <v>916</v>
      </c>
      <c r="B19" s="2102" t="s">
        <v>1311</v>
      </c>
      <c r="C19" s="1060">
        <f ca="1">SUM(C14:C18)</f>
        <v>0</v>
      </c>
      <c r="D19" s="2144" t="s">
        <v>1312</v>
      </c>
      <c r="E19" s="1062"/>
      <c r="F19" s="2143"/>
      <c r="G19" s="811"/>
      <c r="H19" s="2133" t="s">
        <v>943</v>
      </c>
      <c r="I19" s="2102" t="s">
        <v>1313</v>
      </c>
      <c r="J19" s="1060">
        <f ca="1">IF(K19="按租金收入计税",ROUND(J6*M19/(1+'数据-取费表'!C42),0),ROUND(C29*M19*0.7,0))</f>
        <v>0</v>
      </c>
      <c r="K19" s="2161" t="s">
        <v>1314</v>
      </c>
      <c r="L19" s="2102" t="s">
        <v>1297</v>
      </c>
      <c r="M19" s="2142">
        <f>IF(K19="按租金收入计税",'数据-取费表'!B51,'数据-取费表'!B50)</f>
        <v>0.12</v>
      </c>
    </row>
    <row r="20" s="2069" customFormat="1" ht="18" customHeight="1" spans="1:37">
      <c r="A20" s="2133" t="s">
        <v>920</v>
      </c>
      <c r="B20" s="2102" t="s">
        <v>1315</v>
      </c>
      <c r="C20" s="1060">
        <f ca="1">ROUND(C19*F20,0)</f>
        <v>0</v>
      </c>
      <c r="D20" s="2145" t="s">
        <v>1316</v>
      </c>
      <c r="E20" s="2102" t="s">
        <v>1297</v>
      </c>
      <c r="F20" s="2142">
        <f>'数据-取费表'!B37</f>
        <v>0.02</v>
      </c>
      <c r="G20" s="2140"/>
      <c r="H20" s="2133" t="s">
        <v>946</v>
      </c>
      <c r="I20" s="2101" t="s">
        <v>1317</v>
      </c>
      <c r="J20" s="2163">
        <f ca="1">ROUND(M20*M21,0)</f>
        <v>0</v>
      </c>
      <c r="K20" s="2164" t="s">
        <v>1318</v>
      </c>
      <c r="L20" s="2102" t="s">
        <v>1319</v>
      </c>
      <c r="M20" s="2148">
        <f>'数据-取费表'!B52</f>
        <v>6</v>
      </c>
      <c r="N20" s="2140"/>
      <c r="O20" s="2140"/>
      <c r="P20" s="2140"/>
      <c r="Q20" s="2140"/>
      <c r="R20" s="2140"/>
      <c r="S20" s="2140"/>
      <c r="T20" s="2140"/>
      <c r="U20" s="2140"/>
      <c r="V20" s="2140"/>
      <c r="W20" s="2140"/>
      <c r="X20" s="2140"/>
      <c r="Y20" s="2140"/>
      <c r="Z20" s="2140"/>
      <c r="AA20" s="2140"/>
      <c r="AB20" s="2140"/>
      <c r="AC20" s="2140"/>
      <c r="AD20" s="2140"/>
      <c r="AE20" s="2140"/>
      <c r="AF20" s="2140"/>
      <c r="AG20" s="2140"/>
      <c r="AH20" s="2140"/>
      <c r="AI20" s="2140"/>
      <c r="AJ20" s="2140"/>
      <c r="AK20" s="2140"/>
    </row>
    <row r="21" s="2069" customFormat="1" ht="18" customHeight="1" spans="1:37">
      <c r="A21" s="2133" t="s">
        <v>965</v>
      </c>
      <c r="B21" s="2102" t="s">
        <v>1320</v>
      </c>
      <c r="C21" s="1060" t="s">
        <v>124</v>
      </c>
      <c r="D21" s="2145" t="s">
        <v>1321</v>
      </c>
      <c r="E21" s="2102" t="s">
        <v>1322</v>
      </c>
      <c r="F21" s="2142">
        <f>'数据-取费表'!B38</f>
        <v>0.02</v>
      </c>
      <c r="G21" s="2140"/>
      <c r="H21" s="2146"/>
      <c r="I21" s="2264"/>
      <c r="J21" s="2167"/>
      <c r="K21" s="2168"/>
      <c r="L21" s="2102" t="s">
        <v>1323</v>
      </c>
      <c r="M21" s="2103">
        <f ca="1">INDIRECT("'数据-取费表'!r"&amp;$G$1)</f>
        <v>0</v>
      </c>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row>
    <row r="22" ht="18" customHeight="1" spans="1:13">
      <c r="A22" s="2133" t="s">
        <v>968</v>
      </c>
      <c r="B22" s="2102" t="s">
        <v>1324</v>
      </c>
      <c r="C22" s="1060"/>
      <c r="D22" s="2144" t="str">
        <f>IF(F23&lt;=1,"单利计息。","复利计息。")&amp;"建造成本、管理费用、销售费用产生的利息。"</f>
        <v>单利计息。建造成本、管理费用、销售费用产生的利息。</v>
      </c>
      <c r="E22" s="1062"/>
      <c r="F22" s="2143"/>
      <c r="G22" s="811"/>
      <c r="H22" s="2133" t="s">
        <v>920</v>
      </c>
      <c r="I22" s="2102" t="s">
        <v>1325</v>
      </c>
      <c r="J22" s="1060">
        <f ca="1">ROUND(J14*M22,0)</f>
        <v>0</v>
      </c>
      <c r="K22" s="2158" t="s">
        <v>1326</v>
      </c>
      <c r="L22" s="2102" t="s">
        <v>1297</v>
      </c>
      <c r="M22" s="2170">
        <f ca="1">INDIRECT("'数据-取费表'!Ak"&amp;$G$1)</f>
        <v>0</v>
      </c>
    </row>
    <row r="23" s="2069" customFormat="1" ht="18" customHeight="1" spans="1:37">
      <c r="A23" s="2133" t="s">
        <v>939</v>
      </c>
      <c r="B23" s="2102" t="s">
        <v>1327</v>
      </c>
      <c r="C23" s="1060">
        <f ca="1">IF('数据-取费表'!B22&lt;=1,ROUND(C19*F24*F23/2,0)+ROUND(C20*F24*F23/2,0),ROUND(C19*(POWER((1+F24),F23/2)-1),0)+ROUND(C20*(POWER((1+F24),F23/2)-1),0))</f>
        <v>0</v>
      </c>
      <c r="D23" s="2147" t="str">
        <f>IF(F23&lt;=1,"(建造成本+管理费用)×利率×(建设周期÷2)","(建造成本+管理费用)×((1+利率)^(建设周期÷2)-1)")</f>
        <v>(建造成本+管理费用)×利率×(建设周期÷2)</v>
      </c>
      <c r="E23" s="2102" t="s">
        <v>1328</v>
      </c>
      <c r="F23" s="2148">
        <f>'数据-取费表'!B20</f>
        <v>1</v>
      </c>
      <c r="G23" s="2140"/>
      <c r="H23" s="2133" t="s">
        <v>965</v>
      </c>
      <c r="I23" s="2102" t="s">
        <v>1329</v>
      </c>
      <c r="J23" s="1060">
        <f ca="1">ROUND(J13*M23,0)</f>
        <v>0</v>
      </c>
      <c r="K23" s="2158" t="s">
        <v>1330</v>
      </c>
      <c r="L23" s="2102" t="s">
        <v>1297</v>
      </c>
      <c r="M23" s="2171">
        <f ca="1">INDIRECT("'数据-取费表'!Al"&amp;$G$1)</f>
        <v>0</v>
      </c>
      <c r="N23" s="2140"/>
      <c r="O23" s="2140"/>
      <c r="P23" s="2140"/>
      <c r="Q23" s="2140"/>
      <c r="R23" s="2140"/>
      <c r="S23" s="2140"/>
      <c r="T23" s="2140"/>
      <c r="U23" s="2140"/>
      <c r="V23" s="2140"/>
      <c r="W23" s="2140"/>
      <c r="X23" s="2140"/>
      <c r="Y23" s="2140"/>
      <c r="Z23" s="2140"/>
      <c r="AA23" s="2140"/>
      <c r="AB23" s="2140"/>
      <c r="AC23" s="2140"/>
      <c r="AD23" s="2140"/>
      <c r="AE23" s="2140"/>
      <c r="AF23" s="2140"/>
      <c r="AG23" s="2140"/>
      <c r="AH23" s="2140"/>
      <c r="AI23" s="2140"/>
      <c r="AJ23" s="2140"/>
      <c r="AK23" s="2140"/>
    </row>
    <row r="24" s="2069" customFormat="1" ht="18" customHeight="1" spans="1:37">
      <c r="A24" s="2133" t="s">
        <v>943</v>
      </c>
      <c r="B24" s="2102" t="s">
        <v>1331</v>
      </c>
      <c r="C24" s="1060">
        <f ca="1">ROUND(IF('数据-取费表'!B22&lt;=1,F21*F24*F23/2,F21*(POWER((1+F24),F23/2)-1)),4)</f>
        <v>0.0003</v>
      </c>
      <c r="D24" s="2147" t="str">
        <f>IF(F23&lt;=1,"销售费用×利率×(建设周期÷2)","销售费用×((1+利率)^(建设周期÷2)-1)")</f>
        <v>销售费用×利率×(建设周期÷2)</v>
      </c>
      <c r="E24" s="2102" t="s">
        <v>1332</v>
      </c>
      <c r="F24" s="2149">
        <f ca="1">'数据-取费表'!B40</f>
        <v>0.03</v>
      </c>
      <c r="G24" s="2140"/>
      <c r="H24" s="2141" t="s">
        <v>968</v>
      </c>
      <c r="I24" s="2126" t="s">
        <v>1315</v>
      </c>
      <c r="J24" s="2150">
        <f ca="1">ROUND(J5*M24,0)</f>
        <v>0</v>
      </c>
      <c r="K24" s="2151" t="s">
        <v>1333</v>
      </c>
      <c r="L24" s="2126" t="s">
        <v>1297</v>
      </c>
      <c r="M24" s="2127">
        <f ca="1">INDIRECT("'数据-取费表'!Am"&amp;$G$1)</f>
        <v>0</v>
      </c>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row>
    <row r="25" ht="18" customHeight="1" spans="1:13">
      <c r="A25" s="2133" t="s">
        <v>972</v>
      </c>
      <c r="B25" s="2102" t="s">
        <v>1334</v>
      </c>
      <c r="C25" s="1060"/>
      <c r="D25" s="2144" t="s">
        <v>1335</v>
      </c>
      <c r="E25" s="1062"/>
      <c r="F25" s="2143"/>
      <c r="G25" s="811"/>
      <c r="H25" s="2128" t="s">
        <v>1336</v>
      </c>
      <c r="I25" s="2172" t="s">
        <v>1337</v>
      </c>
      <c r="J25" s="2130">
        <f ca="1">J5-J16</f>
        <v>0</v>
      </c>
      <c r="K25" s="2173" t="s">
        <v>1338</v>
      </c>
      <c r="L25" s="2174"/>
      <c r="M25" s="2175"/>
    </row>
    <row r="26" ht="18" customHeight="1" spans="1:13">
      <c r="A26" s="2133" t="s">
        <v>939</v>
      </c>
      <c r="B26" s="2102" t="s">
        <v>1339</v>
      </c>
      <c r="C26" s="1060">
        <f ca="1">ROUND((C19+C20)*F26,0)</f>
        <v>0</v>
      </c>
      <c r="D26" s="2145" t="s">
        <v>1340</v>
      </c>
      <c r="E26" s="2115" t="s">
        <v>1341</v>
      </c>
      <c r="F26" s="2112">
        <f ca="1">INDIRECT("'数据-取费表'!q"&amp;$G$1)</f>
        <v>0</v>
      </c>
      <c r="G26" s="811"/>
      <c r="H26" s="2092" t="s">
        <v>1342</v>
      </c>
      <c r="I26" s="2093" t="s">
        <v>1343</v>
      </c>
      <c r="J26" s="2176">
        <f ca="1">IF(J5&lt;&gt;0,ROUND(J25*(1-((1+M28)/(1+M26))^M27)/(M26-M28),0),0)</f>
        <v>0</v>
      </c>
      <c r="K26" s="2164" t="s">
        <v>1344</v>
      </c>
      <c r="L26" s="2102" t="s">
        <v>1345</v>
      </c>
      <c r="M26" s="2112">
        <f ca="1">INDIRECT("'数据-取费表'!I"&amp;$G$1)</f>
        <v>0</v>
      </c>
    </row>
    <row r="27" ht="18" customHeight="1" spans="1:13">
      <c r="A27" s="2133" t="s">
        <v>943</v>
      </c>
      <c r="B27" s="2102" t="s">
        <v>1346</v>
      </c>
      <c r="C27" s="1060">
        <f ca="1">ROUND(F21*F26,4)</f>
        <v>0</v>
      </c>
      <c r="D27" s="2145" t="s">
        <v>1347</v>
      </c>
      <c r="E27" s="2138"/>
      <c r="F27" s="2139"/>
      <c r="G27" s="811"/>
      <c r="H27" s="2109"/>
      <c r="I27" s="2178"/>
      <c r="J27" s="2110"/>
      <c r="K27" s="2179" t="s">
        <v>1348</v>
      </c>
      <c r="L27" s="2102" t="s">
        <v>1349</v>
      </c>
      <c r="M27" s="2180">
        <f ca="1">INDIRECT("'数据-取费表'!ag"&amp;$G$1)</f>
        <v>0</v>
      </c>
    </row>
    <row r="28" s="2069" customFormat="1" ht="18" customHeight="1" spans="1:37">
      <c r="A28" s="2133" t="s">
        <v>973</v>
      </c>
      <c r="B28" s="2102" t="s">
        <v>1350</v>
      </c>
      <c r="C28" s="1060">
        <f>ROUND(F28/(1+'数据-取费表'!C42),4)</f>
        <v>0.0524</v>
      </c>
      <c r="D28" s="2145" t="s">
        <v>1351</v>
      </c>
      <c r="E28" s="2102" t="s">
        <v>1297</v>
      </c>
      <c r="F28" s="2142">
        <f>'数据-取费表'!B41</f>
        <v>0.055</v>
      </c>
      <c r="G28" s="2140"/>
      <c r="H28" s="2117"/>
      <c r="I28" s="2182"/>
      <c r="J28" s="2130"/>
      <c r="K28" s="2168"/>
      <c r="L28" s="2102" t="s">
        <v>1352</v>
      </c>
      <c r="M28" s="2112">
        <f ca="1">INDIRECT("'数据-取费表'!aa"&amp;$G$1)</f>
        <v>0</v>
      </c>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row>
    <row r="29" s="2069" customFormat="1" ht="18" customHeight="1" spans="1:37">
      <c r="A29" s="2141" t="s">
        <v>1256</v>
      </c>
      <c r="B29" s="2126" t="s">
        <v>1353</v>
      </c>
      <c r="C29" s="2150">
        <f ca="1">ROUND((C19+C20+C23+C26)/(1-F21-C24-C27-C28),0)</f>
        <v>0</v>
      </c>
      <c r="D29" s="2151"/>
      <c r="E29" s="2126"/>
      <c r="F29" s="2152"/>
      <c r="G29" s="2140"/>
      <c r="H29" s="2153" t="s">
        <v>1354</v>
      </c>
      <c r="I29" s="2183" t="s">
        <v>1355</v>
      </c>
      <c r="J29" s="2184">
        <f ca="1">ROUND(J26/(1+F40)^F41,0)</f>
        <v>0</v>
      </c>
      <c r="K29" s="2185" t="s">
        <v>1356</v>
      </c>
      <c r="L29" s="2186"/>
      <c r="M29" s="2187">
        <f ca="1">INDIRECT("'数据-取费表'!k"&amp;$G$1)</f>
        <v>0</v>
      </c>
      <c r="N29" s="2140"/>
      <c r="O29" s="2140"/>
      <c r="P29" s="2140"/>
      <c r="Q29" s="2140"/>
      <c r="R29" s="2140"/>
      <c r="S29" s="2140"/>
      <c r="T29" s="2140"/>
      <c r="U29" s="2140"/>
      <c r="V29" s="2140"/>
      <c r="W29" s="2140"/>
      <c r="X29" s="2140"/>
      <c r="Y29" s="2140"/>
      <c r="Z29" s="2140"/>
      <c r="AA29" s="2140"/>
      <c r="AB29" s="2140"/>
      <c r="AC29" s="2140"/>
      <c r="AD29" s="2140"/>
      <c r="AE29" s="2140"/>
      <c r="AF29" s="2140"/>
      <c r="AG29" s="2140"/>
      <c r="AH29" s="2140"/>
      <c r="AI29" s="2140"/>
      <c r="AJ29" s="2140"/>
      <c r="AK29" s="2140"/>
    </row>
    <row r="30" ht="18" customHeight="1" spans="1:13">
      <c r="A30" s="2128" t="s">
        <v>1298</v>
      </c>
      <c r="B30" s="2129" t="s">
        <v>1299</v>
      </c>
      <c r="C30" s="2130">
        <f ca="1">ROUND(C31+C36+C37+C38,0)</f>
        <v>0</v>
      </c>
      <c r="D30" s="2154" t="s">
        <v>1300</v>
      </c>
      <c r="E30" s="2155"/>
      <c r="F30" s="2097"/>
      <c r="G30" s="811"/>
      <c r="H30" s="2156"/>
      <c r="I30" s="2265"/>
      <c r="J30" s="2266"/>
      <c r="K30" s="2267"/>
      <c r="L30" s="2268"/>
      <c r="M30" s="2269"/>
    </row>
    <row r="31" ht="18" customHeight="1" spans="1:13">
      <c r="A31" s="2133" t="s">
        <v>916</v>
      </c>
      <c r="B31" s="2102" t="s">
        <v>1305</v>
      </c>
      <c r="C31" s="2157">
        <f ca="1">ROUND(IF(AND(项目基本情况!B11="自然人",项目基本情况!B10="北京市"),C6*F31/(1+'数据-取费表'!C42),C32+C33+C34),0)</f>
        <v>0</v>
      </c>
      <c r="D31" s="2135" t="s">
        <v>1306</v>
      </c>
      <c r="E31" s="2158" t="s">
        <v>1307</v>
      </c>
      <c r="F31" s="2159" t="str">
        <f ca="1">IF(项目基本情况!B11="企业","——",IF(M47="住宅",IF(F6*F7*F8/12/(1+'数据-取费表'!F30)&gt;100000,4%,2.5%),IF(F6*F7*F8/12/(1+'数据-取费表'!F30)&gt;100000,12%,7%)))</f>
        <v>——</v>
      </c>
      <c r="G31" s="811"/>
      <c r="H31" s="2160" t="s">
        <v>1357</v>
      </c>
      <c r="I31" s="2265"/>
      <c r="J31" s="2266"/>
      <c r="K31" s="2267"/>
      <c r="L31" s="2268"/>
      <c r="M31" s="2269"/>
    </row>
    <row r="32" ht="18" customHeight="1" spans="1:13">
      <c r="A32" s="2133" t="s">
        <v>939</v>
      </c>
      <c r="B32" s="2102" t="s">
        <v>1309</v>
      </c>
      <c r="C32" s="1060">
        <f ca="1">IF(项目基本情况!B11="自然人","——",ROUND(C6*F32/(1+'数据-取费表'!C42),0))</f>
        <v>0</v>
      </c>
      <c r="D32" s="2158" t="s">
        <v>1310</v>
      </c>
      <c r="E32" s="2102" t="s">
        <v>1297</v>
      </c>
      <c r="F32" s="2149">
        <f>'数据-取费表'!B41</f>
        <v>0.055</v>
      </c>
      <c r="G32" s="811"/>
      <c r="H32" s="2156"/>
      <c r="I32" s="2265"/>
      <c r="J32" s="2266"/>
      <c r="K32" s="2267"/>
      <c r="L32" s="2268"/>
      <c r="M32" s="2269"/>
    </row>
    <row r="33" ht="18" customHeight="1" spans="1:13">
      <c r="A33" s="2133" t="s">
        <v>943</v>
      </c>
      <c r="B33" s="2102" t="s">
        <v>1313</v>
      </c>
      <c r="C33" s="1060">
        <f ca="1">IF(项目基本情况!B11="自然人","——",IF(D33="按租金收入计税",ROUND(C6*F33/(1+'数据-取费表'!C42),0),IF(D33="按房产原值计税",ROUND(C29*F33*0.7,0),INDIRECT("'数据-取费表'!Aj"&amp;$G$1))))</f>
        <v>0</v>
      </c>
      <c r="D33" s="2161" t="s">
        <v>1314</v>
      </c>
      <c r="E33" s="2102" t="s">
        <v>1297</v>
      </c>
      <c r="F33" s="2142">
        <f>IF(D33="按票据","——",IF(D33="按租金收入计税",'数据-取费表'!B51,'数据-取费表'!B50))</f>
        <v>0.12</v>
      </c>
      <c r="G33" s="811"/>
      <c r="H33" s="2162"/>
      <c r="I33" s="2265"/>
      <c r="J33" s="2266"/>
      <c r="K33" s="2270"/>
      <c r="L33" s="2162"/>
      <c r="M33" s="2162"/>
    </row>
    <row r="34" ht="18" customHeight="1" spans="1:13">
      <c r="A34" s="2098" t="s">
        <v>946</v>
      </c>
      <c r="B34" s="2101" t="s">
        <v>1317</v>
      </c>
      <c r="C34" s="2163">
        <f ca="1">IF(项目基本情况!B11="自然人","——",ROUND(F34*F35,0))</f>
        <v>0</v>
      </c>
      <c r="D34" s="2164" t="s">
        <v>1318</v>
      </c>
      <c r="E34" s="2102" t="s">
        <v>1319</v>
      </c>
      <c r="F34" s="2148">
        <f>'数据-取费表'!B52</f>
        <v>6</v>
      </c>
      <c r="G34" s="811"/>
      <c r="H34" s="2156"/>
      <c r="I34" s="2265"/>
      <c r="J34" s="2266"/>
      <c r="K34" s="2271"/>
      <c r="L34" s="2272"/>
      <c r="M34" s="2272"/>
    </row>
    <row r="35" ht="18" customHeight="1" spans="1:13">
      <c r="A35" s="2165"/>
      <c r="B35" s="2166"/>
      <c r="C35" s="2167"/>
      <c r="D35" s="2168"/>
      <c r="E35" s="2102" t="s">
        <v>1323</v>
      </c>
      <c r="F35" s="2103">
        <f ca="1">INDIRECT("'数据-取费表'!r"&amp;$G$1)</f>
        <v>0</v>
      </c>
      <c r="G35" s="811"/>
      <c r="H35" s="2156"/>
      <c r="I35" s="2265"/>
      <c r="J35" s="2266"/>
      <c r="K35" s="2270"/>
      <c r="L35" s="2162"/>
      <c r="M35" s="2162"/>
    </row>
    <row r="36" ht="18" customHeight="1" spans="1:13">
      <c r="A36" s="2169" t="s">
        <v>920</v>
      </c>
      <c r="B36" s="2102" t="s">
        <v>1325</v>
      </c>
      <c r="C36" s="1060">
        <f ca="1">ROUND(C29*F36,0)</f>
        <v>0</v>
      </c>
      <c r="D36" s="2158" t="s">
        <v>1358</v>
      </c>
      <c r="E36" s="2102" t="s">
        <v>1297</v>
      </c>
      <c r="F36" s="2170">
        <f ca="1">INDIRECT("'数据-取费表'!Ak"&amp;$G$1)</f>
        <v>0</v>
      </c>
      <c r="G36" s="811"/>
      <c r="H36" s="2162"/>
      <c r="I36" s="2265"/>
      <c r="J36" s="2266"/>
      <c r="K36" s="2273"/>
      <c r="L36" s="2162"/>
      <c r="M36" s="2162"/>
    </row>
    <row r="37" ht="18" customHeight="1" spans="1:13">
      <c r="A37" s="2133" t="s">
        <v>965</v>
      </c>
      <c r="B37" s="2102" t="s">
        <v>1329</v>
      </c>
      <c r="C37" s="1060">
        <f ca="1">ROUND(C13*F37,0)</f>
        <v>0</v>
      </c>
      <c r="D37" s="2158" t="s">
        <v>1330</v>
      </c>
      <c r="E37" s="2102" t="s">
        <v>1297</v>
      </c>
      <c r="F37" s="2171">
        <f ca="1">INDIRECT("'数据-取费表'!Al"&amp;$G$1)</f>
        <v>0</v>
      </c>
      <c r="G37" s="811"/>
      <c r="H37" s="2162"/>
      <c r="I37" s="2265"/>
      <c r="J37" s="2266"/>
      <c r="K37" s="2273"/>
      <c r="L37" s="2162"/>
      <c r="M37" s="2162"/>
    </row>
    <row r="38" ht="18" customHeight="1" spans="1:13">
      <c r="A38" s="2141" t="s">
        <v>968</v>
      </c>
      <c r="B38" s="2126" t="s">
        <v>1315</v>
      </c>
      <c r="C38" s="2150">
        <f ca="1">ROUND(C5*F38,0)</f>
        <v>0</v>
      </c>
      <c r="D38" s="2151" t="s">
        <v>1333</v>
      </c>
      <c r="E38" s="2126" t="s">
        <v>1297</v>
      </c>
      <c r="F38" s="2127">
        <f ca="1">INDIRECT("'数据-取费表'!Am"&amp;$G$1)</f>
        <v>0</v>
      </c>
      <c r="G38" s="811"/>
      <c r="H38" s="2162"/>
      <c r="I38" s="2265"/>
      <c r="J38" s="2266"/>
      <c r="K38" s="2274"/>
      <c r="L38" s="2162"/>
      <c r="M38" s="2162"/>
    </row>
    <row r="39" ht="24.6" customHeight="1" spans="1:13">
      <c r="A39" s="2128" t="s">
        <v>1336</v>
      </c>
      <c r="B39" s="2172" t="s">
        <v>1337</v>
      </c>
      <c r="C39" s="2130">
        <f ca="1">C5-C30</f>
        <v>0</v>
      </c>
      <c r="D39" s="2173" t="s">
        <v>1338</v>
      </c>
      <c r="E39" s="2174"/>
      <c r="F39" s="2175"/>
      <c r="G39" s="811"/>
      <c r="H39" s="2162"/>
      <c r="I39" s="2265"/>
      <c r="J39" s="2266"/>
      <c r="K39" s="2274"/>
      <c r="L39" s="2162"/>
      <c r="M39" s="2162"/>
    </row>
    <row r="40" ht="18" customHeight="1" spans="1:13">
      <c r="A40" s="2092" t="s">
        <v>1342</v>
      </c>
      <c r="B40" s="2093" t="s">
        <v>1359</v>
      </c>
      <c r="C40" s="2176" t="e">
        <f ca="1">ROUND(C39*(1-((1+F42)/(1+F40))^F41)/(F40-F42),0)</f>
        <v>#DIV/0!</v>
      </c>
      <c r="D40" s="2164" t="s">
        <v>1344</v>
      </c>
      <c r="E40" s="2102" t="s">
        <v>1345</v>
      </c>
      <c r="F40" s="2112">
        <f ca="1">INDIRECT("'数据-取费表'!I"&amp;$G$1)</f>
        <v>0</v>
      </c>
      <c r="G40" s="811"/>
      <c r="H40" s="2177"/>
      <c r="I40" s="2265"/>
      <c r="J40" s="2266"/>
      <c r="K40" s="2274"/>
      <c r="L40" s="2177"/>
      <c r="M40" s="2177"/>
    </row>
    <row r="41" ht="18" customHeight="1" spans="1:13">
      <c r="A41" s="2109"/>
      <c r="B41" s="2178"/>
      <c r="C41" s="2110"/>
      <c r="D41" s="2179" t="s">
        <v>1348</v>
      </c>
      <c r="E41" s="2102" t="s">
        <v>1349</v>
      </c>
      <c r="F41" s="2180">
        <f ca="1">IF(INDIRECT("'数据-取费表'!af"&amp;$G$1)=0,INDIRECT("'数据-取费表'!ae"&amp;$G$1),INDIRECT("'数据-取费表'!af"&amp;$G$1))</f>
        <v>0</v>
      </c>
      <c r="G41" s="811"/>
      <c r="H41" s="2181"/>
      <c r="I41" s="2265"/>
      <c r="J41" s="2266"/>
      <c r="K41" s="2273"/>
      <c r="L41" s="2181"/>
      <c r="M41" s="2181"/>
    </row>
    <row r="42" ht="18" customHeight="1" spans="1:13">
      <c r="A42" s="2117"/>
      <c r="B42" s="2182"/>
      <c r="C42" s="2130"/>
      <c r="D42" s="2168"/>
      <c r="E42" s="2102" t="s">
        <v>1352</v>
      </c>
      <c r="F42" s="2112">
        <f ca="1">INDIRECT("'数据-取费表'!v"&amp;$G$1)</f>
        <v>0</v>
      </c>
      <c r="G42" s="811"/>
      <c r="H42" s="2181"/>
      <c r="I42" s="2265"/>
      <c r="J42" s="2266"/>
      <c r="K42" s="2273"/>
      <c r="L42" s="2181"/>
      <c r="M42" s="2181"/>
    </row>
    <row r="43" ht="18" customHeight="1" spans="1:13">
      <c r="A43" s="2153" t="s">
        <v>1354</v>
      </c>
      <c r="B43" s="2183" t="s">
        <v>1360</v>
      </c>
      <c r="C43" s="2184" t="e">
        <f ca="1">ROUND(C40/F43,0)</f>
        <v>#DIV/0!</v>
      </c>
      <c r="D43" s="2185" t="s">
        <v>1361</v>
      </c>
      <c r="E43" s="2186" t="s">
        <v>1362</v>
      </c>
      <c r="F43" s="2187">
        <f ca="1">INDIRECT("'数据-取费表'!k"&amp;$G$1)</f>
        <v>0</v>
      </c>
      <c r="G43" s="811"/>
      <c r="H43" s="2181"/>
      <c r="I43" s="2181"/>
      <c r="J43" s="2181"/>
      <c r="K43" s="2273"/>
      <c r="L43" s="2181"/>
      <c r="M43" s="2181"/>
    </row>
    <row r="44" s="811" customFormat="1" ht="18" customHeight="1" spans="1:11">
      <c r="A44" s="2188"/>
      <c r="B44" s="2188"/>
      <c r="C44" s="2189"/>
      <c r="D44" s="2188"/>
      <c r="E44" s="2188"/>
      <c r="F44" s="2188"/>
      <c r="K44" s="2275"/>
    </row>
    <row r="45" s="811" customFormat="1" ht="18" customHeight="1" spans="1:18">
      <c r="A45" s="2190" t="s">
        <v>1457</v>
      </c>
      <c r="B45" s="2188"/>
      <c r="C45" s="2191" t="e">
        <f ca="1">ROUND((C68-C40)/10000,4)</f>
        <v>#DIV/0!</v>
      </c>
      <c r="D45" s="2192" t="s">
        <v>1458</v>
      </c>
      <c r="E45" s="2188"/>
      <c r="F45" s="2188"/>
      <c r="O45" s="2276" t="s">
        <v>1363</v>
      </c>
      <c r="P45" s="2177"/>
      <c r="Q45" s="2177"/>
      <c r="R45" s="2177"/>
    </row>
    <row r="46" s="811" customFormat="1" ht="13.75" spans="1:18">
      <c r="A46" s="2193" t="s">
        <v>1364</v>
      </c>
      <c r="C46" s="2194" t="e">
        <f ca="1">ROUND(C45,0)</f>
        <v>#DIV/0!</v>
      </c>
      <c r="D46" s="2195" t="str">
        <f>C2</f>
        <v>万元</v>
      </c>
      <c r="I46" s="2277" t="s">
        <v>1365</v>
      </c>
      <c r="J46" s="2278"/>
      <c r="K46" s="2279"/>
      <c r="L46" s="2280" t="e">
        <f ca="1">IF(M47="住宅",0,IF(L48&gt;J51,L60,J60))</f>
        <v>#DIV/0!</v>
      </c>
      <c r="O46" s="2281" t="s">
        <v>1366</v>
      </c>
      <c r="P46" s="2282" t="s">
        <v>1367</v>
      </c>
      <c r="Q46" s="2329" t="s">
        <v>1368</v>
      </c>
      <c r="R46" s="2329" t="s">
        <v>1369</v>
      </c>
    </row>
    <row r="47" s="811" customFormat="1" ht="13.75" spans="1:18">
      <c r="A47" s="2196" t="s">
        <v>1269</v>
      </c>
      <c r="B47" s="2197" t="s">
        <v>1270</v>
      </c>
      <c r="C47" s="2197" t="s">
        <v>1271</v>
      </c>
      <c r="D47" s="2197" t="s">
        <v>1272</v>
      </c>
      <c r="E47" s="2198" t="s">
        <v>1273</v>
      </c>
      <c r="F47" s="1053"/>
      <c r="G47" s="2199"/>
      <c r="I47" s="2283" t="s">
        <v>1370</v>
      </c>
      <c r="J47" s="2284"/>
      <c r="K47" s="2285" t="s">
        <v>1371</v>
      </c>
      <c r="L47" s="2286">
        <f ca="1">INDIRECT("'数据-取费表'!d"&amp;$G$1)</f>
        <v>0</v>
      </c>
      <c r="M47" s="2287" t="str">
        <f>IF(ISNUMBER(FIND("住宅",C1)),"住宅","非住宅")</f>
        <v>非住宅</v>
      </c>
      <c r="O47" s="2288" t="s">
        <v>1119</v>
      </c>
      <c r="P47" s="2289" t="s">
        <v>1372</v>
      </c>
      <c r="Q47" s="2330" t="e">
        <f ca="1">C40+J29</f>
        <v>#DIV/0!</v>
      </c>
      <c r="R47" s="2330" t="s">
        <v>1373</v>
      </c>
    </row>
    <row r="48" s="811" customFormat="1" ht="42.75" spans="1:18">
      <c r="A48" s="2200" t="s">
        <v>1374</v>
      </c>
      <c r="B48" s="2093" t="s">
        <v>1274</v>
      </c>
      <c r="C48" s="1061">
        <f ca="1">C49+C53+C55</f>
        <v>0</v>
      </c>
      <c r="D48" s="2201"/>
      <c r="E48" s="2202"/>
      <c r="F48" s="2203"/>
      <c r="G48" s="2199"/>
      <c r="H48" s="2204"/>
      <c r="I48" s="2290" t="s">
        <v>1375</v>
      </c>
      <c r="J48" s="2291"/>
      <c r="K48" s="2292" t="s">
        <v>1377</v>
      </c>
      <c r="L48" s="2293">
        <f ca="1">INDIRECT("'数据-取费表'!f"&amp;$G$1)</f>
        <v>0</v>
      </c>
      <c r="O48" s="2288" t="s">
        <v>1122</v>
      </c>
      <c r="P48" s="2289" t="s">
        <v>1378</v>
      </c>
      <c r="Q48" s="2330" t="e">
        <f ca="1">J60</f>
        <v>#DIV/0!</v>
      </c>
      <c r="R48" s="2330" t="s">
        <v>1379</v>
      </c>
    </row>
    <row r="49" s="811" customFormat="1" ht="13.75" spans="1:18">
      <c r="A49" s="2205" t="s">
        <v>1380</v>
      </c>
      <c r="B49" s="2206" t="s">
        <v>1381</v>
      </c>
      <c r="C49" s="2207">
        <f ca="1">ROUND(F49*F51*F50*(1-F52),0)</f>
        <v>0</v>
      </c>
      <c r="D49" s="2208" t="s">
        <v>1459</v>
      </c>
      <c r="E49" s="2209" t="s">
        <v>1382</v>
      </c>
      <c r="F49" s="2210"/>
      <c r="G49" s="2211"/>
      <c r="H49" s="2204"/>
      <c r="I49" s="2290" t="s">
        <v>1383</v>
      </c>
      <c r="J49" s="2294"/>
      <c r="K49" s="2292" t="s">
        <v>1384</v>
      </c>
      <c r="L49" s="2295"/>
      <c r="O49" s="2296" t="s">
        <v>1385</v>
      </c>
      <c r="P49" s="2289" t="s">
        <v>1386</v>
      </c>
      <c r="Q49" s="2330">
        <f ca="1">C29</f>
        <v>0</v>
      </c>
      <c r="R49" s="2330" t="s">
        <v>1373</v>
      </c>
    </row>
    <row r="50" s="811" customFormat="1" ht="13.75" spans="1:18">
      <c r="A50" s="2212"/>
      <c r="B50" s="2213"/>
      <c r="C50" s="2214"/>
      <c r="D50" s="2215"/>
      <c r="E50" s="2216" t="s">
        <v>1280</v>
      </c>
      <c r="F50" s="2217">
        <f ca="1">F7</f>
        <v>0</v>
      </c>
      <c r="H50" s="2204"/>
      <c r="I50" s="2290" t="s">
        <v>1387</v>
      </c>
      <c r="J50" s="2297">
        <f>SUMPRODUCT((I63:I65=J47)*(J62:L62=J48)*(J63:L65))</f>
        <v>0</v>
      </c>
      <c r="K50" s="2292" t="s">
        <v>1388</v>
      </c>
      <c r="L50" s="2295"/>
      <c r="M50" s="2298"/>
      <c r="O50" s="2296" t="s">
        <v>1389</v>
      </c>
      <c r="P50" s="2289" t="s">
        <v>1390</v>
      </c>
      <c r="Q50" s="2331" t="e">
        <f ca="1">J58</f>
        <v>#DIV/0!</v>
      </c>
      <c r="R50" s="2330"/>
    </row>
    <row r="51" s="811" customFormat="1" ht="13.75" spans="1:18">
      <c r="A51" s="2218"/>
      <c r="B51" s="2213"/>
      <c r="C51" s="2214"/>
      <c r="D51" s="2215"/>
      <c r="E51" s="2219" t="s">
        <v>1281</v>
      </c>
      <c r="F51" s="2103">
        <f ca="1">F8</f>
        <v>0</v>
      </c>
      <c r="I51" s="2299" t="s">
        <v>1391</v>
      </c>
      <c r="J51" s="2300">
        <f>IF(J49="",J50,J49+J50-YEAR('数据-取费表'!B2))</f>
        <v>0</v>
      </c>
      <c r="K51" s="2301" t="s">
        <v>1392</v>
      </c>
      <c r="L51" s="2302">
        <f ca="1">ROUND(-PV(INDIRECT("'数据-取费表'!h"&amp;$G$1),J51,(C39-C13*C76),0),0)</f>
        <v>0</v>
      </c>
      <c r="M51" s="2303"/>
      <c r="O51" s="2296" t="s">
        <v>1393</v>
      </c>
      <c r="P51" s="2289" t="s">
        <v>1394</v>
      </c>
      <c r="Q51" s="2331">
        <f>J52</f>
        <v>0</v>
      </c>
      <c r="R51" s="2330"/>
    </row>
    <row r="52" s="811" customFormat="1" ht="13.75" spans="1:18">
      <c r="A52" s="2218"/>
      <c r="B52" s="2213"/>
      <c r="C52" s="2214"/>
      <c r="D52" s="2215"/>
      <c r="E52" s="2219" t="s">
        <v>1282</v>
      </c>
      <c r="F52" s="2220"/>
      <c r="I52" s="2304" t="s">
        <v>1395</v>
      </c>
      <c r="J52" s="2305"/>
      <c r="K52" s="2304" t="s">
        <v>1396</v>
      </c>
      <c r="L52" s="2305"/>
      <c r="O52" s="2296" t="s">
        <v>1397</v>
      </c>
      <c r="P52" s="2289" t="s">
        <v>1398</v>
      </c>
      <c r="Q52" s="2330">
        <f ca="1">J53</f>
        <v>0</v>
      </c>
      <c r="R52" s="2330" t="s">
        <v>1399</v>
      </c>
    </row>
    <row r="53" s="811" customFormat="1" ht="30.75" customHeight="1" spans="1:18">
      <c r="A53" s="2221" t="s">
        <v>1400</v>
      </c>
      <c r="B53" s="2145" t="s">
        <v>1283</v>
      </c>
      <c r="C53" s="1059">
        <f ca="1">ROUND(IF(F53="押一",C49/12*F11,IF(F53="押二",C49/12*2*F11,IF(F53="押三",C49/12*3*F11,C54*F11))),0)</f>
        <v>0</v>
      </c>
      <c r="D53" s="2114" t="s">
        <v>1460</v>
      </c>
      <c r="E53" s="2115" t="s">
        <v>1285</v>
      </c>
      <c r="F53" s="2116"/>
      <c r="I53" s="2306" t="s">
        <v>1401</v>
      </c>
      <c r="J53" s="2307">
        <f ca="1">IF(M47="住宅",IF(D1="——",MAX(J51,L48),MAX(J51,L48-'数据-取费表'!B24)),IF(D1="——",MIN(J51,L48),MIN(J51,L48-'数据-取费表'!B24)))</f>
        <v>0</v>
      </c>
      <c r="K53" s="2308" t="s">
        <v>1402</v>
      </c>
      <c r="L53" s="2309"/>
      <c r="O53" s="2288" t="s">
        <v>1223</v>
      </c>
      <c r="P53" s="2289" t="s">
        <v>1403</v>
      </c>
      <c r="Q53" s="2330" t="e">
        <f ca="1">Q47+Q48</f>
        <v>#DIV/0!</v>
      </c>
      <c r="R53" s="2330" t="s">
        <v>1404</v>
      </c>
    </row>
    <row r="54" s="811" customFormat="1" ht="13.75" spans="1:18">
      <c r="A54" s="2205"/>
      <c r="B54" s="2222" t="s">
        <v>1456</v>
      </c>
      <c r="C54" s="2119"/>
      <c r="D54" s="2114"/>
      <c r="E54" s="2223"/>
      <c r="F54" s="2224"/>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1"/>
      <c r="K54" s="2311"/>
      <c r="L54" s="2311"/>
      <c r="M54" s="2211"/>
      <c r="O54" s="2276" t="s">
        <v>1405</v>
      </c>
      <c r="P54" s="2312"/>
      <c r="Q54" s="2312"/>
      <c r="R54" s="2312"/>
    </row>
    <row r="55" s="811" customFormat="1" ht="13.75" spans="1:18">
      <c r="A55" s="2122" t="s">
        <v>965</v>
      </c>
      <c r="B55" s="2123" t="s">
        <v>1289</v>
      </c>
      <c r="C55" s="2124"/>
      <c r="D55" s="2114"/>
      <c r="E55" s="2223"/>
      <c r="F55" s="2224"/>
      <c r="I55" s="2313" t="s">
        <v>1406</v>
      </c>
      <c r="J55" s="2314" t="e">
        <f ca="1">ROUND(IF(J47="钢混",J57/J50,1-(1-2%)*(J50-J57)/J50),3)</f>
        <v>#DIV/0!</v>
      </c>
      <c r="K55" s="2315" t="s">
        <v>1407</v>
      </c>
      <c r="L55" s="2316"/>
      <c r="O55" s="2281" t="s">
        <v>1366</v>
      </c>
      <c r="P55" s="2282" t="s">
        <v>1367</v>
      </c>
      <c r="Q55" s="2329" t="s">
        <v>1368</v>
      </c>
      <c r="R55" s="2329" t="s">
        <v>1369</v>
      </c>
    </row>
    <row r="56" s="811" customFormat="1" ht="36" customHeight="1" spans="1:18">
      <c r="A56" s="2225">
        <v>2</v>
      </c>
      <c r="B56" s="2226" t="s">
        <v>1290</v>
      </c>
      <c r="C56" s="442">
        <f ca="1">C13</f>
        <v>0</v>
      </c>
      <c r="D56" s="2227"/>
      <c r="E56" s="2228"/>
      <c r="F56" s="2224"/>
      <c r="I56" s="2317" t="s">
        <v>1408</v>
      </c>
      <c r="J56" s="2318"/>
      <c r="K56" s="2290" t="s">
        <v>1409</v>
      </c>
      <c r="L56" s="2293">
        <f ca="1">IF(L48&lt;J51,"——",L48-J51)</f>
        <v>0</v>
      </c>
      <c r="O56" s="2288" t="s">
        <v>1119</v>
      </c>
      <c r="P56" s="2289" t="s">
        <v>1372</v>
      </c>
      <c r="Q56" s="2330" t="e">
        <f ca="1">C40+J29</f>
        <v>#DIV/0!</v>
      </c>
      <c r="R56" s="2330" t="s">
        <v>1373</v>
      </c>
    </row>
    <row r="57" s="811" customFormat="1" ht="26.75" spans="1:18">
      <c r="A57" s="2229"/>
      <c r="B57" s="2230" t="s">
        <v>1353</v>
      </c>
      <c r="C57" s="452">
        <f ca="1">C29</f>
        <v>0</v>
      </c>
      <c r="D57" s="2231"/>
      <c r="E57" s="2232"/>
      <c r="F57" s="2233"/>
      <c r="I57" s="2319" t="s">
        <v>1410</v>
      </c>
      <c r="J57" s="2320">
        <f ca="1">IF(OR(M47="住宅",J51&lt;L48,J56="是"),"——",J51-L48)</f>
        <v>0</v>
      </c>
      <c r="K57" s="2290" t="s">
        <v>1461</v>
      </c>
      <c r="L57" s="2293">
        <f ca="1">IF(L48&lt;J51,"——",IF(L55="比较法",L49,IF(L55="基准地价",L50,L51)))</f>
        <v>0</v>
      </c>
      <c r="O57" s="2288" t="s">
        <v>1122</v>
      </c>
      <c r="P57" s="2289" t="s">
        <v>1412</v>
      </c>
      <c r="Q57" s="2330" t="e">
        <f ca="1">L60</f>
        <v>#DIV/0!</v>
      </c>
      <c r="R57" s="2330" t="s">
        <v>1413</v>
      </c>
    </row>
    <row r="58" s="811" customFormat="1" ht="26.75" spans="1:18">
      <c r="A58" s="2234" t="s">
        <v>1298</v>
      </c>
      <c r="B58" s="2226" t="s">
        <v>1299</v>
      </c>
      <c r="C58" s="1059">
        <f ca="1">ROUND(C59+C64+C65+C66,0)</f>
        <v>0</v>
      </c>
      <c r="D58" s="2235" t="s">
        <v>1300</v>
      </c>
      <c r="E58" s="2236"/>
      <c r="F58" s="2203"/>
      <c r="I58" s="2319" t="s">
        <v>1414</v>
      </c>
      <c r="J58" s="2321" t="e">
        <f ca="1">IF(J55&lt;0.4,0.4,J55)</f>
        <v>#DIV/0!</v>
      </c>
      <c r="K58" s="2301" t="s">
        <v>1462</v>
      </c>
      <c r="L58" s="2293" t="e">
        <f ca="1">ROUND(POWER(1+L52,L47-L48)*(POWER(1+L52,L48)-1)/(POWER(1+L52,L47)-1),4)</f>
        <v>#DIV/0!</v>
      </c>
      <c r="O58" s="2296" t="s">
        <v>1385</v>
      </c>
      <c r="P58" s="2289" t="s">
        <v>1416</v>
      </c>
      <c r="Q58" s="2330">
        <f>IF(L55="比较法",L49,IF(L55="基准地价",L50,0))</f>
        <v>0</v>
      </c>
      <c r="R58" s="2330" t="s">
        <v>1373</v>
      </c>
    </row>
    <row r="59" s="811" customFormat="1" ht="26.75" spans="1:18">
      <c r="A59" s="2133" t="s">
        <v>916</v>
      </c>
      <c r="B59" s="2230" t="s">
        <v>1305</v>
      </c>
      <c r="C59" s="2157">
        <f ca="1">ROUND(IF(AND(项目基本情况!B11="自然人",项目基本情况!B10="北京市"),C49*F59/(1+'数据-取费表'!C42),C60+C61+C62),0)</f>
        <v>0</v>
      </c>
      <c r="D59" s="2237" t="s">
        <v>1306</v>
      </c>
      <c r="E59" s="2238" t="s">
        <v>1307</v>
      </c>
      <c r="F59" s="2159" t="str">
        <f ca="1">IF(项目基本情况!B11="企业","——",IF('数据-取费表'!B10="住宅",IF(F49*F50*F51/12/(1+'数据-取费表'!F30)&gt;100000,4%,2.5%),IF(F49*F50*F51/12/(1+'数据-取费表'!F30)&gt;100000,12%,7%)))</f>
        <v>——</v>
      </c>
      <c r="I59" s="2319" t="s">
        <v>1417</v>
      </c>
      <c r="J59" s="2320" t="e">
        <f ca="1">IF(OR(M47="住宅",J51&lt;L48,J56="是"),"——",ROUND(C29*J58,0))</f>
        <v>#DIV/0!</v>
      </c>
      <c r="K59" s="2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3" t="e">
        <f ca="1">ROUND(IF(D1="在建（套用方法）",M59,IF(D1="土地（套用方法）",N59,POWER(1+L52,L47-J51)*(POWER(1+L52,J51)-1)/(POWER(1+L52,L47)-1))),4)</f>
        <v>#DIV/0!</v>
      </c>
      <c r="M59" s="2312" t="e">
        <f ca="1">ROUND(POWER(1+L52,L47-(J51+'数据-取费表'!B24))*(POWER(1+L52,(J51+'数据-取费表'!B24))-1)/(POWER(1+L52,L47)-1),4)</f>
        <v>#DIV/0!</v>
      </c>
      <c r="N59" s="2312" t="e">
        <f ca="1">ROUND(POWER(1+L52,L47-(J51+'数据-取费表'!B20))*(POWER(1+L52,(J51+'数据-取费表'!B20))-1)/(POWER(1+L52,L47)-1),4)</f>
        <v>#DIV/0!</v>
      </c>
      <c r="O59" s="2296" t="s">
        <v>1389</v>
      </c>
      <c r="P59" s="2289" t="s">
        <v>1418</v>
      </c>
      <c r="Q59" s="2331">
        <f>L52</f>
        <v>0</v>
      </c>
      <c r="R59" s="2330"/>
    </row>
    <row r="60" s="811" customFormat="1" ht="16.75" spans="1:18">
      <c r="A60" s="2133" t="s">
        <v>939</v>
      </c>
      <c r="B60" s="2230" t="s">
        <v>1309</v>
      </c>
      <c r="C60" s="1060">
        <f ca="1">IF(项目基本情况!B11="自然人","——",ROUND(C48*F60/(1+'数据-取费表'!C42),0))</f>
        <v>0</v>
      </c>
      <c r="D60" s="2238" t="s">
        <v>1310</v>
      </c>
      <c r="E60" s="2230" t="s">
        <v>1297</v>
      </c>
      <c r="F60" s="2149">
        <f t="shared" ref="F60:F66" si="0">F32</f>
        <v>0.055</v>
      </c>
      <c r="I60" s="2322" t="s">
        <v>1419</v>
      </c>
      <c r="J60" s="2323" t="e">
        <f ca="1">IF(OR(M47="住宅",J51&lt;L48,J56="是"),"0",ROUND(J59/(1+J52)^J53,0))</f>
        <v>#DIV/0!</v>
      </c>
      <c r="K60" s="2324" t="s">
        <v>1420</v>
      </c>
      <c r="L60" s="2323" t="e">
        <f ca="1">IF(OR(M47="住宅",L48&lt;J51),0,ROUND(L57*(L58/L59-1),0))</f>
        <v>#DIV/0!</v>
      </c>
      <c r="O60" s="2296" t="s">
        <v>1393</v>
      </c>
      <c r="P60" s="2289" t="s">
        <v>1421</v>
      </c>
      <c r="Q60" s="2330" t="e">
        <f ca="1">L58</f>
        <v>#DIV/0!</v>
      </c>
      <c r="R60" s="2330" t="s">
        <v>1422</v>
      </c>
    </row>
    <row r="61" s="811" customFormat="1" ht="13.75" spans="1:18">
      <c r="A61" s="2133" t="s">
        <v>943</v>
      </c>
      <c r="B61" s="2230" t="s">
        <v>1313</v>
      </c>
      <c r="C61" s="1060">
        <f ca="1">IF(项目基本情况!B11="自然人","——",IF(D61="按租金收入计税",ROUND(C49*F61/(1+'数据-取费表'!C42),0),IF(D61="按房产原值计税",ROUND(C57*F61*0.7,0),INDIRECT("'数据-取费表'!Aj"&amp;$G$1))))</f>
        <v>0</v>
      </c>
      <c r="D61" s="2161" t="s">
        <v>1314</v>
      </c>
      <c r="E61" s="2230" t="s">
        <v>1297</v>
      </c>
      <c r="F61" s="2142">
        <f t="shared" si="0"/>
        <v>0.12</v>
      </c>
      <c r="I61" s="2177"/>
      <c r="J61" s="2177"/>
      <c r="K61" s="2177"/>
      <c r="L61" s="2177"/>
      <c r="O61" s="2296" t="s">
        <v>1397</v>
      </c>
      <c r="P61" s="2289" t="str">
        <f>K59</f>
        <v>建筑物剩余耐用年限下的土地年期修正系数Kn</v>
      </c>
      <c r="Q61" s="2330" t="e">
        <f ca="1">L59</f>
        <v>#DIV/0!</v>
      </c>
      <c r="R61" s="2330" t="s">
        <v>1423</v>
      </c>
    </row>
    <row r="62" s="811" customFormat="1" ht="13.75" spans="1:18">
      <c r="A62" s="2133" t="s">
        <v>946</v>
      </c>
      <c r="B62" s="2239" t="s">
        <v>1317</v>
      </c>
      <c r="C62" s="2163">
        <f ca="1">IF(项目基本情况!B11="自然人","——",ROUND(F62*F63,0))</f>
        <v>0</v>
      </c>
      <c r="D62" s="2240" t="s">
        <v>1318</v>
      </c>
      <c r="E62" s="2230" t="s">
        <v>1319</v>
      </c>
      <c r="F62" s="2148">
        <f t="shared" si="0"/>
        <v>6</v>
      </c>
      <c r="I62" s="2325" t="s">
        <v>1424</v>
      </c>
      <c r="J62" s="2326" t="s">
        <v>1425</v>
      </c>
      <c r="K62" s="2326" t="s">
        <v>1426</v>
      </c>
      <c r="L62" s="2326" t="s">
        <v>1427</v>
      </c>
      <c r="M62" s="2327" t="s">
        <v>1428</v>
      </c>
      <c r="O62" s="2288" t="s">
        <v>1223</v>
      </c>
      <c r="P62" s="2289" t="s">
        <v>1403</v>
      </c>
      <c r="Q62" s="2330" t="e">
        <f ca="1">Q56+Q57</f>
        <v>#DIV/0!</v>
      </c>
      <c r="R62" s="2330" t="s">
        <v>1404</v>
      </c>
    </row>
    <row r="63" s="811" customFormat="1" ht="13.75" spans="1:18">
      <c r="A63" s="2146"/>
      <c r="B63" s="2241"/>
      <c r="C63" s="2167"/>
      <c r="D63" s="2242"/>
      <c r="E63" s="2230" t="s">
        <v>1323</v>
      </c>
      <c r="F63" s="2103">
        <f ca="1" t="shared" si="0"/>
        <v>0</v>
      </c>
      <c r="I63" s="2325" t="s">
        <v>1429</v>
      </c>
      <c r="J63" s="2326">
        <v>70</v>
      </c>
      <c r="K63" s="2326">
        <v>50</v>
      </c>
      <c r="L63" s="2326">
        <v>80</v>
      </c>
      <c r="M63" s="2328">
        <v>0.02</v>
      </c>
      <c r="O63" s="2276" t="s">
        <v>1430</v>
      </c>
      <c r="P63" s="2312"/>
      <c r="Q63" s="2312"/>
      <c r="R63" s="2312"/>
    </row>
    <row r="64" s="811" customFormat="1" ht="13.75" spans="1:18">
      <c r="A64" s="2133" t="s">
        <v>920</v>
      </c>
      <c r="B64" s="2230" t="s">
        <v>1325</v>
      </c>
      <c r="C64" s="1060">
        <f ca="1">ROUND(C57*F64,0)</f>
        <v>0</v>
      </c>
      <c r="D64" s="2238" t="s">
        <v>1358</v>
      </c>
      <c r="E64" s="2230" t="s">
        <v>1297</v>
      </c>
      <c r="F64" s="2170">
        <f ca="1" t="shared" si="0"/>
        <v>0</v>
      </c>
      <c r="I64" s="2325" t="s">
        <v>1431</v>
      </c>
      <c r="J64" s="2326">
        <v>50</v>
      </c>
      <c r="K64" s="2326">
        <v>35</v>
      </c>
      <c r="L64" s="2326">
        <v>60</v>
      </c>
      <c r="M64" s="2327">
        <v>0</v>
      </c>
      <c r="O64" s="2281" t="s">
        <v>1366</v>
      </c>
      <c r="P64" s="2282" t="s">
        <v>1367</v>
      </c>
      <c r="Q64" s="2329" t="s">
        <v>1368</v>
      </c>
      <c r="R64" s="2329" t="s">
        <v>1369</v>
      </c>
    </row>
    <row r="65" s="811" customFormat="1" ht="13.75" spans="1:18">
      <c r="A65" s="2133" t="s">
        <v>965</v>
      </c>
      <c r="B65" s="2230" t="s">
        <v>1329</v>
      </c>
      <c r="C65" s="1060">
        <f ca="1">ROUND(C56*F65,0)</f>
        <v>0</v>
      </c>
      <c r="D65" s="2238" t="s">
        <v>1330</v>
      </c>
      <c r="E65" s="2230" t="s">
        <v>1297</v>
      </c>
      <c r="F65" s="2171">
        <f ca="1" t="shared" si="0"/>
        <v>0</v>
      </c>
      <c r="I65" s="2325" t="s">
        <v>1432</v>
      </c>
      <c r="J65" s="2326">
        <v>40</v>
      </c>
      <c r="K65" s="2326">
        <v>30</v>
      </c>
      <c r="L65" s="2326">
        <v>50</v>
      </c>
      <c r="M65" s="2328">
        <v>0.02</v>
      </c>
      <c r="O65" s="2288" t="s">
        <v>1119</v>
      </c>
      <c r="P65" s="2289" t="s">
        <v>1372</v>
      </c>
      <c r="Q65" s="2330" t="e">
        <f ca="1">C40+J29</f>
        <v>#DIV/0!</v>
      </c>
      <c r="R65" s="2330" t="s">
        <v>1373</v>
      </c>
    </row>
    <row r="66" s="811" customFormat="1" ht="16.75" spans="1:18">
      <c r="A66" s="2133" t="s">
        <v>968</v>
      </c>
      <c r="B66" s="2230" t="s">
        <v>1315</v>
      </c>
      <c r="C66" s="1060">
        <f ca="1">ROUND(C48*F66,0)</f>
        <v>0</v>
      </c>
      <c r="D66" s="2238" t="s">
        <v>1333</v>
      </c>
      <c r="E66" s="2230" t="s">
        <v>1297</v>
      </c>
      <c r="F66" s="2112">
        <f ca="1" t="shared" si="0"/>
        <v>0</v>
      </c>
      <c r="O66" s="2288" t="s">
        <v>1122</v>
      </c>
      <c r="P66" s="2289" t="s">
        <v>1412</v>
      </c>
      <c r="Q66" s="2330" t="e">
        <f ca="1">L60</f>
        <v>#DIV/0!</v>
      </c>
      <c r="R66" s="2330" t="s">
        <v>1413</v>
      </c>
    </row>
    <row r="67" s="811" customFormat="1" ht="26.75" spans="1:18">
      <c r="A67" s="2225" t="s">
        <v>1336</v>
      </c>
      <c r="B67" s="2332" t="s">
        <v>1337</v>
      </c>
      <c r="C67" s="1059">
        <f ca="1">C48-C58</f>
        <v>0</v>
      </c>
      <c r="D67" s="2237" t="s">
        <v>1338</v>
      </c>
      <c r="E67" s="2333"/>
      <c r="F67" s="2334"/>
      <c r="O67" s="2296" t="s">
        <v>1385</v>
      </c>
      <c r="P67" s="2289" t="s">
        <v>1416</v>
      </c>
      <c r="Q67" s="2354">
        <f ca="1">L51</f>
        <v>0</v>
      </c>
      <c r="R67" s="2330" t="s">
        <v>1433</v>
      </c>
    </row>
    <row r="68" s="811" customFormat="1" ht="16.75" spans="1:18">
      <c r="A68" s="2335" t="s">
        <v>1342</v>
      </c>
      <c r="B68" s="2336" t="s">
        <v>1359</v>
      </c>
      <c r="C68" s="2176" t="e">
        <f ca="1">ROUND(C67*(1-((1+F70)/(1+F68))^F69)/(F68-F70),0)</f>
        <v>#DIV/0!</v>
      </c>
      <c r="D68" s="2240" t="s">
        <v>1344</v>
      </c>
      <c r="E68" s="2230" t="s">
        <v>1345</v>
      </c>
      <c r="F68" s="2112">
        <f ca="1">F40</f>
        <v>0</v>
      </c>
      <c r="O68" s="2296" t="s">
        <v>1389</v>
      </c>
      <c r="P68" s="2353" t="s">
        <v>1434</v>
      </c>
      <c r="Q68" s="2330">
        <f ca="1">ROUND(Q69-Q70*Q71,0)</f>
        <v>0</v>
      </c>
      <c r="R68" s="2330" t="s">
        <v>1435</v>
      </c>
    </row>
    <row r="69" s="811" customFormat="1" ht="13.75" spans="1:18">
      <c r="A69" s="2337"/>
      <c r="B69" s="2338"/>
      <c r="C69" s="2110"/>
      <c r="D69" s="2339" t="s">
        <v>1348</v>
      </c>
      <c r="E69" s="2230" t="s">
        <v>1349</v>
      </c>
      <c r="F69" s="2180">
        <f ca="1">F41</f>
        <v>0</v>
      </c>
      <c r="O69" s="2296" t="s">
        <v>1436</v>
      </c>
      <c r="P69" s="2353" t="s">
        <v>1437</v>
      </c>
      <c r="Q69" s="2330">
        <f ca="1">C39</f>
        <v>0</v>
      </c>
      <c r="R69" s="2330" t="s">
        <v>1373</v>
      </c>
    </row>
    <row r="70" s="811" customFormat="1" ht="13.75" spans="1:18">
      <c r="A70" s="2340"/>
      <c r="B70" s="2341"/>
      <c r="C70" s="2130"/>
      <c r="D70" s="2242"/>
      <c r="E70" s="2230" t="s">
        <v>1352</v>
      </c>
      <c r="F70" s="2220"/>
      <c r="O70" s="2296" t="s">
        <v>1438</v>
      </c>
      <c r="P70" s="2353" t="s">
        <v>1439</v>
      </c>
      <c r="Q70" s="2330">
        <f ca="1">C13</f>
        <v>0</v>
      </c>
      <c r="R70" s="2330" t="s">
        <v>1373</v>
      </c>
    </row>
    <row r="71" s="811" customFormat="1" ht="13.75" spans="1:18">
      <c r="A71" s="2342" t="s">
        <v>1354</v>
      </c>
      <c r="B71" s="2343" t="s">
        <v>1360</v>
      </c>
      <c r="C71" s="2184" t="e">
        <f ca="1">ROUND(C68/F71,0)</f>
        <v>#DIV/0!</v>
      </c>
      <c r="D71" s="2344" t="s">
        <v>1361</v>
      </c>
      <c r="E71" s="2345" t="s">
        <v>1362</v>
      </c>
      <c r="F71" s="2187">
        <f ca="1">F43</f>
        <v>0</v>
      </c>
      <c r="O71" s="2296" t="s">
        <v>1440</v>
      </c>
      <c r="P71" s="2353" t="s">
        <v>1441</v>
      </c>
      <c r="Q71" s="2331">
        <f ca="1">C76</f>
        <v>0</v>
      </c>
      <c r="R71" s="2330"/>
    </row>
    <row r="72" s="811" customFormat="1" ht="13.75" spans="2:18">
      <c r="B72" s="1094"/>
      <c r="C72" s="1094"/>
      <c r="O72" s="2296" t="s">
        <v>1393</v>
      </c>
      <c r="P72" s="2289" t="s">
        <v>1418</v>
      </c>
      <c r="Q72" s="2331">
        <f>L52</f>
        <v>0</v>
      </c>
      <c r="R72" s="2330"/>
    </row>
    <row r="73" ht="16.75" spans="1:18">
      <c r="A73" s="811"/>
      <c r="B73" s="1094"/>
      <c r="C73" s="1094"/>
      <c r="D73" s="811"/>
      <c r="E73" s="811"/>
      <c r="F73" s="811"/>
      <c r="O73" s="2296" t="s">
        <v>1397</v>
      </c>
      <c r="P73" s="2289" t="s">
        <v>1421</v>
      </c>
      <c r="Q73" s="2330" t="e">
        <f ca="1">L58</f>
        <v>#DIV/0!</v>
      </c>
      <c r="R73" s="2330" t="s">
        <v>1422</v>
      </c>
    </row>
    <row r="74" ht="13.75" spans="1:18">
      <c r="A74" s="811"/>
      <c r="B74" s="487" t="s">
        <v>1442</v>
      </c>
      <c r="C74" s="2346"/>
      <c r="D74" s="811"/>
      <c r="E74" s="811"/>
      <c r="F74" s="811"/>
      <c r="O74" s="2296" t="s">
        <v>1443</v>
      </c>
      <c r="P74" s="2289" t="str">
        <f>K59</f>
        <v>建筑物剩余耐用年限下的土地年期修正系数Kn</v>
      </c>
      <c r="Q74" s="2330" t="e">
        <f ca="1">L59</f>
        <v>#DIV/0!</v>
      </c>
      <c r="R74" s="2330" t="s">
        <v>1423</v>
      </c>
    </row>
    <row r="75" ht="13.75" spans="1:18">
      <c r="A75" s="811"/>
      <c r="B75" s="2347" t="s">
        <v>1444</v>
      </c>
      <c r="C75" s="2348">
        <f ca="1">ROUND(C13*C76,0)</f>
        <v>0</v>
      </c>
      <c r="D75" s="811"/>
      <c r="E75" s="811"/>
      <c r="F75" s="811"/>
      <c r="K75" s="2275"/>
      <c r="L75" s="811"/>
      <c r="O75" s="2288" t="s">
        <v>1223</v>
      </c>
      <c r="P75" s="2289" t="s">
        <v>1403</v>
      </c>
      <c r="Q75" s="2330" t="e">
        <f ca="1">Q65+Q66</f>
        <v>#DIV/0!</v>
      </c>
      <c r="R75" s="2330" t="s">
        <v>1404</v>
      </c>
    </row>
    <row r="76" ht="13" spans="2:12">
      <c r="B76" s="587" t="s">
        <v>1445</v>
      </c>
      <c r="C76" s="2349">
        <f ca="1">INDIRECT("'数据-取费表'!j"&amp;$G$1)</f>
        <v>0</v>
      </c>
      <c r="I76" s="811"/>
      <c r="J76" s="811"/>
      <c r="K76" s="2275"/>
      <c r="L76" s="811"/>
    </row>
    <row r="77" ht="13" spans="2:12">
      <c r="B77" s="2350" t="s">
        <v>1446</v>
      </c>
      <c r="C77" s="2351"/>
      <c r="I77" s="811"/>
      <c r="J77" s="811"/>
      <c r="K77" s="2275"/>
      <c r="L77" s="811"/>
    </row>
    <row r="78" ht="13" spans="2:3">
      <c r="B78" s="485" t="s">
        <v>1447</v>
      </c>
      <c r="C78" s="2352"/>
    </row>
    <row r="79" ht="13" spans="2:3">
      <c r="B79" s="2347" t="s">
        <v>1448</v>
      </c>
      <c r="C79" s="488" t="e">
        <f ca="1">1-C80</f>
        <v>#DIV/0!</v>
      </c>
    </row>
    <row r="80" ht="13" spans="2:3">
      <c r="B80" s="2347" t="s">
        <v>1449</v>
      </c>
      <c r="C80" s="488" t="e">
        <f ca="1">ROUND(C75/C39,3)</f>
        <v>#DIV/0!</v>
      </c>
    </row>
    <row r="81" ht="13" spans="2:3">
      <c r="B81" s="485" t="s">
        <v>1450</v>
      </c>
      <c r="C81" s="452"/>
    </row>
    <row r="82" ht="13" spans="2:3">
      <c r="B82" s="487" t="s">
        <v>1199</v>
      </c>
      <c r="C82" s="489" t="e">
        <f ca="1">1-C83</f>
        <v>#DIV/0!</v>
      </c>
    </row>
    <row r="83" ht="13" spans="2:3">
      <c r="B83" s="487" t="s">
        <v>1200</v>
      </c>
      <c r="C83" s="48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9" customWidth="1"/>
    <col min="2" max="2" width="8.87272727272727" style="1879"/>
    <col min="3" max="5" width="12.8727272727273" style="1879" customWidth="1"/>
    <col min="6" max="6" width="47.5" style="1879" customWidth="1"/>
    <col min="7" max="7" width="13" style="1880" customWidth="1"/>
    <col min="8" max="8" width="8.87272727272727" style="1881"/>
    <col min="9" max="9" width="8.87272727272727" style="1882"/>
    <col min="10" max="10" width="5.75454545454545" style="1883" customWidth="1"/>
    <col min="11" max="11" width="11.7545454545455" style="1883" customWidth="1"/>
    <col min="12" max="13" width="10.7545454545455" style="1883" customWidth="1"/>
    <col min="14" max="14" width="10" style="1883" customWidth="1"/>
    <col min="15" max="16" width="10.5" style="1883" customWidth="1"/>
    <col min="17" max="17" width="10" style="1883" customWidth="1"/>
    <col min="18" max="18" width="10.1272727272727" style="1883" customWidth="1"/>
    <col min="19" max="19" width="10" style="1883" customWidth="1"/>
    <col min="20" max="20" width="26.1272727272727" style="1883" customWidth="1"/>
    <col min="21" max="21" width="8.87272727272727" style="1883"/>
    <col min="22" max="22" width="8.87272727272727" style="1882"/>
    <col min="23" max="256" width="8.87272727272727" style="1879"/>
    <col min="257" max="257" width="9.5" style="1879" customWidth="1"/>
    <col min="258" max="258" width="8.87272727272727" style="1879"/>
    <col min="259" max="261" width="12.8727272727273" style="1879" customWidth="1"/>
    <col min="262" max="262" width="47.5" style="1879" customWidth="1"/>
    <col min="263" max="263" width="13" style="1879" customWidth="1"/>
    <col min="264" max="265" width="8.87272727272727" style="1879"/>
    <col min="266" max="266" width="5.75454545454545" style="1879" customWidth="1"/>
    <col min="267" max="267" width="11.7545454545455" style="1879" customWidth="1"/>
    <col min="268" max="269" width="10.7545454545455" style="1879" customWidth="1"/>
    <col min="270" max="270" width="10" style="1879" customWidth="1"/>
    <col min="271" max="272" width="10.5" style="1879" customWidth="1"/>
    <col min="273" max="273" width="10" style="1879" customWidth="1"/>
    <col min="274" max="274" width="10.1272727272727" style="1879" customWidth="1"/>
    <col min="275" max="275" width="10" style="1879" customWidth="1"/>
    <col min="276" max="276" width="26.1272727272727" style="1879" customWidth="1"/>
    <col min="277" max="512" width="8.87272727272727" style="1879"/>
    <col min="513" max="513" width="9.5" style="1879" customWidth="1"/>
    <col min="514" max="514" width="8.87272727272727" style="1879"/>
    <col min="515" max="517" width="12.8727272727273" style="1879" customWidth="1"/>
    <col min="518" max="518" width="47.5" style="1879" customWidth="1"/>
    <col min="519" max="519" width="13" style="1879" customWidth="1"/>
    <col min="520" max="521" width="8.87272727272727" style="1879"/>
    <col min="522" max="522" width="5.75454545454545" style="1879" customWidth="1"/>
    <col min="523" max="523" width="11.7545454545455" style="1879" customWidth="1"/>
    <col min="524" max="525" width="10.7545454545455" style="1879" customWidth="1"/>
    <col min="526" max="526" width="10" style="1879" customWidth="1"/>
    <col min="527" max="528" width="10.5" style="1879" customWidth="1"/>
    <col min="529" max="529" width="10" style="1879" customWidth="1"/>
    <col min="530" max="530" width="10.1272727272727" style="1879" customWidth="1"/>
    <col min="531" max="531" width="10" style="1879" customWidth="1"/>
    <col min="532" max="532" width="26.1272727272727" style="1879" customWidth="1"/>
    <col min="533" max="768" width="8.87272727272727" style="1879"/>
    <col min="769" max="769" width="9.5" style="1879" customWidth="1"/>
    <col min="770" max="770" width="8.87272727272727" style="1879"/>
    <col min="771" max="773" width="12.8727272727273" style="1879" customWidth="1"/>
    <col min="774" max="774" width="47.5" style="1879" customWidth="1"/>
    <col min="775" max="775" width="13" style="1879" customWidth="1"/>
    <col min="776" max="777" width="8.87272727272727" style="1879"/>
    <col min="778" max="778" width="5.75454545454545" style="1879" customWidth="1"/>
    <col min="779" max="779" width="11.7545454545455" style="1879" customWidth="1"/>
    <col min="780" max="781" width="10.7545454545455" style="1879" customWidth="1"/>
    <col min="782" max="782" width="10" style="1879" customWidth="1"/>
    <col min="783" max="784" width="10.5" style="1879" customWidth="1"/>
    <col min="785" max="785" width="10" style="1879" customWidth="1"/>
    <col min="786" max="786" width="10.1272727272727" style="1879" customWidth="1"/>
    <col min="787" max="787" width="10" style="1879" customWidth="1"/>
    <col min="788" max="788" width="26.1272727272727" style="1879" customWidth="1"/>
    <col min="789" max="1024" width="8.87272727272727" style="1879"/>
    <col min="1025" max="1025" width="9.5" style="1879" customWidth="1"/>
    <col min="1026" max="1026" width="8.87272727272727" style="1879"/>
    <col min="1027" max="1029" width="12.8727272727273" style="1879" customWidth="1"/>
    <col min="1030" max="1030" width="47.5" style="1879" customWidth="1"/>
    <col min="1031" max="1031" width="13" style="1879" customWidth="1"/>
    <col min="1032" max="1033" width="8.87272727272727" style="1879"/>
    <col min="1034" max="1034" width="5.75454545454545" style="1879" customWidth="1"/>
    <col min="1035" max="1035" width="11.7545454545455" style="1879" customWidth="1"/>
    <col min="1036" max="1037" width="10.7545454545455" style="1879" customWidth="1"/>
    <col min="1038" max="1038" width="10" style="1879" customWidth="1"/>
    <col min="1039" max="1040" width="10.5" style="1879" customWidth="1"/>
    <col min="1041" max="1041" width="10" style="1879" customWidth="1"/>
    <col min="1042" max="1042" width="10.1272727272727" style="1879" customWidth="1"/>
    <col min="1043" max="1043" width="10" style="1879" customWidth="1"/>
    <col min="1044" max="1044" width="26.1272727272727" style="1879" customWidth="1"/>
    <col min="1045" max="1280" width="8.87272727272727" style="1879"/>
    <col min="1281" max="1281" width="9.5" style="1879" customWidth="1"/>
    <col min="1282" max="1282" width="8.87272727272727" style="1879"/>
    <col min="1283" max="1285" width="12.8727272727273" style="1879" customWidth="1"/>
    <col min="1286" max="1286" width="47.5" style="1879" customWidth="1"/>
    <col min="1287" max="1287" width="13" style="1879" customWidth="1"/>
    <col min="1288" max="1289" width="8.87272727272727" style="1879"/>
    <col min="1290" max="1290" width="5.75454545454545" style="1879" customWidth="1"/>
    <col min="1291" max="1291" width="11.7545454545455" style="1879" customWidth="1"/>
    <col min="1292" max="1293" width="10.7545454545455" style="1879" customWidth="1"/>
    <col min="1294" max="1294" width="10" style="1879" customWidth="1"/>
    <col min="1295" max="1296" width="10.5" style="1879" customWidth="1"/>
    <col min="1297" max="1297" width="10" style="1879" customWidth="1"/>
    <col min="1298" max="1298" width="10.1272727272727" style="1879" customWidth="1"/>
    <col min="1299" max="1299" width="10" style="1879" customWidth="1"/>
    <col min="1300" max="1300" width="26.1272727272727" style="1879" customWidth="1"/>
    <col min="1301" max="1536" width="8.87272727272727" style="1879"/>
    <col min="1537" max="1537" width="9.5" style="1879" customWidth="1"/>
    <col min="1538" max="1538" width="8.87272727272727" style="1879"/>
    <col min="1539" max="1541" width="12.8727272727273" style="1879" customWidth="1"/>
    <col min="1542" max="1542" width="47.5" style="1879" customWidth="1"/>
    <col min="1543" max="1543" width="13" style="1879" customWidth="1"/>
    <col min="1544" max="1545" width="8.87272727272727" style="1879"/>
    <col min="1546" max="1546" width="5.75454545454545" style="1879" customWidth="1"/>
    <col min="1547" max="1547" width="11.7545454545455" style="1879" customWidth="1"/>
    <col min="1548" max="1549" width="10.7545454545455" style="1879" customWidth="1"/>
    <col min="1550" max="1550" width="10" style="1879" customWidth="1"/>
    <col min="1551" max="1552" width="10.5" style="1879" customWidth="1"/>
    <col min="1553" max="1553" width="10" style="1879" customWidth="1"/>
    <col min="1554" max="1554" width="10.1272727272727" style="1879" customWidth="1"/>
    <col min="1555" max="1555" width="10" style="1879" customWidth="1"/>
    <col min="1556" max="1556" width="26.1272727272727" style="1879" customWidth="1"/>
    <col min="1557" max="1792" width="8.87272727272727" style="1879"/>
    <col min="1793" max="1793" width="9.5" style="1879" customWidth="1"/>
    <col min="1794" max="1794" width="8.87272727272727" style="1879"/>
    <col min="1795" max="1797" width="12.8727272727273" style="1879" customWidth="1"/>
    <col min="1798" max="1798" width="47.5" style="1879" customWidth="1"/>
    <col min="1799" max="1799" width="13" style="1879" customWidth="1"/>
    <col min="1800" max="1801" width="8.87272727272727" style="1879"/>
    <col min="1802" max="1802" width="5.75454545454545" style="1879" customWidth="1"/>
    <col min="1803" max="1803" width="11.7545454545455" style="1879" customWidth="1"/>
    <col min="1804" max="1805" width="10.7545454545455" style="1879" customWidth="1"/>
    <col min="1806" max="1806" width="10" style="1879" customWidth="1"/>
    <col min="1807" max="1808" width="10.5" style="1879" customWidth="1"/>
    <col min="1809" max="1809" width="10" style="1879" customWidth="1"/>
    <col min="1810" max="1810" width="10.1272727272727" style="1879" customWidth="1"/>
    <col min="1811" max="1811" width="10" style="1879" customWidth="1"/>
    <col min="1812" max="1812" width="26.1272727272727" style="1879" customWidth="1"/>
    <col min="1813" max="2048" width="8.87272727272727" style="1879"/>
    <col min="2049" max="2049" width="9.5" style="1879" customWidth="1"/>
    <col min="2050" max="2050" width="8.87272727272727" style="1879"/>
    <col min="2051" max="2053" width="12.8727272727273" style="1879" customWidth="1"/>
    <col min="2054" max="2054" width="47.5" style="1879" customWidth="1"/>
    <col min="2055" max="2055" width="13" style="1879" customWidth="1"/>
    <col min="2056" max="2057" width="8.87272727272727" style="1879"/>
    <col min="2058" max="2058" width="5.75454545454545" style="1879" customWidth="1"/>
    <col min="2059" max="2059" width="11.7545454545455" style="1879" customWidth="1"/>
    <col min="2060" max="2061" width="10.7545454545455" style="1879" customWidth="1"/>
    <col min="2062" max="2062" width="10" style="1879" customWidth="1"/>
    <col min="2063" max="2064" width="10.5" style="1879" customWidth="1"/>
    <col min="2065" max="2065" width="10" style="1879" customWidth="1"/>
    <col min="2066" max="2066" width="10.1272727272727" style="1879" customWidth="1"/>
    <col min="2067" max="2067" width="10" style="1879" customWidth="1"/>
    <col min="2068" max="2068" width="26.1272727272727" style="1879" customWidth="1"/>
    <col min="2069" max="2304" width="8.87272727272727" style="1879"/>
    <col min="2305" max="2305" width="9.5" style="1879" customWidth="1"/>
    <col min="2306" max="2306" width="8.87272727272727" style="1879"/>
    <col min="2307" max="2309" width="12.8727272727273" style="1879" customWidth="1"/>
    <col min="2310" max="2310" width="47.5" style="1879" customWidth="1"/>
    <col min="2311" max="2311" width="13" style="1879" customWidth="1"/>
    <col min="2312" max="2313" width="8.87272727272727" style="1879"/>
    <col min="2314" max="2314" width="5.75454545454545" style="1879" customWidth="1"/>
    <col min="2315" max="2315" width="11.7545454545455" style="1879" customWidth="1"/>
    <col min="2316" max="2317" width="10.7545454545455" style="1879" customWidth="1"/>
    <col min="2318" max="2318" width="10" style="1879" customWidth="1"/>
    <col min="2319" max="2320" width="10.5" style="1879" customWidth="1"/>
    <col min="2321" max="2321" width="10" style="1879" customWidth="1"/>
    <col min="2322" max="2322" width="10.1272727272727" style="1879" customWidth="1"/>
    <col min="2323" max="2323" width="10" style="1879" customWidth="1"/>
    <col min="2324" max="2324" width="26.1272727272727" style="1879" customWidth="1"/>
    <col min="2325" max="2560" width="8.87272727272727" style="1879"/>
    <col min="2561" max="2561" width="9.5" style="1879" customWidth="1"/>
    <col min="2562" max="2562" width="8.87272727272727" style="1879"/>
    <col min="2563" max="2565" width="12.8727272727273" style="1879" customWidth="1"/>
    <col min="2566" max="2566" width="47.5" style="1879" customWidth="1"/>
    <col min="2567" max="2567" width="13" style="1879" customWidth="1"/>
    <col min="2568" max="2569" width="8.87272727272727" style="1879"/>
    <col min="2570" max="2570" width="5.75454545454545" style="1879" customWidth="1"/>
    <col min="2571" max="2571" width="11.7545454545455" style="1879" customWidth="1"/>
    <col min="2572" max="2573" width="10.7545454545455" style="1879" customWidth="1"/>
    <col min="2574" max="2574" width="10" style="1879" customWidth="1"/>
    <col min="2575" max="2576" width="10.5" style="1879" customWidth="1"/>
    <col min="2577" max="2577" width="10" style="1879" customWidth="1"/>
    <col min="2578" max="2578" width="10.1272727272727" style="1879" customWidth="1"/>
    <col min="2579" max="2579" width="10" style="1879" customWidth="1"/>
    <col min="2580" max="2580" width="26.1272727272727" style="1879" customWidth="1"/>
    <col min="2581" max="2816" width="8.87272727272727" style="1879"/>
    <col min="2817" max="2817" width="9.5" style="1879" customWidth="1"/>
    <col min="2818" max="2818" width="8.87272727272727" style="1879"/>
    <col min="2819" max="2821" width="12.8727272727273" style="1879" customWidth="1"/>
    <col min="2822" max="2822" width="47.5" style="1879" customWidth="1"/>
    <col min="2823" max="2823" width="13" style="1879" customWidth="1"/>
    <col min="2824" max="2825" width="8.87272727272727" style="1879"/>
    <col min="2826" max="2826" width="5.75454545454545" style="1879" customWidth="1"/>
    <col min="2827" max="2827" width="11.7545454545455" style="1879" customWidth="1"/>
    <col min="2828" max="2829" width="10.7545454545455" style="1879" customWidth="1"/>
    <col min="2830" max="2830" width="10" style="1879" customWidth="1"/>
    <col min="2831" max="2832" width="10.5" style="1879" customWidth="1"/>
    <col min="2833" max="2833" width="10" style="1879" customWidth="1"/>
    <col min="2834" max="2834" width="10.1272727272727" style="1879" customWidth="1"/>
    <col min="2835" max="2835" width="10" style="1879" customWidth="1"/>
    <col min="2836" max="2836" width="26.1272727272727" style="1879" customWidth="1"/>
    <col min="2837" max="3072" width="8.87272727272727" style="1879"/>
    <col min="3073" max="3073" width="9.5" style="1879" customWidth="1"/>
    <col min="3074" max="3074" width="8.87272727272727" style="1879"/>
    <col min="3075" max="3077" width="12.8727272727273" style="1879" customWidth="1"/>
    <col min="3078" max="3078" width="47.5" style="1879" customWidth="1"/>
    <col min="3079" max="3079" width="13" style="1879" customWidth="1"/>
    <col min="3080" max="3081" width="8.87272727272727" style="1879"/>
    <col min="3082" max="3082" width="5.75454545454545" style="1879" customWidth="1"/>
    <col min="3083" max="3083" width="11.7545454545455" style="1879" customWidth="1"/>
    <col min="3084" max="3085" width="10.7545454545455" style="1879" customWidth="1"/>
    <col min="3086" max="3086" width="10" style="1879" customWidth="1"/>
    <col min="3087" max="3088" width="10.5" style="1879" customWidth="1"/>
    <col min="3089" max="3089" width="10" style="1879" customWidth="1"/>
    <col min="3090" max="3090" width="10.1272727272727" style="1879" customWidth="1"/>
    <col min="3091" max="3091" width="10" style="1879" customWidth="1"/>
    <col min="3092" max="3092" width="26.1272727272727" style="1879" customWidth="1"/>
    <col min="3093" max="3328" width="8.87272727272727" style="1879"/>
    <col min="3329" max="3329" width="9.5" style="1879" customWidth="1"/>
    <col min="3330" max="3330" width="8.87272727272727" style="1879"/>
    <col min="3331" max="3333" width="12.8727272727273" style="1879" customWidth="1"/>
    <col min="3334" max="3334" width="47.5" style="1879" customWidth="1"/>
    <col min="3335" max="3335" width="13" style="1879" customWidth="1"/>
    <col min="3336" max="3337" width="8.87272727272727" style="1879"/>
    <col min="3338" max="3338" width="5.75454545454545" style="1879" customWidth="1"/>
    <col min="3339" max="3339" width="11.7545454545455" style="1879" customWidth="1"/>
    <col min="3340" max="3341" width="10.7545454545455" style="1879" customWidth="1"/>
    <col min="3342" max="3342" width="10" style="1879" customWidth="1"/>
    <col min="3343" max="3344" width="10.5" style="1879" customWidth="1"/>
    <col min="3345" max="3345" width="10" style="1879" customWidth="1"/>
    <col min="3346" max="3346" width="10.1272727272727" style="1879" customWidth="1"/>
    <col min="3347" max="3347" width="10" style="1879" customWidth="1"/>
    <col min="3348" max="3348" width="26.1272727272727" style="1879" customWidth="1"/>
    <col min="3349" max="3584" width="8.87272727272727" style="1879"/>
    <col min="3585" max="3585" width="9.5" style="1879" customWidth="1"/>
    <col min="3586" max="3586" width="8.87272727272727" style="1879"/>
    <col min="3587" max="3589" width="12.8727272727273" style="1879" customWidth="1"/>
    <col min="3590" max="3590" width="47.5" style="1879" customWidth="1"/>
    <col min="3591" max="3591" width="13" style="1879" customWidth="1"/>
    <col min="3592" max="3593" width="8.87272727272727" style="1879"/>
    <col min="3594" max="3594" width="5.75454545454545" style="1879" customWidth="1"/>
    <col min="3595" max="3595" width="11.7545454545455" style="1879" customWidth="1"/>
    <col min="3596" max="3597" width="10.7545454545455" style="1879" customWidth="1"/>
    <col min="3598" max="3598" width="10" style="1879" customWidth="1"/>
    <col min="3599" max="3600" width="10.5" style="1879" customWidth="1"/>
    <col min="3601" max="3601" width="10" style="1879" customWidth="1"/>
    <col min="3602" max="3602" width="10.1272727272727" style="1879" customWidth="1"/>
    <col min="3603" max="3603" width="10" style="1879" customWidth="1"/>
    <col min="3604" max="3604" width="26.1272727272727" style="1879" customWidth="1"/>
    <col min="3605" max="3840" width="8.87272727272727" style="1879"/>
    <col min="3841" max="3841" width="9.5" style="1879" customWidth="1"/>
    <col min="3842" max="3842" width="8.87272727272727" style="1879"/>
    <col min="3843" max="3845" width="12.8727272727273" style="1879" customWidth="1"/>
    <col min="3846" max="3846" width="47.5" style="1879" customWidth="1"/>
    <col min="3847" max="3847" width="13" style="1879" customWidth="1"/>
    <col min="3848" max="3849" width="8.87272727272727" style="1879"/>
    <col min="3850" max="3850" width="5.75454545454545" style="1879" customWidth="1"/>
    <col min="3851" max="3851" width="11.7545454545455" style="1879" customWidth="1"/>
    <col min="3852" max="3853" width="10.7545454545455" style="1879" customWidth="1"/>
    <col min="3854" max="3854" width="10" style="1879" customWidth="1"/>
    <col min="3855" max="3856" width="10.5" style="1879" customWidth="1"/>
    <col min="3857" max="3857" width="10" style="1879" customWidth="1"/>
    <col min="3858" max="3858" width="10.1272727272727" style="1879" customWidth="1"/>
    <col min="3859" max="3859" width="10" style="1879" customWidth="1"/>
    <col min="3860" max="3860" width="26.1272727272727" style="1879" customWidth="1"/>
    <col min="3861" max="4096" width="8.87272727272727" style="1879"/>
    <col min="4097" max="4097" width="9.5" style="1879" customWidth="1"/>
    <col min="4098" max="4098" width="8.87272727272727" style="1879"/>
    <col min="4099" max="4101" width="12.8727272727273" style="1879" customWidth="1"/>
    <col min="4102" max="4102" width="47.5" style="1879" customWidth="1"/>
    <col min="4103" max="4103" width="13" style="1879" customWidth="1"/>
    <col min="4104" max="4105" width="8.87272727272727" style="1879"/>
    <col min="4106" max="4106" width="5.75454545454545" style="1879" customWidth="1"/>
    <col min="4107" max="4107" width="11.7545454545455" style="1879" customWidth="1"/>
    <col min="4108" max="4109" width="10.7545454545455" style="1879" customWidth="1"/>
    <col min="4110" max="4110" width="10" style="1879" customWidth="1"/>
    <col min="4111" max="4112" width="10.5" style="1879" customWidth="1"/>
    <col min="4113" max="4113" width="10" style="1879" customWidth="1"/>
    <col min="4114" max="4114" width="10.1272727272727" style="1879" customWidth="1"/>
    <col min="4115" max="4115" width="10" style="1879" customWidth="1"/>
    <col min="4116" max="4116" width="26.1272727272727" style="1879" customWidth="1"/>
    <col min="4117" max="4352" width="8.87272727272727" style="1879"/>
    <col min="4353" max="4353" width="9.5" style="1879" customWidth="1"/>
    <col min="4354" max="4354" width="8.87272727272727" style="1879"/>
    <col min="4355" max="4357" width="12.8727272727273" style="1879" customWidth="1"/>
    <col min="4358" max="4358" width="47.5" style="1879" customWidth="1"/>
    <col min="4359" max="4359" width="13" style="1879" customWidth="1"/>
    <col min="4360" max="4361" width="8.87272727272727" style="1879"/>
    <col min="4362" max="4362" width="5.75454545454545" style="1879" customWidth="1"/>
    <col min="4363" max="4363" width="11.7545454545455" style="1879" customWidth="1"/>
    <col min="4364" max="4365" width="10.7545454545455" style="1879" customWidth="1"/>
    <col min="4366" max="4366" width="10" style="1879" customWidth="1"/>
    <col min="4367" max="4368" width="10.5" style="1879" customWidth="1"/>
    <col min="4369" max="4369" width="10" style="1879" customWidth="1"/>
    <col min="4370" max="4370" width="10.1272727272727" style="1879" customWidth="1"/>
    <col min="4371" max="4371" width="10" style="1879" customWidth="1"/>
    <col min="4372" max="4372" width="26.1272727272727" style="1879" customWidth="1"/>
    <col min="4373" max="4608" width="8.87272727272727" style="1879"/>
    <col min="4609" max="4609" width="9.5" style="1879" customWidth="1"/>
    <col min="4610" max="4610" width="8.87272727272727" style="1879"/>
    <col min="4611" max="4613" width="12.8727272727273" style="1879" customWidth="1"/>
    <col min="4614" max="4614" width="47.5" style="1879" customWidth="1"/>
    <col min="4615" max="4615" width="13" style="1879" customWidth="1"/>
    <col min="4616" max="4617" width="8.87272727272727" style="1879"/>
    <col min="4618" max="4618" width="5.75454545454545" style="1879" customWidth="1"/>
    <col min="4619" max="4619" width="11.7545454545455" style="1879" customWidth="1"/>
    <col min="4620" max="4621" width="10.7545454545455" style="1879" customWidth="1"/>
    <col min="4622" max="4622" width="10" style="1879" customWidth="1"/>
    <col min="4623" max="4624" width="10.5" style="1879" customWidth="1"/>
    <col min="4625" max="4625" width="10" style="1879" customWidth="1"/>
    <col min="4626" max="4626" width="10.1272727272727" style="1879" customWidth="1"/>
    <col min="4627" max="4627" width="10" style="1879" customWidth="1"/>
    <col min="4628" max="4628" width="26.1272727272727" style="1879" customWidth="1"/>
    <col min="4629" max="4864" width="8.87272727272727" style="1879"/>
    <col min="4865" max="4865" width="9.5" style="1879" customWidth="1"/>
    <col min="4866" max="4866" width="8.87272727272727" style="1879"/>
    <col min="4867" max="4869" width="12.8727272727273" style="1879" customWidth="1"/>
    <col min="4870" max="4870" width="47.5" style="1879" customWidth="1"/>
    <col min="4871" max="4871" width="13" style="1879" customWidth="1"/>
    <col min="4872" max="4873" width="8.87272727272727" style="1879"/>
    <col min="4874" max="4874" width="5.75454545454545" style="1879" customWidth="1"/>
    <col min="4875" max="4875" width="11.7545454545455" style="1879" customWidth="1"/>
    <col min="4876" max="4877" width="10.7545454545455" style="1879" customWidth="1"/>
    <col min="4878" max="4878" width="10" style="1879" customWidth="1"/>
    <col min="4879" max="4880" width="10.5" style="1879" customWidth="1"/>
    <col min="4881" max="4881" width="10" style="1879" customWidth="1"/>
    <col min="4882" max="4882" width="10.1272727272727" style="1879" customWidth="1"/>
    <col min="4883" max="4883" width="10" style="1879" customWidth="1"/>
    <col min="4884" max="4884" width="26.1272727272727" style="1879" customWidth="1"/>
    <col min="4885" max="5120" width="8.87272727272727" style="1879"/>
    <col min="5121" max="5121" width="9.5" style="1879" customWidth="1"/>
    <col min="5122" max="5122" width="8.87272727272727" style="1879"/>
    <col min="5123" max="5125" width="12.8727272727273" style="1879" customWidth="1"/>
    <col min="5126" max="5126" width="47.5" style="1879" customWidth="1"/>
    <col min="5127" max="5127" width="13" style="1879" customWidth="1"/>
    <col min="5128" max="5129" width="8.87272727272727" style="1879"/>
    <col min="5130" max="5130" width="5.75454545454545" style="1879" customWidth="1"/>
    <col min="5131" max="5131" width="11.7545454545455" style="1879" customWidth="1"/>
    <col min="5132" max="5133" width="10.7545454545455" style="1879" customWidth="1"/>
    <col min="5134" max="5134" width="10" style="1879" customWidth="1"/>
    <col min="5135" max="5136" width="10.5" style="1879" customWidth="1"/>
    <col min="5137" max="5137" width="10" style="1879" customWidth="1"/>
    <col min="5138" max="5138" width="10.1272727272727" style="1879" customWidth="1"/>
    <col min="5139" max="5139" width="10" style="1879" customWidth="1"/>
    <col min="5140" max="5140" width="26.1272727272727" style="1879" customWidth="1"/>
    <col min="5141" max="5376" width="8.87272727272727" style="1879"/>
    <col min="5377" max="5377" width="9.5" style="1879" customWidth="1"/>
    <col min="5378" max="5378" width="8.87272727272727" style="1879"/>
    <col min="5379" max="5381" width="12.8727272727273" style="1879" customWidth="1"/>
    <col min="5382" max="5382" width="47.5" style="1879" customWidth="1"/>
    <col min="5383" max="5383" width="13" style="1879" customWidth="1"/>
    <col min="5384" max="5385" width="8.87272727272727" style="1879"/>
    <col min="5386" max="5386" width="5.75454545454545" style="1879" customWidth="1"/>
    <col min="5387" max="5387" width="11.7545454545455" style="1879" customWidth="1"/>
    <col min="5388" max="5389" width="10.7545454545455" style="1879" customWidth="1"/>
    <col min="5390" max="5390" width="10" style="1879" customWidth="1"/>
    <col min="5391" max="5392" width="10.5" style="1879" customWidth="1"/>
    <col min="5393" max="5393" width="10" style="1879" customWidth="1"/>
    <col min="5394" max="5394" width="10.1272727272727" style="1879" customWidth="1"/>
    <col min="5395" max="5395" width="10" style="1879" customWidth="1"/>
    <col min="5396" max="5396" width="26.1272727272727" style="1879" customWidth="1"/>
    <col min="5397" max="5632" width="8.87272727272727" style="1879"/>
    <col min="5633" max="5633" width="9.5" style="1879" customWidth="1"/>
    <col min="5634" max="5634" width="8.87272727272727" style="1879"/>
    <col min="5635" max="5637" width="12.8727272727273" style="1879" customWidth="1"/>
    <col min="5638" max="5638" width="47.5" style="1879" customWidth="1"/>
    <col min="5639" max="5639" width="13" style="1879" customWidth="1"/>
    <col min="5640" max="5641" width="8.87272727272727" style="1879"/>
    <col min="5642" max="5642" width="5.75454545454545" style="1879" customWidth="1"/>
    <col min="5643" max="5643" width="11.7545454545455" style="1879" customWidth="1"/>
    <col min="5644" max="5645" width="10.7545454545455" style="1879" customWidth="1"/>
    <col min="5646" max="5646" width="10" style="1879" customWidth="1"/>
    <col min="5647" max="5648" width="10.5" style="1879" customWidth="1"/>
    <col min="5649" max="5649" width="10" style="1879" customWidth="1"/>
    <col min="5650" max="5650" width="10.1272727272727" style="1879" customWidth="1"/>
    <col min="5651" max="5651" width="10" style="1879" customWidth="1"/>
    <col min="5652" max="5652" width="26.1272727272727" style="1879" customWidth="1"/>
    <col min="5653" max="5888" width="8.87272727272727" style="1879"/>
    <col min="5889" max="5889" width="9.5" style="1879" customWidth="1"/>
    <col min="5890" max="5890" width="8.87272727272727" style="1879"/>
    <col min="5891" max="5893" width="12.8727272727273" style="1879" customWidth="1"/>
    <col min="5894" max="5894" width="47.5" style="1879" customWidth="1"/>
    <col min="5895" max="5895" width="13" style="1879" customWidth="1"/>
    <col min="5896" max="5897" width="8.87272727272727" style="1879"/>
    <col min="5898" max="5898" width="5.75454545454545" style="1879" customWidth="1"/>
    <col min="5899" max="5899" width="11.7545454545455" style="1879" customWidth="1"/>
    <col min="5900" max="5901" width="10.7545454545455" style="1879" customWidth="1"/>
    <col min="5902" max="5902" width="10" style="1879" customWidth="1"/>
    <col min="5903" max="5904" width="10.5" style="1879" customWidth="1"/>
    <col min="5905" max="5905" width="10" style="1879" customWidth="1"/>
    <col min="5906" max="5906" width="10.1272727272727" style="1879" customWidth="1"/>
    <col min="5907" max="5907" width="10" style="1879" customWidth="1"/>
    <col min="5908" max="5908" width="26.1272727272727" style="1879" customWidth="1"/>
    <col min="5909" max="6144" width="8.87272727272727" style="1879"/>
    <col min="6145" max="6145" width="9.5" style="1879" customWidth="1"/>
    <col min="6146" max="6146" width="8.87272727272727" style="1879"/>
    <col min="6147" max="6149" width="12.8727272727273" style="1879" customWidth="1"/>
    <col min="6150" max="6150" width="47.5" style="1879" customWidth="1"/>
    <col min="6151" max="6151" width="13" style="1879" customWidth="1"/>
    <col min="6152" max="6153" width="8.87272727272727" style="1879"/>
    <col min="6154" max="6154" width="5.75454545454545" style="1879" customWidth="1"/>
    <col min="6155" max="6155" width="11.7545454545455" style="1879" customWidth="1"/>
    <col min="6156" max="6157" width="10.7545454545455" style="1879" customWidth="1"/>
    <col min="6158" max="6158" width="10" style="1879" customWidth="1"/>
    <col min="6159" max="6160" width="10.5" style="1879" customWidth="1"/>
    <col min="6161" max="6161" width="10" style="1879" customWidth="1"/>
    <col min="6162" max="6162" width="10.1272727272727" style="1879" customWidth="1"/>
    <col min="6163" max="6163" width="10" style="1879" customWidth="1"/>
    <col min="6164" max="6164" width="26.1272727272727" style="1879" customWidth="1"/>
    <col min="6165" max="6400" width="8.87272727272727" style="1879"/>
    <col min="6401" max="6401" width="9.5" style="1879" customWidth="1"/>
    <col min="6402" max="6402" width="8.87272727272727" style="1879"/>
    <col min="6403" max="6405" width="12.8727272727273" style="1879" customWidth="1"/>
    <col min="6406" max="6406" width="47.5" style="1879" customWidth="1"/>
    <col min="6407" max="6407" width="13" style="1879" customWidth="1"/>
    <col min="6408" max="6409" width="8.87272727272727" style="1879"/>
    <col min="6410" max="6410" width="5.75454545454545" style="1879" customWidth="1"/>
    <col min="6411" max="6411" width="11.7545454545455" style="1879" customWidth="1"/>
    <col min="6412" max="6413" width="10.7545454545455" style="1879" customWidth="1"/>
    <col min="6414" max="6414" width="10" style="1879" customWidth="1"/>
    <col min="6415" max="6416" width="10.5" style="1879" customWidth="1"/>
    <col min="6417" max="6417" width="10" style="1879" customWidth="1"/>
    <col min="6418" max="6418" width="10.1272727272727" style="1879" customWidth="1"/>
    <col min="6419" max="6419" width="10" style="1879" customWidth="1"/>
    <col min="6420" max="6420" width="26.1272727272727" style="1879" customWidth="1"/>
    <col min="6421" max="6656" width="8.87272727272727" style="1879"/>
    <col min="6657" max="6657" width="9.5" style="1879" customWidth="1"/>
    <col min="6658" max="6658" width="8.87272727272727" style="1879"/>
    <col min="6659" max="6661" width="12.8727272727273" style="1879" customWidth="1"/>
    <col min="6662" max="6662" width="47.5" style="1879" customWidth="1"/>
    <col min="6663" max="6663" width="13" style="1879" customWidth="1"/>
    <col min="6664" max="6665" width="8.87272727272727" style="1879"/>
    <col min="6666" max="6666" width="5.75454545454545" style="1879" customWidth="1"/>
    <col min="6667" max="6667" width="11.7545454545455" style="1879" customWidth="1"/>
    <col min="6668" max="6669" width="10.7545454545455" style="1879" customWidth="1"/>
    <col min="6670" max="6670" width="10" style="1879" customWidth="1"/>
    <col min="6671" max="6672" width="10.5" style="1879" customWidth="1"/>
    <col min="6673" max="6673" width="10" style="1879" customWidth="1"/>
    <col min="6674" max="6674" width="10.1272727272727" style="1879" customWidth="1"/>
    <col min="6675" max="6675" width="10" style="1879" customWidth="1"/>
    <col min="6676" max="6676" width="26.1272727272727" style="1879" customWidth="1"/>
    <col min="6677" max="6912" width="8.87272727272727" style="1879"/>
    <col min="6913" max="6913" width="9.5" style="1879" customWidth="1"/>
    <col min="6914" max="6914" width="8.87272727272727" style="1879"/>
    <col min="6915" max="6917" width="12.8727272727273" style="1879" customWidth="1"/>
    <col min="6918" max="6918" width="47.5" style="1879" customWidth="1"/>
    <col min="6919" max="6919" width="13" style="1879" customWidth="1"/>
    <col min="6920" max="6921" width="8.87272727272727" style="1879"/>
    <col min="6922" max="6922" width="5.75454545454545" style="1879" customWidth="1"/>
    <col min="6923" max="6923" width="11.7545454545455" style="1879" customWidth="1"/>
    <col min="6924" max="6925" width="10.7545454545455" style="1879" customWidth="1"/>
    <col min="6926" max="6926" width="10" style="1879" customWidth="1"/>
    <col min="6927" max="6928" width="10.5" style="1879" customWidth="1"/>
    <col min="6929" max="6929" width="10" style="1879" customWidth="1"/>
    <col min="6930" max="6930" width="10.1272727272727" style="1879" customWidth="1"/>
    <col min="6931" max="6931" width="10" style="1879" customWidth="1"/>
    <col min="6932" max="6932" width="26.1272727272727" style="1879" customWidth="1"/>
    <col min="6933" max="7168" width="8.87272727272727" style="1879"/>
    <col min="7169" max="7169" width="9.5" style="1879" customWidth="1"/>
    <col min="7170" max="7170" width="8.87272727272727" style="1879"/>
    <col min="7171" max="7173" width="12.8727272727273" style="1879" customWidth="1"/>
    <col min="7174" max="7174" width="47.5" style="1879" customWidth="1"/>
    <col min="7175" max="7175" width="13" style="1879" customWidth="1"/>
    <col min="7176" max="7177" width="8.87272727272727" style="1879"/>
    <col min="7178" max="7178" width="5.75454545454545" style="1879" customWidth="1"/>
    <col min="7179" max="7179" width="11.7545454545455" style="1879" customWidth="1"/>
    <col min="7180" max="7181" width="10.7545454545455" style="1879" customWidth="1"/>
    <col min="7182" max="7182" width="10" style="1879" customWidth="1"/>
    <col min="7183" max="7184" width="10.5" style="1879" customWidth="1"/>
    <col min="7185" max="7185" width="10" style="1879" customWidth="1"/>
    <col min="7186" max="7186" width="10.1272727272727" style="1879" customWidth="1"/>
    <col min="7187" max="7187" width="10" style="1879" customWidth="1"/>
    <col min="7188" max="7188" width="26.1272727272727" style="1879" customWidth="1"/>
    <col min="7189" max="7424" width="8.87272727272727" style="1879"/>
    <col min="7425" max="7425" width="9.5" style="1879" customWidth="1"/>
    <col min="7426" max="7426" width="8.87272727272727" style="1879"/>
    <col min="7427" max="7429" width="12.8727272727273" style="1879" customWidth="1"/>
    <col min="7430" max="7430" width="47.5" style="1879" customWidth="1"/>
    <col min="7431" max="7431" width="13" style="1879" customWidth="1"/>
    <col min="7432" max="7433" width="8.87272727272727" style="1879"/>
    <col min="7434" max="7434" width="5.75454545454545" style="1879" customWidth="1"/>
    <col min="7435" max="7435" width="11.7545454545455" style="1879" customWidth="1"/>
    <col min="7436" max="7437" width="10.7545454545455" style="1879" customWidth="1"/>
    <col min="7438" max="7438" width="10" style="1879" customWidth="1"/>
    <col min="7439" max="7440" width="10.5" style="1879" customWidth="1"/>
    <col min="7441" max="7441" width="10" style="1879" customWidth="1"/>
    <col min="7442" max="7442" width="10.1272727272727" style="1879" customWidth="1"/>
    <col min="7443" max="7443" width="10" style="1879" customWidth="1"/>
    <col min="7444" max="7444" width="26.1272727272727" style="1879" customWidth="1"/>
    <col min="7445" max="7680" width="8.87272727272727" style="1879"/>
    <col min="7681" max="7681" width="9.5" style="1879" customWidth="1"/>
    <col min="7682" max="7682" width="8.87272727272727" style="1879"/>
    <col min="7683" max="7685" width="12.8727272727273" style="1879" customWidth="1"/>
    <col min="7686" max="7686" width="47.5" style="1879" customWidth="1"/>
    <col min="7687" max="7687" width="13" style="1879" customWidth="1"/>
    <col min="7688" max="7689" width="8.87272727272727" style="1879"/>
    <col min="7690" max="7690" width="5.75454545454545" style="1879" customWidth="1"/>
    <col min="7691" max="7691" width="11.7545454545455" style="1879" customWidth="1"/>
    <col min="7692" max="7693" width="10.7545454545455" style="1879" customWidth="1"/>
    <col min="7694" max="7694" width="10" style="1879" customWidth="1"/>
    <col min="7695" max="7696" width="10.5" style="1879" customWidth="1"/>
    <col min="7697" max="7697" width="10" style="1879" customWidth="1"/>
    <col min="7698" max="7698" width="10.1272727272727" style="1879" customWidth="1"/>
    <col min="7699" max="7699" width="10" style="1879" customWidth="1"/>
    <col min="7700" max="7700" width="26.1272727272727" style="1879" customWidth="1"/>
    <col min="7701" max="7936" width="8.87272727272727" style="1879"/>
    <col min="7937" max="7937" width="9.5" style="1879" customWidth="1"/>
    <col min="7938" max="7938" width="8.87272727272727" style="1879"/>
    <col min="7939" max="7941" width="12.8727272727273" style="1879" customWidth="1"/>
    <col min="7942" max="7942" width="47.5" style="1879" customWidth="1"/>
    <col min="7943" max="7943" width="13" style="1879" customWidth="1"/>
    <col min="7944" max="7945" width="8.87272727272727" style="1879"/>
    <col min="7946" max="7946" width="5.75454545454545" style="1879" customWidth="1"/>
    <col min="7947" max="7947" width="11.7545454545455" style="1879" customWidth="1"/>
    <col min="7948" max="7949" width="10.7545454545455" style="1879" customWidth="1"/>
    <col min="7950" max="7950" width="10" style="1879" customWidth="1"/>
    <col min="7951" max="7952" width="10.5" style="1879" customWidth="1"/>
    <col min="7953" max="7953" width="10" style="1879" customWidth="1"/>
    <col min="7954" max="7954" width="10.1272727272727" style="1879" customWidth="1"/>
    <col min="7955" max="7955" width="10" style="1879" customWidth="1"/>
    <col min="7956" max="7956" width="26.1272727272727" style="1879" customWidth="1"/>
    <col min="7957" max="8192" width="8.87272727272727" style="1879"/>
    <col min="8193" max="8193" width="9.5" style="1879" customWidth="1"/>
    <col min="8194" max="8194" width="8.87272727272727" style="1879"/>
    <col min="8195" max="8197" width="12.8727272727273" style="1879" customWidth="1"/>
    <col min="8198" max="8198" width="47.5" style="1879" customWidth="1"/>
    <col min="8199" max="8199" width="13" style="1879" customWidth="1"/>
    <col min="8200" max="8201" width="8.87272727272727" style="1879"/>
    <col min="8202" max="8202" width="5.75454545454545" style="1879" customWidth="1"/>
    <col min="8203" max="8203" width="11.7545454545455" style="1879" customWidth="1"/>
    <col min="8204" max="8205" width="10.7545454545455" style="1879" customWidth="1"/>
    <col min="8206" max="8206" width="10" style="1879" customWidth="1"/>
    <col min="8207" max="8208" width="10.5" style="1879" customWidth="1"/>
    <col min="8209" max="8209" width="10" style="1879" customWidth="1"/>
    <col min="8210" max="8210" width="10.1272727272727" style="1879" customWidth="1"/>
    <col min="8211" max="8211" width="10" style="1879" customWidth="1"/>
    <col min="8212" max="8212" width="26.1272727272727" style="1879" customWidth="1"/>
    <col min="8213" max="8448" width="8.87272727272727" style="1879"/>
    <col min="8449" max="8449" width="9.5" style="1879" customWidth="1"/>
    <col min="8450" max="8450" width="8.87272727272727" style="1879"/>
    <col min="8451" max="8453" width="12.8727272727273" style="1879" customWidth="1"/>
    <col min="8454" max="8454" width="47.5" style="1879" customWidth="1"/>
    <col min="8455" max="8455" width="13" style="1879" customWidth="1"/>
    <col min="8456" max="8457" width="8.87272727272727" style="1879"/>
    <col min="8458" max="8458" width="5.75454545454545" style="1879" customWidth="1"/>
    <col min="8459" max="8459" width="11.7545454545455" style="1879" customWidth="1"/>
    <col min="8460" max="8461" width="10.7545454545455" style="1879" customWidth="1"/>
    <col min="8462" max="8462" width="10" style="1879" customWidth="1"/>
    <col min="8463" max="8464" width="10.5" style="1879" customWidth="1"/>
    <col min="8465" max="8465" width="10" style="1879" customWidth="1"/>
    <col min="8466" max="8466" width="10.1272727272727" style="1879" customWidth="1"/>
    <col min="8467" max="8467" width="10" style="1879" customWidth="1"/>
    <col min="8468" max="8468" width="26.1272727272727" style="1879" customWidth="1"/>
    <col min="8469" max="8704" width="8.87272727272727" style="1879"/>
    <col min="8705" max="8705" width="9.5" style="1879" customWidth="1"/>
    <col min="8706" max="8706" width="8.87272727272727" style="1879"/>
    <col min="8707" max="8709" width="12.8727272727273" style="1879" customWidth="1"/>
    <col min="8710" max="8710" width="47.5" style="1879" customWidth="1"/>
    <col min="8711" max="8711" width="13" style="1879" customWidth="1"/>
    <col min="8712" max="8713" width="8.87272727272727" style="1879"/>
    <col min="8714" max="8714" width="5.75454545454545" style="1879" customWidth="1"/>
    <col min="8715" max="8715" width="11.7545454545455" style="1879" customWidth="1"/>
    <col min="8716" max="8717" width="10.7545454545455" style="1879" customWidth="1"/>
    <col min="8718" max="8718" width="10" style="1879" customWidth="1"/>
    <col min="8719" max="8720" width="10.5" style="1879" customWidth="1"/>
    <col min="8721" max="8721" width="10" style="1879" customWidth="1"/>
    <col min="8722" max="8722" width="10.1272727272727" style="1879" customWidth="1"/>
    <col min="8723" max="8723" width="10" style="1879" customWidth="1"/>
    <col min="8724" max="8724" width="26.1272727272727" style="1879" customWidth="1"/>
    <col min="8725" max="8960" width="8.87272727272727" style="1879"/>
    <col min="8961" max="8961" width="9.5" style="1879" customWidth="1"/>
    <col min="8962" max="8962" width="8.87272727272727" style="1879"/>
    <col min="8963" max="8965" width="12.8727272727273" style="1879" customWidth="1"/>
    <col min="8966" max="8966" width="47.5" style="1879" customWidth="1"/>
    <col min="8967" max="8967" width="13" style="1879" customWidth="1"/>
    <col min="8968" max="8969" width="8.87272727272727" style="1879"/>
    <col min="8970" max="8970" width="5.75454545454545" style="1879" customWidth="1"/>
    <col min="8971" max="8971" width="11.7545454545455" style="1879" customWidth="1"/>
    <col min="8972" max="8973" width="10.7545454545455" style="1879" customWidth="1"/>
    <col min="8974" max="8974" width="10" style="1879" customWidth="1"/>
    <col min="8975" max="8976" width="10.5" style="1879" customWidth="1"/>
    <col min="8977" max="8977" width="10" style="1879" customWidth="1"/>
    <col min="8978" max="8978" width="10.1272727272727" style="1879" customWidth="1"/>
    <col min="8979" max="8979" width="10" style="1879" customWidth="1"/>
    <col min="8980" max="8980" width="26.1272727272727" style="1879" customWidth="1"/>
    <col min="8981" max="9216" width="8.87272727272727" style="1879"/>
    <col min="9217" max="9217" width="9.5" style="1879" customWidth="1"/>
    <col min="9218" max="9218" width="8.87272727272727" style="1879"/>
    <col min="9219" max="9221" width="12.8727272727273" style="1879" customWidth="1"/>
    <col min="9222" max="9222" width="47.5" style="1879" customWidth="1"/>
    <col min="9223" max="9223" width="13" style="1879" customWidth="1"/>
    <col min="9224" max="9225" width="8.87272727272727" style="1879"/>
    <col min="9226" max="9226" width="5.75454545454545" style="1879" customWidth="1"/>
    <col min="9227" max="9227" width="11.7545454545455" style="1879" customWidth="1"/>
    <col min="9228" max="9229" width="10.7545454545455" style="1879" customWidth="1"/>
    <col min="9230" max="9230" width="10" style="1879" customWidth="1"/>
    <col min="9231" max="9232" width="10.5" style="1879" customWidth="1"/>
    <col min="9233" max="9233" width="10" style="1879" customWidth="1"/>
    <col min="9234" max="9234" width="10.1272727272727" style="1879" customWidth="1"/>
    <col min="9235" max="9235" width="10" style="1879" customWidth="1"/>
    <col min="9236" max="9236" width="26.1272727272727" style="1879" customWidth="1"/>
    <col min="9237" max="9472" width="8.87272727272727" style="1879"/>
    <col min="9473" max="9473" width="9.5" style="1879" customWidth="1"/>
    <col min="9474" max="9474" width="8.87272727272727" style="1879"/>
    <col min="9475" max="9477" width="12.8727272727273" style="1879" customWidth="1"/>
    <col min="9478" max="9478" width="47.5" style="1879" customWidth="1"/>
    <col min="9479" max="9479" width="13" style="1879" customWidth="1"/>
    <col min="9480" max="9481" width="8.87272727272727" style="1879"/>
    <col min="9482" max="9482" width="5.75454545454545" style="1879" customWidth="1"/>
    <col min="9483" max="9483" width="11.7545454545455" style="1879" customWidth="1"/>
    <col min="9484" max="9485" width="10.7545454545455" style="1879" customWidth="1"/>
    <col min="9486" max="9486" width="10" style="1879" customWidth="1"/>
    <col min="9487" max="9488" width="10.5" style="1879" customWidth="1"/>
    <col min="9489" max="9489" width="10" style="1879" customWidth="1"/>
    <col min="9490" max="9490" width="10.1272727272727" style="1879" customWidth="1"/>
    <col min="9491" max="9491" width="10" style="1879" customWidth="1"/>
    <col min="9492" max="9492" width="26.1272727272727" style="1879" customWidth="1"/>
    <col min="9493" max="9728" width="8.87272727272727" style="1879"/>
    <col min="9729" max="9729" width="9.5" style="1879" customWidth="1"/>
    <col min="9730" max="9730" width="8.87272727272727" style="1879"/>
    <col min="9731" max="9733" width="12.8727272727273" style="1879" customWidth="1"/>
    <col min="9734" max="9734" width="47.5" style="1879" customWidth="1"/>
    <col min="9735" max="9735" width="13" style="1879" customWidth="1"/>
    <col min="9736" max="9737" width="8.87272727272727" style="1879"/>
    <col min="9738" max="9738" width="5.75454545454545" style="1879" customWidth="1"/>
    <col min="9739" max="9739" width="11.7545454545455" style="1879" customWidth="1"/>
    <col min="9740" max="9741" width="10.7545454545455" style="1879" customWidth="1"/>
    <col min="9742" max="9742" width="10" style="1879" customWidth="1"/>
    <col min="9743" max="9744" width="10.5" style="1879" customWidth="1"/>
    <col min="9745" max="9745" width="10" style="1879" customWidth="1"/>
    <col min="9746" max="9746" width="10.1272727272727" style="1879" customWidth="1"/>
    <col min="9747" max="9747" width="10" style="1879" customWidth="1"/>
    <col min="9748" max="9748" width="26.1272727272727" style="1879" customWidth="1"/>
    <col min="9749" max="9984" width="8.87272727272727" style="1879"/>
    <col min="9985" max="9985" width="9.5" style="1879" customWidth="1"/>
    <col min="9986" max="9986" width="8.87272727272727" style="1879"/>
    <col min="9987" max="9989" width="12.8727272727273" style="1879" customWidth="1"/>
    <col min="9990" max="9990" width="47.5" style="1879" customWidth="1"/>
    <col min="9991" max="9991" width="13" style="1879" customWidth="1"/>
    <col min="9992" max="9993" width="8.87272727272727" style="1879"/>
    <col min="9994" max="9994" width="5.75454545454545" style="1879" customWidth="1"/>
    <col min="9995" max="9995" width="11.7545454545455" style="1879" customWidth="1"/>
    <col min="9996" max="9997" width="10.7545454545455" style="1879" customWidth="1"/>
    <col min="9998" max="9998" width="10" style="1879" customWidth="1"/>
    <col min="9999" max="10000" width="10.5" style="1879" customWidth="1"/>
    <col min="10001" max="10001" width="10" style="1879" customWidth="1"/>
    <col min="10002" max="10002" width="10.1272727272727" style="1879" customWidth="1"/>
    <col min="10003" max="10003" width="10" style="1879" customWidth="1"/>
    <col min="10004" max="10004" width="26.1272727272727" style="1879" customWidth="1"/>
    <col min="10005" max="10240" width="8.87272727272727" style="1879"/>
    <col min="10241" max="10241" width="9.5" style="1879" customWidth="1"/>
    <col min="10242" max="10242" width="8.87272727272727" style="1879"/>
    <col min="10243" max="10245" width="12.8727272727273" style="1879" customWidth="1"/>
    <col min="10246" max="10246" width="47.5" style="1879" customWidth="1"/>
    <col min="10247" max="10247" width="13" style="1879" customWidth="1"/>
    <col min="10248" max="10249" width="8.87272727272727" style="1879"/>
    <col min="10250" max="10250" width="5.75454545454545" style="1879" customWidth="1"/>
    <col min="10251" max="10251" width="11.7545454545455" style="1879" customWidth="1"/>
    <col min="10252" max="10253" width="10.7545454545455" style="1879" customWidth="1"/>
    <col min="10254" max="10254" width="10" style="1879" customWidth="1"/>
    <col min="10255" max="10256" width="10.5" style="1879" customWidth="1"/>
    <col min="10257" max="10257" width="10" style="1879" customWidth="1"/>
    <col min="10258" max="10258" width="10.1272727272727" style="1879" customWidth="1"/>
    <col min="10259" max="10259" width="10" style="1879" customWidth="1"/>
    <col min="10260" max="10260" width="26.1272727272727" style="1879" customWidth="1"/>
    <col min="10261" max="10496" width="8.87272727272727" style="1879"/>
    <col min="10497" max="10497" width="9.5" style="1879" customWidth="1"/>
    <col min="10498" max="10498" width="8.87272727272727" style="1879"/>
    <col min="10499" max="10501" width="12.8727272727273" style="1879" customWidth="1"/>
    <col min="10502" max="10502" width="47.5" style="1879" customWidth="1"/>
    <col min="10503" max="10503" width="13" style="1879" customWidth="1"/>
    <col min="10504" max="10505" width="8.87272727272727" style="1879"/>
    <col min="10506" max="10506" width="5.75454545454545" style="1879" customWidth="1"/>
    <col min="10507" max="10507" width="11.7545454545455" style="1879" customWidth="1"/>
    <col min="10508" max="10509" width="10.7545454545455" style="1879" customWidth="1"/>
    <col min="10510" max="10510" width="10" style="1879" customWidth="1"/>
    <col min="10511" max="10512" width="10.5" style="1879" customWidth="1"/>
    <col min="10513" max="10513" width="10" style="1879" customWidth="1"/>
    <col min="10514" max="10514" width="10.1272727272727" style="1879" customWidth="1"/>
    <col min="10515" max="10515" width="10" style="1879" customWidth="1"/>
    <col min="10516" max="10516" width="26.1272727272727" style="1879" customWidth="1"/>
    <col min="10517" max="10752" width="8.87272727272727" style="1879"/>
    <col min="10753" max="10753" width="9.5" style="1879" customWidth="1"/>
    <col min="10754" max="10754" width="8.87272727272727" style="1879"/>
    <col min="10755" max="10757" width="12.8727272727273" style="1879" customWidth="1"/>
    <col min="10758" max="10758" width="47.5" style="1879" customWidth="1"/>
    <col min="10759" max="10759" width="13" style="1879" customWidth="1"/>
    <col min="10760" max="10761" width="8.87272727272727" style="1879"/>
    <col min="10762" max="10762" width="5.75454545454545" style="1879" customWidth="1"/>
    <col min="10763" max="10763" width="11.7545454545455" style="1879" customWidth="1"/>
    <col min="10764" max="10765" width="10.7545454545455" style="1879" customWidth="1"/>
    <col min="10766" max="10766" width="10" style="1879" customWidth="1"/>
    <col min="10767" max="10768" width="10.5" style="1879" customWidth="1"/>
    <col min="10769" max="10769" width="10" style="1879" customWidth="1"/>
    <col min="10770" max="10770" width="10.1272727272727" style="1879" customWidth="1"/>
    <col min="10771" max="10771" width="10" style="1879" customWidth="1"/>
    <col min="10772" max="10772" width="26.1272727272727" style="1879" customWidth="1"/>
    <col min="10773" max="11008" width="8.87272727272727" style="1879"/>
    <col min="11009" max="11009" width="9.5" style="1879" customWidth="1"/>
    <col min="11010" max="11010" width="8.87272727272727" style="1879"/>
    <col min="11011" max="11013" width="12.8727272727273" style="1879" customWidth="1"/>
    <col min="11014" max="11014" width="47.5" style="1879" customWidth="1"/>
    <col min="11015" max="11015" width="13" style="1879" customWidth="1"/>
    <col min="11016" max="11017" width="8.87272727272727" style="1879"/>
    <col min="11018" max="11018" width="5.75454545454545" style="1879" customWidth="1"/>
    <col min="11019" max="11019" width="11.7545454545455" style="1879" customWidth="1"/>
    <col min="11020" max="11021" width="10.7545454545455" style="1879" customWidth="1"/>
    <col min="11022" max="11022" width="10" style="1879" customWidth="1"/>
    <col min="11023" max="11024" width="10.5" style="1879" customWidth="1"/>
    <col min="11025" max="11025" width="10" style="1879" customWidth="1"/>
    <col min="11026" max="11026" width="10.1272727272727" style="1879" customWidth="1"/>
    <col min="11027" max="11027" width="10" style="1879" customWidth="1"/>
    <col min="11028" max="11028" width="26.1272727272727" style="1879" customWidth="1"/>
    <col min="11029" max="11264" width="8.87272727272727" style="1879"/>
    <col min="11265" max="11265" width="9.5" style="1879" customWidth="1"/>
    <col min="11266" max="11266" width="8.87272727272727" style="1879"/>
    <col min="11267" max="11269" width="12.8727272727273" style="1879" customWidth="1"/>
    <col min="11270" max="11270" width="47.5" style="1879" customWidth="1"/>
    <col min="11271" max="11271" width="13" style="1879" customWidth="1"/>
    <col min="11272" max="11273" width="8.87272727272727" style="1879"/>
    <col min="11274" max="11274" width="5.75454545454545" style="1879" customWidth="1"/>
    <col min="11275" max="11275" width="11.7545454545455" style="1879" customWidth="1"/>
    <col min="11276" max="11277" width="10.7545454545455" style="1879" customWidth="1"/>
    <col min="11278" max="11278" width="10" style="1879" customWidth="1"/>
    <col min="11279" max="11280" width="10.5" style="1879" customWidth="1"/>
    <col min="11281" max="11281" width="10" style="1879" customWidth="1"/>
    <col min="11282" max="11282" width="10.1272727272727" style="1879" customWidth="1"/>
    <col min="11283" max="11283" width="10" style="1879" customWidth="1"/>
    <col min="11284" max="11284" width="26.1272727272727" style="1879" customWidth="1"/>
    <col min="11285" max="11520" width="8.87272727272727" style="1879"/>
    <col min="11521" max="11521" width="9.5" style="1879" customWidth="1"/>
    <col min="11522" max="11522" width="8.87272727272727" style="1879"/>
    <col min="11523" max="11525" width="12.8727272727273" style="1879" customWidth="1"/>
    <col min="11526" max="11526" width="47.5" style="1879" customWidth="1"/>
    <col min="11527" max="11527" width="13" style="1879" customWidth="1"/>
    <col min="11528" max="11529" width="8.87272727272727" style="1879"/>
    <col min="11530" max="11530" width="5.75454545454545" style="1879" customWidth="1"/>
    <col min="11531" max="11531" width="11.7545454545455" style="1879" customWidth="1"/>
    <col min="11532" max="11533" width="10.7545454545455" style="1879" customWidth="1"/>
    <col min="11534" max="11534" width="10" style="1879" customWidth="1"/>
    <col min="11535" max="11536" width="10.5" style="1879" customWidth="1"/>
    <col min="11537" max="11537" width="10" style="1879" customWidth="1"/>
    <col min="11538" max="11538" width="10.1272727272727" style="1879" customWidth="1"/>
    <col min="11539" max="11539" width="10" style="1879" customWidth="1"/>
    <col min="11540" max="11540" width="26.1272727272727" style="1879" customWidth="1"/>
    <col min="11541" max="11776" width="8.87272727272727" style="1879"/>
    <col min="11777" max="11777" width="9.5" style="1879" customWidth="1"/>
    <col min="11778" max="11778" width="8.87272727272727" style="1879"/>
    <col min="11779" max="11781" width="12.8727272727273" style="1879" customWidth="1"/>
    <col min="11782" max="11782" width="47.5" style="1879" customWidth="1"/>
    <col min="11783" max="11783" width="13" style="1879" customWidth="1"/>
    <col min="11784" max="11785" width="8.87272727272727" style="1879"/>
    <col min="11786" max="11786" width="5.75454545454545" style="1879" customWidth="1"/>
    <col min="11787" max="11787" width="11.7545454545455" style="1879" customWidth="1"/>
    <col min="11788" max="11789" width="10.7545454545455" style="1879" customWidth="1"/>
    <col min="11790" max="11790" width="10" style="1879" customWidth="1"/>
    <col min="11791" max="11792" width="10.5" style="1879" customWidth="1"/>
    <col min="11793" max="11793" width="10" style="1879" customWidth="1"/>
    <col min="11794" max="11794" width="10.1272727272727" style="1879" customWidth="1"/>
    <col min="11795" max="11795" width="10" style="1879" customWidth="1"/>
    <col min="11796" max="11796" width="26.1272727272727" style="1879" customWidth="1"/>
    <col min="11797" max="12032" width="8.87272727272727" style="1879"/>
    <col min="12033" max="12033" width="9.5" style="1879" customWidth="1"/>
    <col min="12034" max="12034" width="8.87272727272727" style="1879"/>
    <col min="12035" max="12037" width="12.8727272727273" style="1879" customWidth="1"/>
    <col min="12038" max="12038" width="47.5" style="1879" customWidth="1"/>
    <col min="12039" max="12039" width="13" style="1879" customWidth="1"/>
    <col min="12040" max="12041" width="8.87272727272727" style="1879"/>
    <col min="12042" max="12042" width="5.75454545454545" style="1879" customWidth="1"/>
    <col min="12043" max="12043" width="11.7545454545455" style="1879" customWidth="1"/>
    <col min="12044" max="12045" width="10.7545454545455" style="1879" customWidth="1"/>
    <col min="12046" max="12046" width="10" style="1879" customWidth="1"/>
    <col min="12047" max="12048" width="10.5" style="1879" customWidth="1"/>
    <col min="12049" max="12049" width="10" style="1879" customWidth="1"/>
    <col min="12050" max="12050" width="10.1272727272727" style="1879" customWidth="1"/>
    <col min="12051" max="12051" width="10" style="1879" customWidth="1"/>
    <col min="12052" max="12052" width="26.1272727272727" style="1879" customWidth="1"/>
    <col min="12053" max="12288" width="8.87272727272727" style="1879"/>
    <col min="12289" max="12289" width="9.5" style="1879" customWidth="1"/>
    <col min="12290" max="12290" width="8.87272727272727" style="1879"/>
    <col min="12291" max="12293" width="12.8727272727273" style="1879" customWidth="1"/>
    <col min="12294" max="12294" width="47.5" style="1879" customWidth="1"/>
    <col min="12295" max="12295" width="13" style="1879" customWidth="1"/>
    <col min="12296" max="12297" width="8.87272727272727" style="1879"/>
    <col min="12298" max="12298" width="5.75454545454545" style="1879" customWidth="1"/>
    <col min="12299" max="12299" width="11.7545454545455" style="1879" customWidth="1"/>
    <col min="12300" max="12301" width="10.7545454545455" style="1879" customWidth="1"/>
    <col min="12302" max="12302" width="10" style="1879" customWidth="1"/>
    <col min="12303" max="12304" width="10.5" style="1879" customWidth="1"/>
    <col min="12305" max="12305" width="10" style="1879" customWidth="1"/>
    <col min="12306" max="12306" width="10.1272727272727" style="1879" customWidth="1"/>
    <col min="12307" max="12307" width="10" style="1879" customWidth="1"/>
    <col min="12308" max="12308" width="26.1272727272727" style="1879" customWidth="1"/>
    <col min="12309" max="12544" width="8.87272727272727" style="1879"/>
    <col min="12545" max="12545" width="9.5" style="1879" customWidth="1"/>
    <col min="12546" max="12546" width="8.87272727272727" style="1879"/>
    <col min="12547" max="12549" width="12.8727272727273" style="1879" customWidth="1"/>
    <col min="12550" max="12550" width="47.5" style="1879" customWidth="1"/>
    <col min="12551" max="12551" width="13" style="1879" customWidth="1"/>
    <col min="12552" max="12553" width="8.87272727272727" style="1879"/>
    <col min="12554" max="12554" width="5.75454545454545" style="1879" customWidth="1"/>
    <col min="12555" max="12555" width="11.7545454545455" style="1879" customWidth="1"/>
    <col min="12556" max="12557" width="10.7545454545455" style="1879" customWidth="1"/>
    <col min="12558" max="12558" width="10" style="1879" customWidth="1"/>
    <col min="12559" max="12560" width="10.5" style="1879" customWidth="1"/>
    <col min="12561" max="12561" width="10" style="1879" customWidth="1"/>
    <col min="12562" max="12562" width="10.1272727272727" style="1879" customWidth="1"/>
    <col min="12563" max="12563" width="10" style="1879" customWidth="1"/>
    <col min="12564" max="12564" width="26.1272727272727" style="1879" customWidth="1"/>
    <col min="12565" max="12800" width="8.87272727272727" style="1879"/>
    <col min="12801" max="12801" width="9.5" style="1879" customWidth="1"/>
    <col min="12802" max="12802" width="8.87272727272727" style="1879"/>
    <col min="12803" max="12805" width="12.8727272727273" style="1879" customWidth="1"/>
    <col min="12806" max="12806" width="47.5" style="1879" customWidth="1"/>
    <col min="12807" max="12807" width="13" style="1879" customWidth="1"/>
    <col min="12808" max="12809" width="8.87272727272727" style="1879"/>
    <col min="12810" max="12810" width="5.75454545454545" style="1879" customWidth="1"/>
    <col min="12811" max="12811" width="11.7545454545455" style="1879" customWidth="1"/>
    <col min="12812" max="12813" width="10.7545454545455" style="1879" customWidth="1"/>
    <col min="12814" max="12814" width="10" style="1879" customWidth="1"/>
    <col min="12815" max="12816" width="10.5" style="1879" customWidth="1"/>
    <col min="12817" max="12817" width="10" style="1879" customWidth="1"/>
    <col min="12818" max="12818" width="10.1272727272727" style="1879" customWidth="1"/>
    <col min="12819" max="12819" width="10" style="1879" customWidth="1"/>
    <col min="12820" max="12820" width="26.1272727272727" style="1879" customWidth="1"/>
    <col min="12821" max="13056" width="8.87272727272727" style="1879"/>
    <col min="13057" max="13057" width="9.5" style="1879" customWidth="1"/>
    <col min="13058" max="13058" width="8.87272727272727" style="1879"/>
    <col min="13059" max="13061" width="12.8727272727273" style="1879" customWidth="1"/>
    <col min="13062" max="13062" width="47.5" style="1879" customWidth="1"/>
    <col min="13063" max="13063" width="13" style="1879" customWidth="1"/>
    <col min="13064" max="13065" width="8.87272727272727" style="1879"/>
    <col min="13066" max="13066" width="5.75454545454545" style="1879" customWidth="1"/>
    <col min="13067" max="13067" width="11.7545454545455" style="1879" customWidth="1"/>
    <col min="13068" max="13069" width="10.7545454545455" style="1879" customWidth="1"/>
    <col min="13070" max="13070" width="10" style="1879" customWidth="1"/>
    <col min="13071" max="13072" width="10.5" style="1879" customWidth="1"/>
    <col min="13073" max="13073" width="10" style="1879" customWidth="1"/>
    <col min="13074" max="13074" width="10.1272727272727" style="1879" customWidth="1"/>
    <col min="13075" max="13075" width="10" style="1879" customWidth="1"/>
    <col min="13076" max="13076" width="26.1272727272727" style="1879" customWidth="1"/>
    <col min="13077" max="13312" width="8.87272727272727" style="1879"/>
    <col min="13313" max="13313" width="9.5" style="1879" customWidth="1"/>
    <col min="13314" max="13314" width="8.87272727272727" style="1879"/>
    <col min="13315" max="13317" width="12.8727272727273" style="1879" customWidth="1"/>
    <col min="13318" max="13318" width="47.5" style="1879" customWidth="1"/>
    <col min="13319" max="13319" width="13" style="1879" customWidth="1"/>
    <col min="13320" max="13321" width="8.87272727272727" style="1879"/>
    <col min="13322" max="13322" width="5.75454545454545" style="1879" customWidth="1"/>
    <col min="13323" max="13323" width="11.7545454545455" style="1879" customWidth="1"/>
    <col min="13324" max="13325" width="10.7545454545455" style="1879" customWidth="1"/>
    <col min="13326" max="13326" width="10" style="1879" customWidth="1"/>
    <col min="13327" max="13328" width="10.5" style="1879" customWidth="1"/>
    <col min="13329" max="13329" width="10" style="1879" customWidth="1"/>
    <col min="13330" max="13330" width="10.1272727272727" style="1879" customWidth="1"/>
    <col min="13331" max="13331" width="10" style="1879" customWidth="1"/>
    <col min="13332" max="13332" width="26.1272727272727" style="1879" customWidth="1"/>
    <col min="13333" max="13568" width="8.87272727272727" style="1879"/>
    <col min="13569" max="13569" width="9.5" style="1879" customWidth="1"/>
    <col min="13570" max="13570" width="8.87272727272727" style="1879"/>
    <col min="13571" max="13573" width="12.8727272727273" style="1879" customWidth="1"/>
    <col min="13574" max="13574" width="47.5" style="1879" customWidth="1"/>
    <col min="13575" max="13575" width="13" style="1879" customWidth="1"/>
    <col min="13576" max="13577" width="8.87272727272727" style="1879"/>
    <col min="13578" max="13578" width="5.75454545454545" style="1879" customWidth="1"/>
    <col min="13579" max="13579" width="11.7545454545455" style="1879" customWidth="1"/>
    <col min="13580" max="13581" width="10.7545454545455" style="1879" customWidth="1"/>
    <col min="13582" max="13582" width="10" style="1879" customWidth="1"/>
    <col min="13583" max="13584" width="10.5" style="1879" customWidth="1"/>
    <col min="13585" max="13585" width="10" style="1879" customWidth="1"/>
    <col min="13586" max="13586" width="10.1272727272727" style="1879" customWidth="1"/>
    <col min="13587" max="13587" width="10" style="1879" customWidth="1"/>
    <col min="13588" max="13588" width="26.1272727272727" style="1879" customWidth="1"/>
    <col min="13589" max="13824" width="8.87272727272727" style="1879"/>
    <col min="13825" max="13825" width="9.5" style="1879" customWidth="1"/>
    <col min="13826" max="13826" width="8.87272727272727" style="1879"/>
    <col min="13827" max="13829" width="12.8727272727273" style="1879" customWidth="1"/>
    <col min="13830" max="13830" width="47.5" style="1879" customWidth="1"/>
    <col min="13831" max="13831" width="13" style="1879" customWidth="1"/>
    <col min="13832" max="13833" width="8.87272727272727" style="1879"/>
    <col min="13834" max="13834" width="5.75454545454545" style="1879" customWidth="1"/>
    <col min="13835" max="13835" width="11.7545454545455" style="1879" customWidth="1"/>
    <col min="13836" max="13837" width="10.7545454545455" style="1879" customWidth="1"/>
    <col min="13838" max="13838" width="10" style="1879" customWidth="1"/>
    <col min="13839" max="13840" width="10.5" style="1879" customWidth="1"/>
    <col min="13841" max="13841" width="10" style="1879" customWidth="1"/>
    <col min="13842" max="13842" width="10.1272727272727" style="1879" customWidth="1"/>
    <col min="13843" max="13843" width="10" style="1879" customWidth="1"/>
    <col min="13844" max="13844" width="26.1272727272727" style="1879" customWidth="1"/>
    <col min="13845" max="14080" width="8.87272727272727" style="1879"/>
    <col min="14081" max="14081" width="9.5" style="1879" customWidth="1"/>
    <col min="14082" max="14082" width="8.87272727272727" style="1879"/>
    <col min="14083" max="14085" width="12.8727272727273" style="1879" customWidth="1"/>
    <col min="14086" max="14086" width="47.5" style="1879" customWidth="1"/>
    <col min="14087" max="14087" width="13" style="1879" customWidth="1"/>
    <col min="14088" max="14089" width="8.87272727272727" style="1879"/>
    <col min="14090" max="14090" width="5.75454545454545" style="1879" customWidth="1"/>
    <col min="14091" max="14091" width="11.7545454545455" style="1879" customWidth="1"/>
    <col min="14092" max="14093" width="10.7545454545455" style="1879" customWidth="1"/>
    <col min="14094" max="14094" width="10" style="1879" customWidth="1"/>
    <col min="14095" max="14096" width="10.5" style="1879" customWidth="1"/>
    <col min="14097" max="14097" width="10" style="1879" customWidth="1"/>
    <col min="14098" max="14098" width="10.1272727272727" style="1879" customWidth="1"/>
    <col min="14099" max="14099" width="10" style="1879" customWidth="1"/>
    <col min="14100" max="14100" width="26.1272727272727" style="1879" customWidth="1"/>
    <col min="14101" max="14336" width="8.87272727272727" style="1879"/>
    <col min="14337" max="14337" width="9.5" style="1879" customWidth="1"/>
    <col min="14338" max="14338" width="8.87272727272727" style="1879"/>
    <col min="14339" max="14341" width="12.8727272727273" style="1879" customWidth="1"/>
    <col min="14342" max="14342" width="47.5" style="1879" customWidth="1"/>
    <col min="14343" max="14343" width="13" style="1879" customWidth="1"/>
    <col min="14344" max="14345" width="8.87272727272727" style="1879"/>
    <col min="14346" max="14346" width="5.75454545454545" style="1879" customWidth="1"/>
    <col min="14347" max="14347" width="11.7545454545455" style="1879" customWidth="1"/>
    <col min="14348" max="14349" width="10.7545454545455" style="1879" customWidth="1"/>
    <col min="14350" max="14350" width="10" style="1879" customWidth="1"/>
    <col min="14351" max="14352" width="10.5" style="1879" customWidth="1"/>
    <col min="14353" max="14353" width="10" style="1879" customWidth="1"/>
    <col min="14354" max="14354" width="10.1272727272727" style="1879" customWidth="1"/>
    <col min="14355" max="14355" width="10" style="1879" customWidth="1"/>
    <col min="14356" max="14356" width="26.1272727272727" style="1879" customWidth="1"/>
    <col min="14357" max="14592" width="8.87272727272727" style="1879"/>
    <col min="14593" max="14593" width="9.5" style="1879" customWidth="1"/>
    <col min="14594" max="14594" width="8.87272727272727" style="1879"/>
    <col min="14595" max="14597" width="12.8727272727273" style="1879" customWidth="1"/>
    <col min="14598" max="14598" width="47.5" style="1879" customWidth="1"/>
    <col min="14599" max="14599" width="13" style="1879" customWidth="1"/>
    <col min="14600" max="14601" width="8.87272727272727" style="1879"/>
    <col min="14602" max="14602" width="5.75454545454545" style="1879" customWidth="1"/>
    <col min="14603" max="14603" width="11.7545454545455" style="1879" customWidth="1"/>
    <col min="14604" max="14605" width="10.7545454545455" style="1879" customWidth="1"/>
    <col min="14606" max="14606" width="10" style="1879" customWidth="1"/>
    <col min="14607" max="14608" width="10.5" style="1879" customWidth="1"/>
    <col min="14609" max="14609" width="10" style="1879" customWidth="1"/>
    <col min="14610" max="14610" width="10.1272727272727" style="1879" customWidth="1"/>
    <col min="14611" max="14611" width="10" style="1879" customWidth="1"/>
    <col min="14612" max="14612" width="26.1272727272727" style="1879" customWidth="1"/>
    <col min="14613" max="14848" width="8.87272727272727" style="1879"/>
    <col min="14849" max="14849" width="9.5" style="1879" customWidth="1"/>
    <col min="14850" max="14850" width="8.87272727272727" style="1879"/>
    <col min="14851" max="14853" width="12.8727272727273" style="1879" customWidth="1"/>
    <col min="14854" max="14854" width="47.5" style="1879" customWidth="1"/>
    <col min="14855" max="14855" width="13" style="1879" customWidth="1"/>
    <col min="14856" max="14857" width="8.87272727272727" style="1879"/>
    <col min="14858" max="14858" width="5.75454545454545" style="1879" customWidth="1"/>
    <col min="14859" max="14859" width="11.7545454545455" style="1879" customWidth="1"/>
    <col min="14860" max="14861" width="10.7545454545455" style="1879" customWidth="1"/>
    <col min="14862" max="14862" width="10" style="1879" customWidth="1"/>
    <col min="14863" max="14864" width="10.5" style="1879" customWidth="1"/>
    <col min="14865" max="14865" width="10" style="1879" customWidth="1"/>
    <col min="14866" max="14866" width="10.1272727272727" style="1879" customWidth="1"/>
    <col min="14867" max="14867" width="10" style="1879" customWidth="1"/>
    <col min="14868" max="14868" width="26.1272727272727" style="1879" customWidth="1"/>
    <col min="14869" max="15104" width="8.87272727272727" style="1879"/>
    <col min="15105" max="15105" width="9.5" style="1879" customWidth="1"/>
    <col min="15106" max="15106" width="8.87272727272727" style="1879"/>
    <col min="15107" max="15109" width="12.8727272727273" style="1879" customWidth="1"/>
    <col min="15110" max="15110" width="47.5" style="1879" customWidth="1"/>
    <col min="15111" max="15111" width="13" style="1879" customWidth="1"/>
    <col min="15112" max="15113" width="8.87272727272727" style="1879"/>
    <col min="15114" max="15114" width="5.75454545454545" style="1879" customWidth="1"/>
    <col min="15115" max="15115" width="11.7545454545455" style="1879" customWidth="1"/>
    <col min="15116" max="15117" width="10.7545454545455" style="1879" customWidth="1"/>
    <col min="15118" max="15118" width="10" style="1879" customWidth="1"/>
    <col min="15119" max="15120" width="10.5" style="1879" customWidth="1"/>
    <col min="15121" max="15121" width="10" style="1879" customWidth="1"/>
    <col min="15122" max="15122" width="10.1272727272727" style="1879" customWidth="1"/>
    <col min="15123" max="15123" width="10" style="1879" customWidth="1"/>
    <col min="15124" max="15124" width="26.1272727272727" style="1879" customWidth="1"/>
    <col min="15125" max="15360" width="8.87272727272727" style="1879"/>
    <col min="15361" max="15361" width="9.5" style="1879" customWidth="1"/>
    <col min="15362" max="15362" width="8.87272727272727" style="1879"/>
    <col min="15363" max="15365" width="12.8727272727273" style="1879" customWidth="1"/>
    <col min="15366" max="15366" width="47.5" style="1879" customWidth="1"/>
    <col min="15367" max="15367" width="13" style="1879" customWidth="1"/>
    <col min="15368" max="15369" width="8.87272727272727" style="1879"/>
    <col min="15370" max="15370" width="5.75454545454545" style="1879" customWidth="1"/>
    <col min="15371" max="15371" width="11.7545454545455" style="1879" customWidth="1"/>
    <col min="15372" max="15373" width="10.7545454545455" style="1879" customWidth="1"/>
    <col min="15374" max="15374" width="10" style="1879" customWidth="1"/>
    <col min="15375" max="15376" width="10.5" style="1879" customWidth="1"/>
    <col min="15377" max="15377" width="10" style="1879" customWidth="1"/>
    <col min="15378" max="15378" width="10.1272727272727" style="1879" customWidth="1"/>
    <col min="15379" max="15379" width="10" style="1879" customWidth="1"/>
    <col min="15380" max="15380" width="26.1272727272727" style="1879" customWidth="1"/>
    <col min="15381" max="15616" width="8.87272727272727" style="1879"/>
    <col min="15617" max="15617" width="9.5" style="1879" customWidth="1"/>
    <col min="15618" max="15618" width="8.87272727272727" style="1879"/>
    <col min="15619" max="15621" width="12.8727272727273" style="1879" customWidth="1"/>
    <col min="15622" max="15622" width="47.5" style="1879" customWidth="1"/>
    <col min="15623" max="15623" width="13" style="1879" customWidth="1"/>
    <col min="15624" max="15625" width="8.87272727272727" style="1879"/>
    <col min="15626" max="15626" width="5.75454545454545" style="1879" customWidth="1"/>
    <col min="15627" max="15627" width="11.7545454545455" style="1879" customWidth="1"/>
    <col min="15628" max="15629" width="10.7545454545455" style="1879" customWidth="1"/>
    <col min="15630" max="15630" width="10" style="1879" customWidth="1"/>
    <col min="15631" max="15632" width="10.5" style="1879" customWidth="1"/>
    <col min="15633" max="15633" width="10" style="1879" customWidth="1"/>
    <col min="15634" max="15634" width="10.1272727272727" style="1879" customWidth="1"/>
    <col min="15635" max="15635" width="10" style="1879" customWidth="1"/>
    <col min="15636" max="15636" width="26.1272727272727" style="1879" customWidth="1"/>
    <col min="15637" max="15872" width="8.87272727272727" style="1879"/>
    <col min="15873" max="15873" width="9.5" style="1879" customWidth="1"/>
    <col min="15874" max="15874" width="8.87272727272727" style="1879"/>
    <col min="15875" max="15877" width="12.8727272727273" style="1879" customWidth="1"/>
    <col min="15878" max="15878" width="47.5" style="1879" customWidth="1"/>
    <col min="15879" max="15879" width="13" style="1879" customWidth="1"/>
    <col min="15880" max="15881" width="8.87272727272727" style="1879"/>
    <col min="15882" max="15882" width="5.75454545454545" style="1879" customWidth="1"/>
    <col min="15883" max="15883" width="11.7545454545455" style="1879" customWidth="1"/>
    <col min="15884" max="15885" width="10.7545454545455" style="1879" customWidth="1"/>
    <col min="15886" max="15886" width="10" style="1879" customWidth="1"/>
    <col min="15887" max="15888" width="10.5" style="1879" customWidth="1"/>
    <col min="15889" max="15889" width="10" style="1879" customWidth="1"/>
    <col min="15890" max="15890" width="10.1272727272727" style="1879" customWidth="1"/>
    <col min="15891" max="15891" width="10" style="1879" customWidth="1"/>
    <col min="15892" max="15892" width="26.1272727272727" style="1879" customWidth="1"/>
    <col min="15893" max="16128" width="8.87272727272727" style="1879"/>
    <col min="16129" max="16129" width="9.5" style="1879" customWidth="1"/>
    <col min="16130" max="16130" width="8.87272727272727" style="1879"/>
    <col min="16131" max="16133" width="12.8727272727273" style="1879" customWidth="1"/>
    <col min="16134" max="16134" width="47.5" style="1879" customWidth="1"/>
    <col min="16135" max="16135" width="13" style="1879" customWidth="1"/>
    <col min="16136" max="16137" width="8.87272727272727" style="1879"/>
    <col min="16138" max="16138" width="5.75454545454545" style="1879" customWidth="1"/>
    <col min="16139" max="16139" width="11.7545454545455" style="1879" customWidth="1"/>
    <col min="16140" max="16141" width="10.7545454545455" style="1879" customWidth="1"/>
    <col min="16142" max="16142" width="10" style="1879" customWidth="1"/>
    <col min="16143" max="16144" width="10.5" style="1879" customWidth="1"/>
    <col min="16145" max="16145" width="10" style="1879" customWidth="1"/>
    <col min="16146" max="16146" width="10.1272727272727" style="1879" customWidth="1"/>
    <col min="16147" max="16147" width="10" style="1879" customWidth="1"/>
    <col min="16148" max="16148" width="26.1272727272727" style="1879" customWidth="1"/>
    <col min="16149" max="16384" width="8.87272727272727" style="1879"/>
  </cols>
  <sheetData>
    <row r="1" ht="21" customHeight="1" spans="1:21">
      <c r="A1" s="1884" t="s">
        <v>1463</v>
      </c>
      <c r="B1" s="1885"/>
      <c r="C1" s="1886"/>
      <c r="D1" s="1886"/>
      <c r="E1" s="1887"/>
      <c r="F1" s="1888"/>
      <c r="G1" s="1889"/>
      <c r="J1" s="1996" t="s">
        <v>1464</v>
      </c>
      <c r="K1" s="1997"/>
      <c r="L1" s="1997"/>
      <c r="M1" s="1997"/>
      <c r="N1" s="1997"/>
      <c r="O1" s="1997"/>
      <c r="P1" s="1997"/>
      <c r="Q1" s="1997"/>
      <c r="R1" s="2045"/>
      <c r="S1" s="2046"/>
      <c r="T1" s="2046"/>
      <c r="U1" s="2046"/>
    </row>
    <row r="2" s="1877" customFormat="1" customHeight="1" spans="1:22">
      <c r="A2" s="1890" t="s">
        <v>1264</v>
      </c>
      <c r="B2" s="1891" t="e">
        <f>IF(D2="——",C40,C40+E2)</f>
        <v>#DIV/0!</v>
      </c>
      <c r="C2" s="1886" t="s">
        <v>1265</v>
      </c>
      <c r="D2" s="1892" t="s">
        <v>1465</v>
      </c>
      <c r="E2" s="1893"/>
      <c r="F2" s="1894"/>
      <c r="G2" s="1895"/>
      <c r="H2" s="1896"/>
      <c r="I2" s="1998"/>
      <c r="J2" s="1999" t="s">
        <v>1466</v>
      </c>
      <c r="K2" s="2000"/>
      <c r="L2" s="2001" t="s">
        <v>1467</v>
      </c>
      <c r="M2" s="2001" t="s">
        <v>1468</v>
      </c>
      <c r="N2" s="2001" t="s">
        <v>1469</v>
      </c>
      <c r="O2" s="2001" t="s">
        <v>1470</v>
      </c>
      <c r="P2" s="2001" t="s">
        <v>1471</v>
      </c>
      <c r="Q2" s="2047" t="s">
        <v>1472</v>
      </c>
      <c r="R2" s="2048" t="s">
        <v>1473</v>
      </c>
      <c r="S2" s="2046"/>
      <c r="T2" s="2046"/>
      <c r="U2" s="2046"/>
      <c r="V2" s="1998"/>
    </row>
    <row r="3" s="1877" customFormat="1" customHeight="1" spans="1:22">
      <c r="A3" s="1897" t="s">
        <v>1266</v>
      </c>
      <c r="B3" s="1898" t="e">
        <f>ROUND(B2*10000/B4,0)</f>
        <v>#DIV/0!</v>
      </c>
      <c r="C3" s="1886" t="s">
        <v>1267</v>
      </c>
      <c r="D3" s="1886"/>
      <c r="E3" s="1899"/>
      <c r="F3" s="1894"/>
      <c r="G3" s="1895"/>
      <c r="H3" s="1896"/>
      <c r="I3" s="1998"/>
      <c r="J3" s="2002" t="s">
        <v>1474</v>
      </c>
      <c r="K3" s="2003"/>
      <c r="L3" s="2004"/>
      <c r="M3" s="2004"/>
      <c r="N3" s="2004"/>
      <c r="O3" s="2004"/>
      <c r="P3" s="2004"/>
      <c r="Q3" s="2049"/>
      <c r="R3" s="2050">
        <f>SUM(L3:Q3)</f>
        <v>0</v>
      </c>
      <c r="S3" s="2046"/>
      <c r="T3" s="2046"/>
      <c r="U3" s="2046"/>
      <c r="V3" s="1998"/>
    </row>
    <row r="4" s="1877" customFormat="1" customHeight="1" spans="1:22">
      <c r="A4" s="1900" t="s">
        <v>1475</v>
      </c>
      <c r="B4" s="1901"/>
      <c r="C4" s="1886"/>
      <c r="D4" s="1886"/>
      <c r="E4" s="1899"/>
      <c r="F4" s="1894"/>
      <c r="G4" s="1895"/>
      <c r="H4" s="1896"/>
      <c r="I4" s="1998"/>
      <c r="J4" s="2002" t="s">
        <v>1476</v>
      </c>
      <c r="K4" s="2003"/>
      <c r="L4" s="2005"/>
      <c r="M4" s="2005"/>
      <c r="N4" s="2005"/>
      <c r="O4" s="2005"/>
      <c r="P4" s="2005"/>
      <c r="Q4" s="2051"/>
      <c r="R4" s="2052">
        <f>SUM(L4:Q4)</f>
        <v>0</v>
      </c>
      <c r="S4" s="2046"/>
      <c r="T4" s="2046"/>
      <c r="U4" s="2046"/>
      <c r="V4" s="1998"/>
    </row>
    <row r="5" s="1877" customFormat="1" customHeight="1" spans="1:22">
      <c r="A5" s="1902" t="s">
        <v>1477</v>
      </c>
      <c r="B5" s="1903"/>
      <c r="C5" s="1886"/>
      <c r="D5" s="1904"/>
      <c r="E5" s="1894"/>
      <c r="F5" s="1894"/>
      <c r="G5" s="1895"/>
      <c r="H5" s="1896"/>
      <c r="I5" s="1998"/>
      <c r="J5" s="2006" t="s">
        <v>1478</v>
      </c>
      <c r="K5" s="2007"/>
      <c r="L5" s="2007"/>
      <c r="M5" s="2008"/>
      <c r="N5" s="2008"/>
      <c r="O5" s="2008"/>
      <c r="P5" s="2008"/>
      <c r="Q5" s="2008"/>
      <c r="R5" s="2048">
        <f>SUM(R14,R19,R24,R25,R27,R28)</f>
        <v>0</v>
      </c>
      <c r="S5" s="2046"/>
      <c r="T5" s="2046" t="s">
        <v>1479</v>
      </c>
      <c r="U5" s="2046" t="e">
        <f>ROUND(R5*10000/365/R3,1)</f>
        <v>#DIV/0!</v>
      </c>
      <c r="V5" s="1998"/>
    </row>
    <row r="6" s="1877" customFormat="1" customHeight="1" spans="1:22">
      <c r="A6" s="1905" t="s">
        <v>1480</v>
      </c>
      <c r="B6" s="1906"/>
      <c r="C6" s="1907"/>
      <c r="D6" s="1908"/>
      <c r="E6" s="1909"/>
      <c r="F6" s="1910"/>
      <c r="G6" s="1911"/>
      <c r="H6" s="1896"/>
      <c r="I6" s="1998"/>
      <c r="J6" s="2009">
        <v>1</v>
      </c>
      <c r="K6" s="2010" t="s">
        <v>1481</v>
      </c>
      <c r="L6" s="2011" t="s">
        <v>1482</v>
      </c>
      <c r="M6" s="2012" t="s">
        <v>1483</v>
      </c>
      <c r="N6" s="2012" t="s">
        <v>1484</v>
      </c>
      <c r="O6" s="2012" t="s">
        <v>1485</v>
      </c>
      <c r="P6" s="2012" t="s">
        <v>1486</v>
      </c>
      <c r="Q6" s="2012" t="s">
        <v>1487</v>
      </c>
      <c r="R6" s="2050" t="s">
        <v>1488</v>
      </c>
      <c r="S6" s="2046"/>
      <c r="T6" s="2046" t="s">
        <v>1489</v>
      </c>
      <c r="U6" s="2046"/>
      <c r="V6" s="1998"/>
    </row>
    <row r="7" s="1877" customFormat="1" customHeight="1" spans="1:22">
      <c r="A7" s="1912" t="s">
        <v>1490</v>
      </c>
      <c r="B7" s="1913"/>
      <c r="C7" s="1914"/>
      <c r="D7" s="1915">
        <f>SUM(D9,D10,D11,D17,0)</f>
        <v>0</v>
      </c>
      <c r="E7" s="1916" t="e">
        <f>E9+E10+E11+E17</f>
        <v>#DIV/0!</v>
      </c>
      <c r="F7" s="1917"/>
      <c r="G7" s="1918"/>
      <c r="H7" s="1896"/>
      <c r="I7" s="1998"/>
      <c r="J7" s="2009"/>
      <c r="K7" s="2013"/>
      <c r="L7" s="2014" t="s">
        <v>1491</v>
      </c>
      <c r="M7" s="2015"/>
      <c r="N7" s="1901"/>
      <c r="O7" s="2016"/>
      <c r="P7" s="2016"/>
      <c r="Q7" s="1937">
        <v>365</v>
      </c>
      <c r="R7" s="2053">
        <f>ROUND(M7*N7*O7*P7*Q7/10000,0)</f>
        <v>0</v>
      </c>
      <c r="S7" s="2046"/>
      <c r="T7" s="2046" t="s">
        <v>1492</v>
      </c>
      <c r="U7" s="2046"/>
      <c r="V7" s="1998"/>
    </row>
    <row r="8" s="1877" customFormat="1" customHeight="1" spans="1:22">
      <c r="A8" s="1919" t="s">
        <v>1493</v>
      </c>
      <c r="B8" s="1920" t="s">
        <v>1494</v>
      </c>
      <c r="C8" s="1921"/>
      <c r="D8" s="1922" t="s">
        <v>1495</v>
      </c>
      <c r="E8" s="1923" t="s">
        <v>1496</v>
      </c>
      <c r="F8" s="1924" t="s">
        <v>1497</v>
      </c>
      <c r="G8" s="1925"/>
      <c r="H8" s="1896"/>
      <c r="I8" s="1998"/>
      <c r="J8" s="2009"/>
      <c r="K8" s="2013"/>
      <c r="L8" s="2014" t="s">
        <v>1498</v>
      </c>
      <c r="M8" s="2015"/>
      <c r="N8" s="1901"/>
      <c r="O8" s="2016"/>
      <c r="P8" s="2016"/>
      <c r="Q8" s="1937">
        <v>365</v>
      </c>
      <c r="R8" s="2053">
        <f t="shared" ref="R8:R13" si="0">ROUND(M8*N8*O8*P8*Q8/10000,0)</f>
        <v>0</v>
      </c>
      <c r="S8" s="2046"/>
      <c r="T8" s="2046" t="s">
        <v>1499</v>
      </c>
      <c r="U8" s="2046"/>
      <c r="V8" s="1998"/>
    </row>
    <row r="9" s="1877" customFormat="1" customHeight="1" spans="1:22">
      <c r="A9" s="1919">
        <v>1</v>
      </c>
      <c r="B9" s="1920" t="s">
        <v>1500</v>
      </c>
      <c r="C9" s="1921"/>
      <c r="D9" s="1922">
        <f>ROUND(D6*E9,0)</f>
        <v>0</v>
      </c>
      <c r="E9" s="1926"/>
      <c r="F9" s="1927" t="s">
        <v>1501</v>
      </c>
      <c r="G9" s="1911"/>
      <c r="H9" s="1896"/>
      <c r="I9" s="1998"/>
      <c r="J9" s="2009"/>
      <c r="K9" s="2013"/>
      <c r="L9" s="2014" t="s">
        <v>1502</v>
      </c>
      <c r="M9" s="2015"/>
      <c r="N9" s="1901"/>
      <c r="O9" s="2016"/>
      <c r="P9" s="2016"/>
      <c r="Q9" s="1937">
        <v>365</v>
      </c>
      <c r="R9" s="2053">
        <f t="shared" si="0"/>
        <v>0</v>
      </c>
      <c r="S9" s="2046"/>
      <c r="T9" s="2046"/>
      <c r="U9" s="2046"/>
      <c r="V9" s="1998"/>
    </row>
    <row r="10" s="1877" customFormat="1" customHeight="1" spans="1:22">
      <c r="A10" s="1919">
        <v>2</v>
      </c>
      <c r="B10" s="1920" t="s">
        <v>1503</v>
      </c>
      <c r="C10" s="1921"/>
      <c r="D10" s="1922">
        <f>ROUND(D6*E10,0)</f>
        <v>0</v>
      </c>
      <c r="E10" s="1926"/>
      <c r="F10" s="1927" t="s">
        <v>1504</v>
      </c>
      <c r="G10" s="1911"/>
      <c r="H10" s="1896"/>
      <c r="I10" s="1998"/>
      <c r="J10" s="2009"/>
      <c r="K10" s="2013"/>
      <c r="L10" s="2014" t="s">
        <v>1505</v>
      </c>
      <c r="M10" s="2015"/>
      <c r="N10" s="1901"/>
      <c r="O10" s="2016"/>
      <c r="P10" s="2016"/>
      <c r="Q10" s="1937">
        <v>365</v>
      </c>
      <c r="R10" s="2053">
        <f t="shared" si="0"/>
        <v>0</v>
      </c>
      <c r="S10" s="2046"/>
      <c r="T10" s="2046"/>
      <c r="U10" s="2046"/>
      <c r="V10" s="1998"/>
    </row>
    <row r="11" s="1877" customFormat="1" customHeight="1" spans="1:22">
      <c r="A11" s="1919">
        <v>3</v>
      </c>
      <c r="B11" s="1920" t="s">
        <v>1506</v>
      </c>
      <c r="C11" s="1921"/>
      <c r="D11" s="1922">
        <f>D12+D14+D15+D16</f>
        <v>0</v>
      </c>
      <c r="E11" s="1928" t="e">
        <f>D11/D6</f>
        <v>#DIV/0!</v>
      </c>
      <c r="F11" s="1924"/>
      <c r="G11" s="1925"/>
      <c r="H11" s="1896"/>
      <c r="I11" s="1998"/>
      <c r="J11" s="2009"/>
      <c r="K11" s="2013"/>
      <c r="L11" s="2014" t="s">
        <v>1507</v>
      </c>
      <c r="M11" s="2015"/>
      <c r="N11" s="1901"/>
      <c r="O11" s="2016"/>
      <c r="P11" s="2016"/>
      <c r="Q11" s="1937">
        <v>365</v>
      </c>
      <c r="R11" s="2053">
        <f t="shared" si="0"/>
        <v>0</v>
      </c>
      <c r="S11" s="2046"/>
      <c r="T11" s="2046"/>
      <c r="U11" s="2046"/>
      <c r="V11" s="1998"/>
    </row>
    <row r="12" s="1877" customFormat="1" customHeight="1" spans="1:22">
      <c r="A12" s="1929" t="s">
        <v>1508</v>
      </c>
      <c r="B12" s="1930" t="s">
        <v>1509</v>
      </c>
      <c r="C12" s="1931"/>
      <c r="D12" s="1932">
        <f>ROUND(D13*1.2%*(1-30%),0)</f>
        <v>0</v>
      </c>
      <c r="E12" s="1933">
        <v>0.012</v>
      </c>
      <c r="F12" s="1924" t="s">
        <v>1510</v>
      </c>
      <c r="G12" s="1925"/>
      <c r="H12" s="1896"/>
      <c r="I12" s="1998"/>
      <c r="J12" s="2009"/>
      <c r="K12" s="2013"/>
      <c r="L12" s="2014" t="s">
        <v>1511</v>
      </c>
      <c r="M12" s="2015"/>
      <c r="N12" s="1901"/>
      <c r="O12" s="2016"/>
      <c r="P12" s="2016"/>
      <c r="Q12" s="1937">
        <v>365</v>
      </c>
      <c r="R12" s="2053">
        <f t="shared" si="0"/>
        <v>0</v>
      </c>
      <c r="S12" s="2046"/>
      <c r="T12" s="2046"/>
      <c r="U12" s="2046"/>
      <c r="V12" s="1998"/>
    </row>
    <row r="13" s="1877" customFormat="1" customHeight="1" spans="1:22">
      <c r="A13" s="1929"/>
      <c r="B13" s="1930"/>
      <c r="C13" s="1934" t="s">
        <v>1512</v>
      </c>
      <c r="D13" s="1935"/>
      <c r="E13" s="1936"/>
      <c r="F13" s="1924"/>
      <c r="G13" s="1925"/>
      <c r="H13" s="1896"/>
      <c r="I13" s="1998"/>
      <c r="J13" s="2009"/>
      <c r="K13" s="2013"/>
      <c r="L13" s="2014" t="s">
        <v>1513</v>
      </c>
      <c r="M13" s="2015"/>
      <c r="N13" s="1901"/>
      <c r="O13" s="2016"/>
      <c r="P13" s="2016"/>
      <c r="Q13" s="1937">
        <v>365</v>
      </c>
      <c r="R13" s="2053">
        <f t="shared" si="0"/>
        <v>0</v>
      </c>
      <c r="S13" s="2046"/>
      <c r="T13" s="2046"/>
      <c r="U13" s="2046"/>
      <c r="V13" s="1998"/>
    </row>
    <row r="14" s="1877" customFormat="1" customHeight="1" spans="1:22">
      <c r="A14" s="1929" t="s">
        <v>1514</v>
      </c>
      <c r="B14" s="1930" t="s">
        <v>1515</v>
      </c>
      <c r="C14" s="1931"/>
      <c r="D14" s="1932">
        <f>ROUND(E14*B5/10000,0)</f>
        <v>0</v>
      </c>
      <c r="E14" s="1937"/>
      <c r="F14" s="1924" t="s">
        <v>1516</v>
      </c>
      <c r="G14" s="1925"/>
      <c r="H14" s="1896"/>
      <c r="I14" s="1998"/>
      <c r="J14" s="2009"/>
      <c r="K14" s="2017"/>
      <c r="L14" s="2018" t="s">
        <v>1517</v>
      </c>
      <c r="M14" s="2019">
        <f>SUM(M7:M13)</f>
        <v>0</v>
      </c>
      <c r="N14" s="2019" t="e">
        <f>ROUND((N7*M7+N8*M8+N9*M9+N10*M10+N11*M11+N12*M12+N13*M13)/M14,0)</f>
        <v>#DIV/0!</v>
      </c>
      <c r="O14" s="2020"/>
      <c r="P14" s="2020"/>
      <c r="Q14" s="2054"/>
      <c r="R14" s="2048">
        <f>SUM(R7:R13)</f>
        <v>0</v>
      </c>
      <c r="S14" s="2046"/>
      <c r="T14" s="2046"/>
      <c r="U14" s="2046"/>
      <c r="V14" s="1998"/>
    </row>
    <row r="15" s="1877" customFormat="1" customHeight="1" spans="1:22">
      <c r="A15" s="1929" t="s">
        <v>1518</v>
      </c>
      <c r="B15" s="1930" t="s">
        <v>1519</v>
      </c>
      <c r="C15" s="1931"/>
      <c r="D15" s="1932">
        <f>ROUND(D6*E15,0)</f>
        <v>0</v>
      </c>
      <c r="E15" s="1933">
        <v>0.055</v>
      </c>
      <c r="F15" s="1924" t="s">
        <v>1520</v>
      </c>
      <c r="G15" s="1911"/>
      <c r="H15" s="1896"/>
      <c r="I15" s="1998"/>
      <c r="J15" s="2009">
        <v>2</v>
      </c>
      <c r="K15" s="2010" t="s">
        <v>1521</v>
      </c>
      <c r="L15" s="2014" t="s">
        <v>1522</v>
      </c>
      <c r="M15" s="2015" t="s">
        <v>1523</v>
      </c>
      <c r="N15" s="2015" t="s">
        <v>1524</v>
      </c>
      <c r="O15" s="2016" t="s">
        <v>1525</v>
      </c>
      <c r="P15" s="2016" t="s">
        <v>1487</v>
      </c>
      <c r="Q15" s="1901" t="s">
        <v>124</v>
      </c>
      <c r="R15" s="2055" t="s">
        <v>1488</v>
      </c>
      <c r="S15" s="2046"/>
      <c r="T15" s="2046"/>
      <c r="U15" s="2046"/>
      <c r="V15" s="1998"/>
    </row>
    <row r="16" s="1877" customFormat="1" customHeight="1" spans="1:22">
      <c r="A16" s="1929" t="s">
        <v>1526</v>
      </c>
      <c r="B16" s="1930" t="s">
        <v>1527</v>
      </c>
      <c r="C16" s="1931"/>
      <c r="D16" s="1938">
        <f>D6*E16</f>
        <v>0</v>
      </c>
      <c r="E16" s="1939"/>
      <c r="F16" s="1927" t="s">
        <v>1528</v>
      </c>
      <c r="G16" s="1911"/>
      <c r="H16" s="1896"/>
      <c r="I16" s="1998"/>
      <c r="J16" s="2009"/>
      <c r="K16" s="2013"/>
      <c r="L16" s="2014" t="s">
        <v>1529</v>
      </c>
      <c r="M16" s="2015"/>
      <c r="N16" s="2015"/>
      <c r="O16" s="2016"/>
      <c r="P16" s="1937">
        <v>365</v>
      </c>
      <c r="Q16" s="1901"/>
      <c r="R16" s="2055">
        <f>ROUND(M16*N16*O16*P16/10000,0)</f>
        <v>0</v>
      </c>
      <c r="S16" s="2046"/>
      <c r="T16" s="2046"/>
      <c r="U16" s="2046"/>
      <c r="V16" s="1998"/>
    </row>
    <row r="17" s="1877" customFormat="1" customHeight="1" spans="1:22">
      <c r="A17" s="1940">
        <v>4</v>
      </c>
      <c r="B17" s="1941" t="s">
        <v>1530</v>
      </c>
      <c r="C17" s="1942"/>
      <c r="D17" s="1943">
        <f>ROUND(D6*E17,0)</f>
        <v>0</v>
      </c>
      <c r="E17" s="1944"/>
      <c r="F17" s="1945" t="s">
        <v>1531</v>
      </c>
      <c r="G17" s="1911"/>
      <c r="H17" s="1896"/>
      <c r="I17" s="1998"/>
      <c r="J17" s="2009"/>
      <c r="K17" s="2013"/>
      <c r="L17" s="2014" t="s">
        <v>1532</v>
      </c>
      <c r="M17" s="2015"/>
      <c r="N17" s="2015"/>
      <c r="O17" s="2016"/>
      <c r="P17" s="1937">
        <v>365</v>
      </c>
      <c r="Q17" s="1901"/>
      <c r="R17" s="2055">
        <f>ROUND(M17*N17*O17*P17/10000,0)</f>
        <v>0</v>
      </c>
      <c r="S17" s="2046"/>
      <c r="T17" s="2046"/>
      <c r="U17" s="2046"/>
      <c r="V17" s="1998"/>
    </row>
    <row r="18" s="1877" customFormat="1" customHeight="1" spans="1:22">
      <c r="A18" s="1912" t="s">
        <v>1533</v>
      </c>
      <c r="B18" s="1913"/>
      <c r="C18" s="1913"/>
      <c r="D18" s="1946">
        <f>ROUND(D6*E18,0)</f>
        <v>0</v>
      </c>
      <c r="E18" s="1947"/>
      <c r="F18" s="1948" t="s">
        <v>1534</v>
      </c>
      <c r="G18" s="1911"/>
      <c r="H18" s="1896"/>
      <c r="I18" s="1998"/>
      <c r="J18" s="2009"/>
      <c r="K18" s="2013"/>
      <c r="L18" s="2014" t="s">
        <v>1535</v>
      </c>
      <c r="M18" s="2015"/>
      <c r="N18" s="2015"/>
      <c r="O18" s="2016"/>
      <c r="P18" s="1937">
        <v>365</v>
      </c>
      <c r="Q18" s="1901"/>
      <c r="R18" s="2055">
        <f>ROUND(M18*N18*O18*P18/10000,0)</f>
        <v>0</v>
      </c>
      <c r="S18" s="2046"/>
      <c r="T18" s="2046"/>
      <c r="U18" s="2046"/>
      <c r="V18" s="1998"/>
    </row>
    <row r="19" s="1877" customFormat="1" customHeight="1" spans="1:22">
      <c r="A19" s="1949" t="s">
        <v>1536</v>
      </c>
      <c r="B19" s="1909"/>
      <c r="C19" s="1909"/>
      <c r="D19" s="1909"/>
      <c r="E19" s="1909"/>
      <c r="F19" s="1910"/>
      <c r="G19" s="1925"/>
      <c r="H19" s="1896"/>
      <c r="I19" s="1998"/>
      <c r="J19" s="2009"/>
      <c r="K19" s="2017"/>
      <c r="L19" s="2018" t="s">
        <v>1517</v>
      </c>
      <c r="M19" s="2019"/>
      <c r="N19" s="2019">
        <f>SUM(N16:N18)</f>
        <v>0</v>
      </c>
      <c r="O19" s="2020"/>
      <c r="P19" s="2021" t="s">
        <v>1537</v>
      </c>
      <c r="Q19" s="2016">
        <v>0</v>
      </c>
      <c r="R19" s="2056">
        <f>ROUND(IF(P19="按比例",R14*Q19,SUM(R16:R18)),0)</f>
        <v>0</v>
      </c>
      <c r="S19" s="2046"/>
      <c r="T19" s="2046"/>
      <c r="U19" s="2046"/>
      <c r="V19" s="1998"/>
    </row>
    <row r="20" s="1877" customFormat="1" customHeight="1" spans="1:22">
      <c r="A20" s="1912"/>
      <c r="B20" s="1913"/>
      <c r="C20" s="1913"/>
      <c r="D20" s="1913"/>
      <c r="E20" s="1913"/>
      <c r="F20" s="1950"/>
      <c r="G20" s="1925"/>
      <c r="H20" s="1896"/>
      <c r="I20" s="1998"/>
      <c r="J20" s="2009">
        <v>3</v>
      </c>
      <c r="K20" s="2010" t="s">
        <v>1538</v>
      </c>
      <c r="L20" s="2014" t="s">
        <v>1539</v>
      </c>
      <c r="M20" s="2015" t="s">
        <v>1540</v>
      </c>
      <c r="N20" s="2022" t="s">
        <v>1541</v>
      </c>
      <c r="O20" s="2016" t="s">
        <v>1542</v>
      </c>
      <c r="P20" s="1937" t="s">
        <v>1487</v>
      </c>
      <c r="Q20" s="1901" t="s">
        <v>124</v>
      </c>
      <c r="R20" s="2055" t="s">
        <v>1488</v>
      </c>
      <c r="S20" s="2043"/>
      <c r="T20" s="2043"/>
      <c r="U20" s="2043"/>
      <c r="V20" s="1998"/>
    </row>
    <row r="21" s="1877" customFormat="1" customHeight="1" spans="1:22">
      <c r="A21" s="1912"/>
      <c r="B21" s="1913"/>
      <c r="C21" s="1920" t="s">
        <v>1543</v>
      </c>
      <c r="D21" s="1951" t="s">
        <v>1544</v>
      </c>
      <c r="E21" s="1921" t="s">
        <v>1545</v>
      </c>
      <c r="F21" s="1950"/>
      <c r="G21" s="1925"/>
      <c r="H21" s="1896"/>
      <c r="I21" s="1998"/>
      <c r="J21" s="2009"/>
      <c r="K21" s="2013"/>
      <c r="L21" s="2014" t="s">
        <v>1546</v>
      </c>
      <c r="M21" s="2015"/>
      <c r="N21" s="2015"/>
      <c r="O21" s="2016"/>
      <c r="P21" s="1937">
        <v>365</v>
      </c>
      <c r="Q21" s="1901"/>
      <c r="R21" s="2057">
        <f>ROUND(M21*N21*O21*P21/10000,0)</f>
        <v>0</v>
      </c>
      <c r="S21" s="2043"/>
      <c r="T21" s="2043"/>
      <c r="U21" s="2043"/>
      <c r="V21" s="1998"/>
    </row>
    <row r="22" s="1877" customFormat="1" customHeight="1" spans="1:22">
      <c r="A22" s="1912"/>
      <c r="B22" s="1913"/>
      <c r="C22" s="1952" t="s">
        <v>1547</v>
      </c>
      <c r="D22" s="1953" t="s">
        <v>1548</v>
      </c>
      <c r="E22" s="1954" t="s">
        <v>1549</v>
      </c>
      <c r="F22" s="1950"/>
      <c r="G22" s="1955"/>
      <c r="H22" s="1896"/>
      <c r="I22" s="1998"/>
      <c r="J22" s="2009"/>
      <c r="K22" s="2013"/>
      <c r="L22" s="2014" t="s">
        <v>1550</v>
      </c>
      <c r="M22" s="2015"/>
      <c r="N22" s="2015"/>
      <c r="O22" s="2016"/>
      <c r="P22" s="1937">
        <v>365</v>
      </c>
      <c r="Q22" s="1901"/>
      <c r="R22" s="2057">
        <f>ROUND(M22*N22*O22*P22/10000,0)</f>
        <v>0</v>
      </c>
      <c r="S22" s="2043"/>
      <c r="T22" s="2043"/>
      <c r="U22" s="2043"/>
      <c r="V22" s="1998"/>
    </row>
    <row r="23" s="1877" customFormat="1" customHeight="1" spans="1:22">
      <c r="A23" s="1956">
        <v>1</v>
      </c>
      <c r="B23" s="1957" t="s">
        <v>1551</v>
      </c>
      <c r="C23" s="1958">
        <f>D6</f>
        <v>0</v>
      </c>
      <c r="D23" s="1959">
        <f>C23*(1+D24)</f>
        <v>0</v>
      </c>
      <c r="E23" s="1960">
        <f>D23*(1+E24)</f>
        <v>0</v>
      </c>
      <c r="F23" s="1961"/>
      <c r="G23" s="1962"/>
      <c r="H23" s="1896"/>
      <c r="I23" s="1998"/>
      <c r="J23" s="2009"/>
      <c r="K23" s="2013"/>
      <c r="L23" s="2014" t="s">
        <v>1552</v>
      </c>
      <c r="M23" s="2015"/>
      <c r="N23" s="2015"/>
      <c r="O23" s="2016"/>
      <c r="P23" s="1937">
        <v>365</v>
      </c>
      <c r="Q23" s="1901"/>
      <c r="R23" s="2057">
        <f>ROUND(M23*N23*O23*P23/10000,0)</f>
        <v>0</v>
      </c>
      <c r="S23" s="2046"/>
      <c r="T23" s="2046"/>
      <c r="U23" s="2046"/>
      <c r="V23" s="1998"/>
    </row>
    <row r="24" s="1877" customFormat="1" customHeight="1" spans="1:22">
      <c r="A24" s="1963"/>
      <c r="B24" s="1964" t="s">
        <v>1553</v>
      </c>
      <c r="C24" s="1965"/>
      <c r="D24" s="1966"/>
      <c r="E24" s="1967"/>
      <c r="F24" s="1968"/>
      <c r="G24" s="1962"/>
      <c r="H24" s="1896"/>
      <c r="I24" s="1998"/>
      <c r="J24" s="2009"/>
      <c r="K24" s="2017"/>
      <c r="L24" s="2018" t="s">
        <v>1517</v>
      </c>
      <c r="M24" s="2019">
        <f>SUM(M21:M23)</f>
        <v>0</v>
      </c>
      <c r="N24" s="2019"/>
      <c r="O24" s="2020"/>
      <c r="P24" s="2021" t="s">
        <v>1537</v>
      </c>
      <c r="Q24" s="2016">
        <v>0</v>
      </c>
      <c r="R24" s="2056">
        <f>ROUND(IF(P24="按比例",R14*Q24,SUM(R21:R23)),0)</f>
        <v>0</v>
      </c>
      <c r="S24" s="2046"/>
      <c r="T24" s="2046"/>
      <c r="U24" s="2046"/>
      <c r="V24" s="1998"/>
    </row>
    <row r="25" s="1878" customFormat="1" customHeight="1" spans="1:22">
      <c r="A25" s="1963"/>
      <c r="B25" s="1964"/>
      <c r="C25" s="1965"/>
      <c r="D25" s="1966"/>
      <c r="E25" s="1967"/>
      <c r="F25" s="1968"/>
      <c r="G25" s="1955"/>
      <c r="H25" s="1896"/>
      <c r="I25" s="1998"/>
      <c r="J25" s="2009">
        <v>4</v>
      </c>
      <c r="K25" s="2023" t="s">
        <v>1554</v>
      </c>
      <c r="L25" s="2024"/>
      <c r="M25" s="2024"/>
      <c r="N25" s="2024"/>
      <c r="O25" s="2024"/>
      <c r="P25" s="2025"/>
      <c r="Q25" s="2058">
        <v>0</v>
      </c>
      <c r="R25" s="2056">
        <f>ROUND(R14*Q25,0)</f>
        <v>0</v>
      </c>
      <c r="S25" s="2046"/>
      <c r="T25" s="2046"/>
      <c r="U25" s="2046"/>
      <c r="V25" s="2032"/>
    </row>
    <row r="26" s="1878" customFormat="1" customHeight="1" spans="1:22">
      <c r="A26" s="1956">
        <v>2</v>
      </c>
      <c r="B26" s="1957" t="s">
        <v>1555</v>
      </c>
      <c r="C26" s="1958">
        <f>D7</f>
        <v>0</v>
      </c>
      <c r="D26" s="1959">
        <f>D23*D27</f>
        <v>0</v>
      </c>
      <c r="E26" s="1960">
        <f>E23*E27</f>
        <v>0</v>
      </c>
      <c r="F26" s="1961"/>
      <c r="G26" s="1962"/>
      <c r="H26" s="1896"/>
      <c r="I26" s="1998"/>
      <c r="J26" s="2026">
        <v>5</v>
      </c>
      <c r="K26" s="2027" t="s">
        <v>1556</v>
      </c>
      <c r="L26" s="2028"/>
      <c r="M26" s="2029"/>
      <c r="N26" s="2030" t="s">
        <v>469</v>
      </c>
      <c r="O26" s="2030" t="s">
        <v>1557</v>
      </c>
      <c r="P26" s="2031" t="s">
        <v>1558</v>
      </c>
      <c r="Q26" s="2031" t="s">
        <v>1559</v>
      </c>
      <c r="R26" s="2050" t="s">
        <v>1488</v>
      </c>
      <c r="S26" s="2059"/>
      <c r="T26" s="2059"/>
      <c r="U26" s="2059"/>
      <c r="V26" s="2032"/>
    </row>
    <row r="27" s="1877" customFormat="1" customHeight="1" spans="1:22">
      <c r="A27" s="1963"/>
      <c r="B27" s="1964" t="s">
        <v>1560</v>
      </c>
      <c r="C27" s="1969" t="e">
        <f>E7</f>
        <v>#DIV/0!</v>
      </c>
      <c r="D27" s="1966"/>
      <c r="E27" s="1967"/>
      <c r="F27" s="1968"/>
      <c r="G27" s="1962"/>
      <c r="H27" s="1970"/>
      <c r="I27" s="2032"/>
      <c r="J27" s="2033"/>
      <c r="K27" s="2034"/>
      <c r="L27" s="2035"/>
      <c r="M27" s="2036"/>
      <c r="N27" s="2037"/>
      <c r="O27" s="2037"/>
      <c r="P27" s="2037"/>
      <c r="Q27" s="2060"/>
      <c r="R27" s="2056">
        <f>ROUND(O27*N27*P27*(1-Q27)/10000,0)</f>
        <v>0</v>
      </c>
      <c r="S27" s="2046"/>
      <c r="T27" s="2046"/>
      <c r="U27" s="2046"/>
      <c r="V27" s="1998"/>
    </row>
    <row r="28" s="1878" customFormat="1" customHeight="1" spans="1:22">
      <c r="A28" s="1963"/>
      <c r="B28" s="1964"/>
      <c r="C28" s="1969"/>
      <c r="D28" s="1966"/>
      <c r="E28" s="1967" t="s">
        <v>1561</v>
      </c>
      <c r="F28" s="1968"/>
      <c r="G28" s="1955"/>
      <c r="H28" s="1970"/>
      <c r="I28" s="2032"/>
      <c r="J28" s="2038">
        <v>6</v>
      </c>
      <c r="K28" s="2039" t="s">
        <v>1562</v>
      </c>
      <c r="L28" s="2040" t="s">
        <v>1563</v>
      </c>
      <c r="M28" s="2041"/>
      <c r="N28" s="2040" t="s">
        <v>1564</v>
      </c>
      <c r="O28" s="2042"/>
      <c r="P28" s="2040" t="s">
        <v>1565</v>
      </c>
      <c r="Q28" s="2061">
        <v>0.015</v>
      </c>
      <c r="R28" s="2062"/>
      <c r="S28" s="2043"/>
      <c r="T28" s="2043"/>
      <c r="U28" s="2043"/>
      <c r="V28" s="2032"/>
    </row>
    <row r="29" s="1878" customFormat="1" customHeight="1" spans="1:22">
      <c r="A29" s="1956">
        <v>3</v>
      </c>
      <c r="B29" s="1957" t="s">
        <v>1566</v>
      </c>
      <c r="C29" s="1958">
        <f>C23*C30</f>
        <v>0</v>
      </c>
      <c r="D29" s="1959">
        <f>D23*C30</f>
        <v>0</v>
      </c>
      <c r="E29" s="1960">
        <f>E23*C30</f>
        <v>0</v>
      </c>
      <c r="F29" s="1961"/>
      <c r="G29" s="1962"/>
      <c r="H29" s="1896"/>
      <c r="I29" s="1998"/>
      <c r="J29" s="2043"/>
      <c r="K29" s="2043"/>
      <c r="L29" s="2043"/>
      <c r="M29" s="2043"/>
      <c r="N29" s="2043"/>
      <c r="O29" s="2043"/>
      <c r="P29" s="2043"/>
      <c r="Q29" s="2043"/>
      <c r="R29" s="2043"/>
      <c r="S29" s="2043"/>
      <c r="T29" s="2043"/>
      <c r="U29" s="2043"/>
      <c r="V29" s="2032"/>
    </row>
    <row r="30" s="1877" customFormat="1" customHeight="1" spans="1:22">
      <c r="A30" s="1963"/>
      <c r="B30" s="1964" t="s">
        <v>1560</v>
      </c>
      <c r="C30" s="1969">
        <f>E18</f>
        <v>0</v>
      </c>
      <c r="D30" s="1971"/>
      <c r="E30" s="1936"/>
      <c r="F30" s="1968"/>
      <c r="G30" s="1962"/>
      <c r="H30" s="1970"/>
      <c r="I30" s="2032"/>
      <c r="J30" s="2043"/>
      <c r="K30" s="2043"/>
      <c r="L30" s="2043"/>
      <c r="M30" s="2043"/>
      <c r="N30" s="2043"/>
      <c r="O30" s="2043"/>
      <c r="P30" s="2043"/>
      <c r="Q30" s="2043"/>
      <c r="R30" s="2043"/>
      <c r="S30" s="2043"/>
      <c r="T30" s="2043"/>
      <c r="U30" s="2046"/>
      <c r="V30" s="1998"/>
    </row>
    <row r="31" s="1878" customFormat="1" customHeight="1" spans="1:22">
      <c r="A31" s="1963"/>
      <c r="B31" s="1964"/>
      <c r="C31" s="1972"/>
      <c r="D31" s="1971"/>
      <c r="E31" s="1936"/>
      <c r="F31" s="1968"/>
      <c r="G31" s="1955"/>
      <c r="H31" s="1970"/>
      <c r="I31" s="2032"/>
      <c r="J31" s="1996" t="s">
        <v>1567</v>
      </c>
      <c r="K31" s="1997"/>
      <c r="L31" s="1997"/>
      <c r="M31" s="1997"/>
      <c r="N31" s="1997"/>
      <c r="O31" s="1997"/>
      <c r="P31" s="1997"/>
      <c r="Q31" s="1997"/>
      <c r="R31" s="2045"/>
      <c r="S31" s="2043"/>
      <c r="T31" s="2046"/>
      <c r="U31" s="2046"/>
      <c r="V31" s="2032"/>
    </row>
    <row r="32" s="1878" customFormat="1" customHeight="1" spans="1:22">
      <c r="A32" s="1956">
        <v>4</v>
      </c>
      <c r="B32" s="1957" t="s">
        <v>1568</v>
      </c>
      <c r="C32" s="1958">
        <f>C23-C26-C29</f>
        <v>0</v>
      </c>
      <c r="D32" s="1959">
        <f>D23-D26-D29</f>
        <v>0</v>
      </c>
      <c r="E32" s="1960">
        <f>E23-E26-E29</f>
        <v>0</v>
      </c>
      <c r="F32" s="1961"/>
      <c r="G32" s="1955"/>
      <c r="H32" s="1896"/>
      <c r="I32" s="1998"/>
      <c r="J32" s="1999" t="s">
        <v>1466</v>
      </c>
      <c r="K32" s="2000"/>
      <c r="L32" s="2001" t="s">
        <v>1467</v>
      </c>
      <c r="M32" s="2001" t="s">
        <v>1468</v>
      </c>
      <c r="N32" s="2001" t="s">
        <v>1469</v>
      </c>
      <c r="O32" s="2001" t="s">
        <v>1470</v>
      </c>
      <c r="P32" s="2001" t="s">
        <v>1471</v>
      </c>
      <c r="Q32" s="2047" t="s">
        <v>1472</v>
      </c>
      <c r="R32" s="2063" t="s">
        <v>1473</v>
      </c>
      <c r="S32" s="2043"/>
      <c r="T32" s="2046"/>
      <c r="U32" s="2046"/>
      <c r="V32" s="2032"/>
    </row>
    <row r="33" s="1877" customFormat="1" customHeight="1" spans="1:22">
      <c r="A33" s="1956"/>
      <c r="B33" s="1957"/>
      <c r="C33" s="1958"/>
      <c r="D33" s="1973"/>
      <c r="E33" s="1931"/>
      <c r="F33" s="1961"/>
      <c r="G33" s="1955"/>
      <c r="H33" s="1970"/>
      <c r="I33" s="2032"/>
      <c r="J33" s="2002" t="s">
        <v>1474</v>
      </c>
      <c r="K33" s="2003"/>
      <c r="L33" s="2004"/>
      <c r="M33" s="2004"/>
      <c r="N33" s="2004"/>
      <c r="O33" s="2004"/>
      <c r="P33" s="2004"/>
      <c r="Q33" s="2049"/>
      <c r="R33" s="2064">
        <f>SUM(L33:Q33)</f>
        <v>0</v>
      </c>
      <c r="S33" s="2043"/>
      <c r="T33" s="2046"/>
      <c r="U33" s="2046"/>
      <c r="V33" s="1998"/>
    </row>
    <row r="34" s="1877" customFormat="1" customHeight="1" spans="1:22">
      <c r="A34" s="1956">
        <v>5</v>
      </c>
      <c r="B34" s="1957" t="s">
        <v>1569</v>
      </c>
      <c r="C34" s="1974"/>
      <c r="D34" s="1975"/>
      <c r="E34" s="1976"/>
      <c r="F34" s="1961"/>
      <c r="G34" s="1955"/>
      <c r="H34" s="1970"/>
      <c r="I34" s="2032"/>
      <c r="J34" s="2002" t="s">
        <v>1476</v>
      </c>
      <c r="K34" s="2003"/>
      <c r="L34" s="2005"/>
      <c r="M34" s="2005"/>
      <c r="N34" s="2005"/>
      <c r="O34" s="2005"/>
      <c r="P34" s="2005"/>
      <c r="Q34" s="2051"/>
      <c r="R34" s="2065">
        <f>SUM(L34:Q34)</f>
        <v>0</v>
      </c>
      <c r="S34" s="2043"/>
      <c r="T34" s="2046"/>
      <c r="U34" s="2046" t="e">
        <f>ROUND(R35*10000/365/R33,1)</f>
        <v>#DIV/0!</v>
      </c>
      <c r="V34" s="1998"/>
    </row>
    <row r="35" s="1877" customFormat="1" customHeight="1" spans="1:22">
      <c r="A35" s="1956">
        <v>6</v>
      </c>
      <c r="B35" s="1957" t="s">
        <v>1570</v>
      </c>
      <c r="C35" s="1977"/>
      <c r="D35" s="1978"/>
      <c r="E35" s="1979"/>
      <c r="F35" s="1961"/>
      <c r="G35" s="1980"/>
      <c r="H35" s="1896"/>
      <c r="I35" s="2032"/>
      <c r="J35" s="2006" t="s">
        <v>1478</v>
      </c>
      <c r="K35" s="2007"/>
      <c r="L35" s="2007"/>
      <c r="M35" s="2008"/>
      <c r="N35" s="2008"/>
      <c r="O35" s="2008"/>
      <c r="P35" s="2008"/>
      <c r="Q35" s="2008"/>
      <c r="R35" s="2066">
        <f>R40+R41+R43</f>
        <v>0</v>
      </c>
      <c r="S35" s="2043"/>
      <c r="T35" s="2046" t="s">
        <v>1479</v>
      </c>
      <c r="U35" s="2046"/>
      <c r="V35" s="1998"/>
    </row>
    <row r="36" s="1877" customFormat="1" customHeight="1" spans="1:22">
      <c r="A36" s="1956">
        <v>7</v>
      </c>
      <c r="B36" s="1981" t="s">
        <v>1571</v>
      </c>
      <c r="C36" s="1982"/>
      <c r="D36" s="1983"/>
      <c r="E36" s="1984"/>
      <c r="F36" s="1985">
        <f>C36+D36+E36</f>
        <v>0</v>
      </c>
      <c r="G36" s="1955"/>
      <c r="H36" s="1896"/>
      <c r="I36" s="1998"/>
      <c r="J36" s="2009">
        <v>1</v>
      </c>
      <c r="K36" s="2010" t="s">
        <v>1572</v>
      </c>
      <c r="L36" s="2011"/>
      <c r="M36" s="2012"/>
      <c r="N36" s="2012"/>
      <c r="O36" s="2012"/>
      <c r="P36" s="2012"/>
      <c r="Q36" s="2012"/>
      <c r="R36" s="2050" t="s">
        <v>1488</v>
      </c>
      <c r="S36" s="2043"/>
      <c r="T36" s="2046" t="s">
        <v>1489</v>
      </c>
      <c r="U36" s="2046"/>
      <c r="V36" s="1998"/>
    </row>
    <row r="37" s="1877" customFormat="1" customHeight="1" spans="1:22">
      <c r="A37" s="1956"/>
      <c r="B37" s="1957"/>
      <c r="C37" s="1957"/>
      <c r="D37" s="1957"/>
      <c r="E37" s="1957"/>
      <c r="F37" s="1961"/>
      <c r="G37" s="1955"/>
      <c r="H37" s="1896"/>
      <c r="I37" s="1998"/>
      <c r="J37" s="2009"/>
      <c r="K37" s="2013"/>
      <c r="L37" s="2014"/>
      <c r="M37" s="2015"/>
      <c r="N37" s="1901"/>
      <c r="O37" s="2016"/>
      <c r="P37" s="2016"/>
      <c r="Q37" s="1937"/>
      <c r="R37" s="2053"/>
      <c r="S37" s="2043"/>
      <c r="T37" s="2046" t="s">
        <v>1492</v>
      </c>
      <c r="U37" s="2046"/>
      <c r="V37" s="1998"/>
    </row>
    <row r="38" s="1877" customFormat="1" customHeight="1" spans="1:22">
      <c r="A38" s="1956">
        <v>8</v>
      </c>
      <c r="B38" s="1957"/>
      <c r="C38" s="1922" t="e">
        <f>ROUND(C32*(1-((1+C35)/(1+C34))^C36)/(C34-C35),0)</f>
        <v>#DIV/0!</v>
      </c>
      <c r="D38" s="1922">
        <f>IF(D23=0,0,ROUND(D32*(1-((1+D35)/(1+D34))^D36)/(D34-D35),0))</f>
        <v>0</v>
      </c>
      <c r="E38" s="1922">
        <f>IF(E23=0,0,ROUND(E32*(1-((1+E35)/(1+E34))^E36)/(E34-E35),0))</f>
        <v>0</v>
      </c>
      <c r="F38" s="1961"/>
      <c r="G38" s="1955"/>
      <c r="H38" s="1896"/>
      <c r="I38" s="1998"/>
      <c r="J38" s="2009"/>
      <c r="K38" s="2013"/>
      <c r="L38" s="2014"/>
      <c r="M38" s="2015"/>
      <c r="N38" s="1901"/>
      <c r="O38" s="2016"/>
      <c r="P38" s="2016"/>
      <c r="Q38" s="1937"/>
      <c r="R38" s="2053"/>
      <c r="S38" s="2043"/>
      <c r="T38" s="2046" t="s">
        <v>1499</v>
      </c>
      <c r="U38" s="2046"/>
      <c r="V38" s="1998"/>
    </row>
    <row r="39" s="1877" customFormat="1" customHeight="1" spans="1:22">
      <c r="A39" s="1956">
        <v>9</v>
      </c>
      <c r="B39" s="1957" t="s">
        <v>1573</v>
      </c>
      <c r="C39" s="1932" t="e">
        <f>C38</f>
        <v>#DIV/0!</v>
      </c>
      <c r="D39" s="1957">
        <f>D38/(1+D34)^C36</f>
        <v>0</v>
      </c>
      <c r="E39" s="1957">
        <f>E38/(1+E34)^(C36+D36)</f>
        <v>0</v>
      </c>
      <c r="F39" s="1961"/>
      <c r="G39" s="1986"/>
      <c r="H39" s="1896"/>
      <c r="I39" s="1998"/>
      <c r="J39" s="2009"/>
      <c r="K39" s="2013"/>
      <c r="L39" s="2014"/>
      <c r="M39" s="2015"/>
      <c r="N39" s="1901"/>
      <c r="O39" s="2016"/>
      <c r="P39" s="2016"/>
      <c r="Q39" s="1937"/>
      <c r="R39" s="2053"/>
      <c r="S39" s="2043"/>
      <c r="T39" s="2046"/>
      <c r="U39" s="2046"/>
      <c r="V39" s="1998"/>
    </row>
    <row r="40" s="1877" customFormat="1" customHeight="1" spans="1:22">
      <c r="A40" s="1987">
        <v>10</v>
      </c>
      <c r="B40" s="1957" t="s">
        <v>1574</v>
      </c>
      <c r="C40" s="1988" t="e">
        <f>C39+D39+E39</f>
        <v>#DIV/0!</v>
      </c>
      <c r="D40" s="1989"/>
      <c r="E40" s="1989"/>
      <c r="F40" s="1990"/>
      <c r="G40" s="1955"/>
      <c r="H40" s="1896"/>
      <c r="I40" s="1998"/>
      <c r="J40" s="2009"/>
      <c r="K40" s="2017"/>
      <c r="L40" s="2018" t="s">
        <v>1517</v>
      </c>
      <c r="M40" s="2019"/>
      <c r="N40" s="2019"/>
      <c r="O40" s="2020"/>
      <c r="P40" s="2020"/>
      <c r="Q40" s="2054"/>
      <c r="R40" s="2048">
        <f>SUM(R37:R39)</f>
        <v>0</v>
      </c>
      <c r="S40" s="2043"/>
      <c r="T40" s="2046"/>
      <c r="U40" s="2046"/>
      <c r="V40" s="1998"/>
    </row>
    <row r="41" s="1877" customFormat="1" customHeight="1" spans="1:22">
      <c r="A41" s="1991">
        <v>11</v>
      </c>
      <c r="B41" s="1992" t="s">
        <v>1575</v>
      </c>
      <c r="C41" s="1992" t="e">
        <f>ROUND(C40*10000/B4,0)</f>
        <v>#DIV/0!</v>
      </c>
      <c r="D41" s="1993"/>
      <c r="E41" s="1993"/>
      <c r="F41" s="1994"/>
      <c r="G41" s="1995"/>
      <c r="H41" s="1896"/>
      <c r="I41" s="1998"/>
      <c r="J41" s="2009">
        <v>2</v>
      </c>
      <c r="K41" s="2023" t="s">
        <v>1554</v>
      </c>
      <c r="L41" s="2024"/>
      <c r="M41" s="2024"/>
      <c r="N41" s="2024"/>
      <c r="O41" s="2024"/>
      <c r="P41" s="2025"/>
      <c r="Q41" s="2058"/>
      <c r="R41" s="2056">
        <f>ROUND(R40*Q41,0)</f>
        <v>0</v>
      </c>
      <c r="S41" s="2043"/>
      <c r="T41" s="2046"/>
      <c r="U41" s="2059"/>
      <c r="V41" s="1998"/>
    </row>
    <row r="42" s="1877" customFormat="1" customHeight="1" spans="7:22">
      <c r="G42" s="1995"/>
      <c r="H42" s="1896"/>
      <c r="I42" s="1998"/>
      <c r="J42" s="2026">
        <v>3</v>
      </c>
      <c r="K42" s="2027" t="s">
        <v>1556</v>
      </c>
      <c r="L42" s="2028"/>
      <c r="M42" s="2029"/>
      <c r="N42" s="2030" t="s">
        <v>469</v>
      </c>
      <c r="O42" s="2030" t="s">
        <v>1557</v>
      </c>
      <c r="P42" s="2031" t="s">
        <v>1558</v>
      </c>
      <c r="Q42" s="2031" t="s">
        <v>1559</v>
      </c>
      <c r="R42" s="2050" t="s">
        <v>1488</v>
      </c>
      <c r="S42" s="2059"/>
      <c r="T42" s="2059"/>
      <c r="U42" s="2046"/>
      <c r="V42" s="1998"/>
    </row>
    <row r="43" customHeight="1" spans="1:23">
      <c r="A43" s="1877"/>
      <c r="B43" s="1877"/>
      <c r="C43" s="1877"/>
      <c r="D43" s="1877"/>
      <c r="E43" s="1877"/>
      <c r="F43" s="1877"/>
      <c r="I43" s="1881"/>
      <c r="J43" s="2033"/>
      <c r="K43" s="2034"/>
      <c r="L43" s="2035"/>
      <c r="M43" s="2036"/>
      <c r="N43" s="2015"/>
      <c r="O43" s="2015"/>
      <c r="P43" s="2015"/>
      <c r="Q43" s="2058"/>
      <c r="R43" s="2056">
        <f>ROUND(O43*N43*P43*(1-Q43)/10000,0)</f>
        <v>0</v>
      </c>
      <c r="S43" s="2043"/>
      <c r="T43" s="2046"/>
      <c r="V43" s="1883"/>
      <c r="W43" s="2067"/>
    </row>
    <row r="44" customHeight="1" spans="10:18">
      <c r="J44" s="2038">
        <v>6</v>
      </c>
      <c r="K44" s="2039" t="s">
        <v>1562</v>
      </c>
      <c r="L44" s="2044" t="s">
        <v>1563</v>
      </c>
      <c r="M44" s="2041"/>
      <c r="N44" s="2044" t="s">
        <v>1564</v>
      </c>
      <c r="O44" s="2041"/>
      <c r="P44" s="2044" t="s">
        <v>1565</v>
      </c>
      <c r="Q44" s="2061">
        <v>0.015</v>
      </c>
      <c r="R44" s="206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984" customWidth="1"/>
    <col min="2" max="2" width="12" style="984" customWidth="1"/>
    <col min="3" max="3" width="9" style="984"/>
    <col min="4" max="4" width="14.1272727272727" style="984" customWidth="1"/>
    <col min="5" max="5" width="9" style="984"/>
    <col min="6" max="6" width="12.8727272727273" style="984" customWidth="1"/>
    <col min="7" max="16384" width="9" style="984"/>
  </cols>
  <sheetData>
    <row r="1" ht="21" spans="1:19">
      <c r="A1" s="985" t="s">
        <v>1576</v>
      </c>
      <c r="B1" s="1852"/>
      <c r="C1" s="1852"/>
      <c r="D1" s="1852"/>
      <c r="E1" s="1853"/>
      <c r="F1" s="1854"/>
      <c r="G1" s="1855"/>
      <c r="H1" s="1855"/>
      <c r="I1" s="1855"/>
      <c r="J1" s="1855"/>
      <c r="K1" s="1855"/>
      <c r="L1" s="1855"/>
      <c r="M1" s="1855"/>
      <c r="N1" s="1855"/>
      <c r="O1" s="1855"/>
      <c r="P1" s="1855"/>
      <c r="Q1" s="1855"/>
      <c r="R1" s="1855"/>
      <c r="S1" s="1855"/>
    </row>
    <row r="2" ht="15" spans="1:19">
      <c r="A2" s="1856" t="s">
        <v>1012</v>
      </c>
      <c r="B2" s="1857">
        <f ca="1">SUMIF(B6:B13,"&lt;&gt;#ref!",B6:B13)</f>
        <v>10795</v>
      </c>
      <c r="C2" s="1858" t="s">
        <v>1577</v>
      </c>
      <c r="D2" s="1859" t="s">
        <v>1578</v>
      </c>
      <c r="E2" s="1860">
        <f>SUM(E6:E13)</f>
        <v>54377.37</v>
      </c>
      <c r="F2" s="1854"/>
      <c r="G2" s="1855"/>
      <c r="H2" s="1855"/>
      <c r="I2" s="1855"/>
      <c r="J2" s="1855"/>
      <c r="K2" s="1855"/>
      <c r="L2" s="1855"/>
      <c r="M2" s="1855"/>
      <c r="N2" s="1855"/>
      <c r="O2" s="1855"/>
      <c r="P2" s="1855"/>
      <c r="Q2" s="1855"/>
      <c r="R2" s="1855"/>
      <c r="S2" s="1855"/>
    </row>
    <row r="3" ht="15" spans="1:19">
      <c r="A3" s="1856" t="s">
        <v>1014</v>
      </c>
      <c r="B3" s="1861">
        <f ca="1">ROUND(B2*10000/E2,0)</f>
        <v>1985</v>
      </c>
      <c r="C3" s="1858" t="s">
        <v>1579</v>
      </c>
      <c r="D3" s="1862"/>
      <c r="E3" s="1863"/>
      <c r="F3" s="1854"/>
      <c r="G3" s="1855"/>
      <c r="H3" s="1855"/>
      <c r="I3" s="1855"/>
      <c r="J3" s="1855"/>
      <c r="K3" s="1855"/>
      <c r="L3" s="1855"/>
      <c r="M3" s="1855"/>
      <c r="N3" s="1855"/>
      <c r="O3" s="1855"/>
      <c r="P3" s="1855"/>
      <c r="Q3" s="1855"/>
      <c r="R3" s="1855"/>
      <c r="S3" s="1855"/>
    </row>
    <row r="4" ht="15.5" spans="1:19">
      <c r="A4" s="1864"/>
      <c r="B4" s="1862"/>
      <c r="C4" s="1862"/>
      <c r="D4" s="1862"/>
      <c r="E4" s="1863"/>
      <c r="F4" s="1854"/>
      <c r="G4" s="1855"/>
      <c r="H4" s="1855"/>
      <c r="I4" s="1855"/>
      <c r="J4" s="1855"/>
      <c r="K4" s="1855"/>
      <c r="L4" s="1855"/>
      <c r="M4" s="1855"/>
      <c r="N4" s="1855"/>
      <c r="O4" s="1855"/>
      <c r="P4" s="1855"/>
      <c r="Q4" s="1855"/>
      <c r="R4" s="1855"/>
      <c r="S4" s="1855"/>
    </row>
    <row r="5" spans="1:19">
      <c r="A5" s="1865" t="s">
        <v>1580</v>
      </c>
      <c r="B5" s="1866" t="s">
        <v>1581</v>
      </c>
      <c r="C5" s="1867"/>
      <c r="D5" s="1868"/>
      <c r="E5" s="1869" t="s">
        <v>1582</v>
      </c>
      <c r="F5" s="1870" t="s">
        <v>1583</v>
      </c>
      <c r="G5" s="1855"/>
      <c r="H5" s="1855"/>
      <c r="I5" s="1855"/>
      <c r="J5" s="1855"/>
      <c r="K5" s="1855"/>
      <c r="L5" s="1855"/>
      <c r="M5" s="1855"/>
      <c r="N5" s="1855"/>
      <c r="O5" s="1855"/>
      <c r="P5" s="1855"/>
      <c r="Q5" s="1855"/>
      <c r="R5" s="1855"/>
      <c r="S5" s="1855"/>
    </row>
    <row r="6" spans="1:19">
      <c r="A6" s="1871" t="str">
        <f>'数据-取费表'!AN6</f>
        <v>收益法</v>
      </c>
      <c r="B6" s="989">
        <f ca="1">IF(F6="是",'数据-取费表'!AO6,0)</f>
        <v>10795</v>
      </c>
      <c r="C6" s="1858" t="s">
        <v>1577</v>
      </c>
      <c r="D6" s="1862"/>
      <c r="E6" s="1872">
        <f>IF(OR(A6=0,F6="否"),0,'数据-取费表'!K6+'数据-取费表'!S6)</f>
        <v>54377.37</v>
      </c>
      <c r="F6" s="1873" t="s">
        <v>1584</v>
      </c>
      <c r="G6" s="1855"/>
      <c r="H6" s="1855"/>
      <c r="I6" s="1855"/>
      <c r="J6" s="1855"/>
      <c r="K6" s="1855"/>
      <c r="L6" s="1855"/>
      <c r="M6" s="1855"/>
      <c r="N6" s="1855"/>
      <c r="O6" s="1855"/>
      <c r="P6" s="1855"/>
      <c r="Q6" s="1855"/>
      <c r="R6" s="1855"/>
      <c r="S6" s="1855"/>
    </row>
    <row r="7" spans="1:19">
      <c r="A7" s="1871">
        <f>'数据-取费表'!AN7</f>
        <v>0</v>
      </c>
      <c r="B7" s="989" t="e">
        <f ca="1">IF(F7="是",'数据-取费表'!AO7,0)</f>
        <v>#REF!</v>
      </c>
      <c r="C7" s="1858" t="s">
        <v>1577</v>
      </c>
      <c r="D7" s="1862"/>
      <c r="E7" s="1872">
        <f>IF(OR(A7=0,F7="否"),0,'数据-取费表'!K7+'数据-取费表'!S7)</f>
        <v>0</v>
      </c>
      <c r="F7" s="1873" t="s">
        <v>1584</v>
      </c>
      <c r="G7" s="1855"/>
      <c r="H7" s="1855"/>
      <c r="I7" s="1855"/>
      <c r="J7" s="1855"/>
      <c r="K7" s="1855"/>
      <c r="L7" s="1855"/>
      <c r="M7" s="1855"/>
      <c r="N7" s="1855"/>
      <c r="O7" s="1855"/>
      <c r="P7" s="1855"/>
      <c r="Q7" s="1855"/>
      <c r="R7" s="1855"/>
      <c r="S7" s="1855"/>
    </row>
    <row r="8" spans="1:19">
      <c r="A8" s="1871">
        <f>'数据-取费表'!AN8</f>
        <v>0</v>
      </c>
      <c r="B8" s="989" t="e">
        <f ca="1">IF(F8="是",'数据-取费表'!AO8,0)</f>
        <v>#REF!</v>
      </c>
      <c r="C8" s="1858" t="s">
        <v>1577</v>
      </c>
      <c r="D8" s="1862"/>
      <c r="E8" s="1872">
        <f>IF(OR(A8=0,F8="否"),0,'数据-取费表'!K8+'数据-取费表'!S8)</f>
        <v>0</v>
      </c>
      <c r="F8" s="1873" t="s">
        <v>1584</v>
      </c>
      <c r="G8" s="1855"/>
      <c r="H8" s="1855"/>
      <c r="I8" s="1855"/>
      <c r="J8" s="1855"/>
      <c r="K8" s="1855"/>
      <c r="L8" s="1855"/>
      <c r="M8" s="1855"/>
      <c r="N8" s="1855"/>
      <c r="O8" s="1855"/>
      <c r="P8" s="1855"/>
      <c r="Q8" s="1855"/>
      <c r="R8" s="1855"/>
      <c r="S8" s="1855"/>
    </row>
    <row r="9" spans="1:19">
      <c r="A9" s="1871">
        <f>'数据-取费表'!AN9</f>
        <v>0</v>
      </c>
      <c r="B9" s="989" t="e">
        <f ca="1">IF(F9="是",'数据-取费表'!AO9,0)</f>
        <v>#REF!</v>
      </c>
      <c r="C9" s="1858" t="s">
        <v>1577</v>
      </c>
      <c r="D9" s="1862"/>
      <c r="E9" s="1872">
        <f>IF(OR(A9=0,F9="否"),0,'数据-取费表'!K9+'数据-取费表'!S9)</f>
        <v>0</v>
      </c>
      <c r="F9" s="1873" t="s">
        <v>1584</v>
      </c>
      <c r="G9" s="1855"/>
      <c r="H9" s="1855"/>
      <c r="I9" s="1855"/>
      <c r="J9" s="1855"/>
      <c r="K9" s="1855"/>
      <c r="L9" s="1855"/>
      <c r="M9" s="1855"/>
      <c r="N9" s="1855"/>
      <c r="O9" s="1855"/>
      <c r="P9" s="1855"/>
      <c r="Q9" s="1855"/>
      <c r="R9" s="1855"/>
      <c r="S9" s="1855"/>
    </row>
    <row r="10" spans="1:19">
      <c r="A10" s="1871">
        <f>'数据-取费表'!AN10</f>
        <v>0</v>
      </c>
      <c r="B10" s="989" t="e">
        <f ca="1">IF(F10="是",'数据-取费表'!AO10,0)</f>
        <v>#REF!</v>
      </c>
      <c r="C10" s="1858" t="s">
        <v>1577</v>
      </c>
      <c r="D10" s="1862"/>
      <c r="E10" s="1872">
        <f>IF(OR(A10=0,F10="否"),0,'数据-取费表'!K10+'数据-取费表'!S10)</f>
        <v>0</v>
      </c>
      <c r="F10" s="1873" t="s">
        <v>1584</v>
      </c>
      <c r="G10" s="1855"/>
      <c r="H10" s="1855"/>
      <c r="I10" s="1855"/>
      <c r="J10" s="1855"/>
      <c r="K10" s="1855"/>
      <c r="L10" s="1855"/>
      <c r="M10" s="1855"/>
      <c r="N10" s="1855"/>
      <c r="O10" s="1855"/>
      <c r="P10" s="1855"/>
      <c r="Q10" s="1855"/>
      <c r="R10" s="1855"/>
      <c r="S10" s="1855"/>
    </row>
    <row r="11" spans="1:19">
      <c r="A11" s="1871">
        <f>'数据-取费表'!AN11</f>
        <v>0</v>
      </c>
      <c r="B11" s="989" t="e">
        <f ca="1">IF(F11="是",'数据-取费表'!AO11,0)</f>
        <v>#REF!</v>
      </c>
      <c r="C11" s="1858" t="s">
        <v>1577</v>
      </c>
      <c r="D11" s="1862"/>
      <c r="E11" s="1872">
        <f>IF(OR(A11=0,F11="否"),0,'数据-取费表'!K11+'数据-取费表'!S11)</f>
        <v>0</v>
      </c>
      <c r="F11" s="1873" t="s">
        <v>1584</v>
      </c>
      <c r="G11" s="1855"/>
      <c r="H11" s="1855"/>
      <c r="I11" s="1855"/>
      <c r="J11" s="1855"/>
      <c r="K11" s="1855"/>
      <c r="L11" s="1855"/>
      <c r="M11" s="1855"/>
      <c r="N11" s="1855"/>
      <c r="O11" s="1855"/>
      <c r="P11" s="1855"/>
      <c r="Q11" s="1855"/>
      <c r="R11" s="1855"/>
      <c r="S11" s="1855"/>
    </row>
    <row r="12" spans="1:19">
      <c r="A12" s="1871">
        <f>'数据-取费表'!AN12</f>
        <v>0</v>
      </c>
      <c r="B12" s="989" t="e">
        <f ca="1">IF(F12="是",'数据-取费表'!AO12,0)</f>
        <v>#REF!</v>
      </c>
      <c r="C12" s="1858" t="s">
        <v>1577</v>
      </c>
      <c r="D12" s="1862"/>
      <c r="E12" s="1872">
        <f>IF(OR(A12=0,F12="否"),0,'数据-取费表'!K12+'数据-取费表'!S12)</f>
        <v>0</v>
      </c>
      <c r="F12" s="1873" t="s">
        <v>1584</v>
      </c>
      <c r="G12" s="1855"/>
      <c r="H12" s="1855"/>
      <c r="I12" s="1855"/>
      <c r="J12" s="1855"/>
      <c r="K12" s="1855"/>
      <c r="L12" s="1855"/>
      <c r="M12" s="1855"/>
      <c r="N12" s="1855"/>
      <c r="O12" s="1855"/>
      <c r="P12" s="1855"/>
      <c r="Q12" s="1855"/>
      <c r="R12" s="1855"/>
      <c r="S12" s="1855"/>
    </row>
    <row r="13" ht="14.75" spans="1:19">
      <c r="A13" s="1874">
        <f>'数据-取费表'!AN13</f>
        <v>0</v>
      </c>
      <c r="B13" s="989" t="e">
        <f ca="1">IF(F13="是",'数据-取费表'!AO13,0)</f>
        <v>#REF!</v>
      </c>
      <c r="C13" s="1875" t="s">
        <v>1577</v>
      </c>
      <c r="D13" s="1876"/>
      <c r="E13" s="1872">
        <f>IF(OR(A13=0,F13="否"),0,'数据-取费表'!K13+'数据-取费表'!S13)</f>
        <v>0</v>
      </c>
      <c r="F13" s="1873" t="s">
        <v>1584</v>
      </c>
      <c r="G13" s="1855"/>
      <c r="H13" s="1855"/>
      <c r="I13" s="1855"/>
      <c r="J13" s="1855"/>
      <c r="K13" s="1855"/>
      <c r="L13" s="1855"/>
      <c r="M13" s="1855"/>
      <c r="N13" s="1855"/>
      <c r="O13" s="1855"/>
      <c r="P13" s="1855"/>
      <c r="Q13" s="1855"/>
      <c r="R13" s="1855"/>
      <c r="S13" s="1855"/>
    </row>
    <row r="14" spans="1:22">
      <c r="A14" s="1855"/>
      <c r="B14" s="1855"/>
      <c r="C14" s="1855"/>
      <c r="D14" s="1855"/>
      <c r="E14" s="1855"/>
      <c r="F14" s="1855"/>
      <c r="G14" s="1855"/>
      <c r="H14" s="1855"/>
      <c r="I14" s="1855"/>
      <c r="J14" s="1855"/>
      <c r="K14" s="1855"/>
      <c r="L14" s="1855"/>
      <c r="M14" s="1855"/>
      <c r="N14" s="1855"/>
      <c r="O14" s="1855"/>
      <c r="P14" s="1855"/>
      <c r="Q14" s="1855"/>
      <c r="R14" s="1855"/>
      <c r="S14" s="1855"/>
      <c r="T14" s="1855"/>
      <c r="U14" s="1855"/>
      <c r="V14" s="1855"/>
    </row>
    <row r="15" spans="1:22">
      <c r="A15" s="1855"/>
      <c r="B15" s="1855"/>
      <c r="C15" s="1855"/>
      <c r="D15" s="1855"/>
      <c r="E15" s="1855"/>
      <c r="F15" s="1855"/>
      <c r="G15" s="1855"/>
      <c r="H15" s="1855"/>
      <c r="I15" s="1855"/>
      <c r="J15" s="1855"/>
      <c r="K15" s="1855"/>
      <c r="L15" s="1855"/>
      <c r="M15" s="1855"/>
      <c r="N15" s="1855"/>
      <c r="O15" s="1855"/>
      <c r="P15" s="1855"/>
      <c r="Q15" s="1855"/>
      <c r="R15" s="1855"/>
      <c r="S15" s="1855"/>
      <c r="T15" s="1855"/>
      <c r="U15" s="1855"/>
      <c r="V15" s="1855"/>
    </row>
    <row r="16" spans="1:22">
      <c r="A16" s="1855"/>
      <c r="B16" s="1855"/>
      <c r="C16" s="1855"/>
      <c r="D16" s="1855"/>
      <c r="E16" s="1855"/>
      <c r="F16" s="1855"/>
      <c r="G16" s="1855"/>
      <c r="H16" s="1855"/>
      <c r="I16" s="1855"/>
      <c r="J16" s="1855"/>
      <c r="K16" s="1855"/>
      <c r="L16" s="1855"/>
      <c r="M16" s="1855"/>
      <c r="N16" s="1855"/>
      <c r="O16" s="1855"/>
      <c r="P16" s="1855"/>
      <c r="Q16" s="1855"/>
      <c r="R16" s="1855"/>
      <c r="S16" s="1855"/>
      <c r="T16" s="1855"/>
      <c r="U16" s="1855"/>
      <c r="V16" s="1855"/>
    </row>
    <row r="17" spans="1:22">
      <c r="A17" s="1855"/>
      <c r="B17" s="1855"/>
      <c r="C17" s="1855"/>
      <c r="D17" s="1855"/>
      <c r="E17" s="1855"/>
      <c r="F17" s="1855"/>
      <c r="G17" s="1855"/>
      <c r="H17" s="1855"/>
      <c r="I17" s="1855"/>
      <c r="J17" s="1855"/>
      <c r="K17" s="1855"/>
      <c r="L17" s="1855"/>
      <c r="M17" s="1855"/>
      <c r="N17" s="1855"/>
      <c r="O17" s="1855"/>
      <c r="P17" s="1855"/>
      <c r="Q17" s="1855"/>
      <c r="R17" s="1855"/>
      <c r="S17" s="1855"/>
      <c r="T17" s="1855"/>
      <c r="U17" s="1855"/>
      <c r="V17" s="1855"/>
    </row>
    <row r="18" spans="1:22">
      <c r="A18" s="1855"/>
      <c r="B18" s="1855"/>
      <c r="C18" s="1855"/>
      <c r="D18" s="1855"/>
      <c r="E18" s="1855"/>
      <c r="F18" s="1855"/>
      <c r="G18" s="1855"/>
      <c r="H18" s="1855"/>
      <c r="I18" s="1855"/>
      <c r="J18" s="1855"/>
      <c r="K18" s="1855"/>
      <c r="L18" s="1855"/>
      <c r="M18" s="1855"/>
      <c r="N18" s="1855"/>
      <c r="O18" s="1855"/>
      <c r="P18" s="1855"/>
      <c r="Q18" s="1855"/>
      <c r="R18" s="1855"/>
      <c r="S18" s="1855"/>
      <c r="T18" s="1855"/>
      <c r="U18" s="1855"/>
      <c r="V18" s="1855"/>
    </row>
    <row r="19" spans="1:22">
      <c r="A19" s="1855"/>
      <c r="B19" s="1855"/>
      <c r="C19" s="1855"/>
      <c r="D19" s="1855"/>
      <c r="E19" s="1855"/>
      <c r="F19" s="1855"/>
      <c r="G19" s="1855"/>
      <c r="H19" s="1855"/>
      <c r="I19" s="1855"/>
      <c r="J19" s="1855"/>
      <c r="K19" s="1855"/>
      <c r="L19" s="1855"/>
      <c r="M19" s="1855"/>
      <c r="N19" s="1855"/>
      <c r="O19" s="1855"/>
      <c r="P19" s="1855"/>
      <c r="Q19" s="1855"/>
      <c r="R19" s="1855"/>
      <c r="S19" s="1855"/>
      <c r="T19" s="1855"/>
      <c r="U19" s="1855"/>
      <c r="V19" s="1855"/>
    </row>
    <row r="20" spans="1:22">
      <c r="A20" s="1855"/>
      <c r="B20" s="1855"/>
      <c r="C20" s="1855"/>
      <c r="D20" s="1855"/>
      <c r="E20" s="1855"/>
      <c r="F20" s="1855"/>
      <c r="G20" s="1855"/>
      <c r="H20" s="1855"/>
      <c r="I20" s="1855"/>
      <c r="J20" s="1855"/>
      <c r="K20" s="1855"/>
      <c r="L20" s="1855"/>
      <c r="M20" s="1855"/>
      <c r="N20" s="1855"/>
      <c r="O20" s="1855"/>
      <c r="P20" s="1855"/>
      <c r="Q20" s="1855"/>
      <c r="R20" s="1855"/>
      <c r="S20" s="1855"/>
      <c r="T20" s="1855"/>
      <c r="U20" s="1855"/>
      <c r="V20" s="1855"/>
    </row>
    <row r="21" spans="1:22">
      <c r="A21" s="1855"/>
      <c r="B21" s="1855"/>
      <c r="C21" s="1855"/>
      <c r="D21" s="1855"/>
      <c r="E21" s="1855"/>
      <c r="F21" s="1855"/>
      <c r="G21" s="1855"/>
      <c r="H21" s="1855"/>
      <c r="I21" s="1855"/>
      <c r="J21" s="1855"/>
      <c r="K21" s="1855"/>
      <c r="L21" s="1855"/>
      <c r="M21" s="1855"/>
      <c r="N21" s="1855"/>
      <c r="O21" s="1855"/>
      <c r="P21" s="1855"/>
      <c r="Q21" s="1855"/>
      <c r="R21" s="1855"/>
      <c r="S21" s="1855"/>
      <c r="T21" s="1855"/>
      <c r="U21" s="1855"/>
      <c r="V21" s="1855"/>
    </row>
    <row r="22" spans="1:22">
      <c r="A22" s="1855"/>
      <c r="B22" s="1855"/>
      <c r="C22" s="1855"/>
      <c r="D22" s="1855"/>
      <c r="E22" s="1855"/>
      <c r="F22" s="1855"/>
      <c r="G22" s="1855"/>
      <c r="H22" s="1855"/>
      <c r="I22" s="1855"/>
      <c r="J22" s="1855"/>
      <c r="K22" s="1855"/>
      <c r="L22" s="1855"/>
      <c r="M22" s="1855"/>
      <c r="N22" s="1855"/>
      <c r="O22" s="1855"/>
      <c r="P22" s="1855"/>
      <c r="Q22" s="1855"/>
      <c r="R22" s="1855"/>
      <c r="S22" s="1855"/>
      <c r="T22" s="1855"/>
      <c r="U22" s="1855"/>
      <c r="V22" s="1855"/>
    </row>
    <row r="23" spans="1:22">
      <c r="A23" s="1855"/>
      <c r="B23" s="1855"/>
      <c r="C23" s="1855"/>
      <c r="D23" s="1855"/>
      <c r="E23" s="1855"/>
      <c r="F23" s="1855"/>
      <c r="G23" s="1855"/>
      <c r="H23" s="1855"/>
      <c r="I23" s="1855"/>
      <c r="J23" s="1855"/>
      <c r="K23" s="1855"/>
      <c r="L23" s="1855"/>
      <c r="M23" s="1855"/>
      <c r="N23" s="1855"/>
      <c r="O23" s="1855"/>
      <c r="P23" s="1855"/>
      <c r="Q23" s="1855"/>
      <c r="R23" s="1855"/>
      <c r="S23" s="1855"/>
      <c r="T23" s="1855"/>
      <c r="U23" s="1855"/>
      <c r="V23" s="1855"/>
    </row>
    <row r="24" spans="1:22">
      <c r="A24" s="1855"/>
      <c r="B24" s="1855"/>
      <c r="C24" s="1855"/>
      <c r="D24" s="1855"/>
      <c r="E24" s="1855"/>
      <c r="F24" s="1855"/>
      <c r="G24" s="1855"/>
      <c r="H24" s="1855"/>
      <c r="I24" s="1855"/>
      <c r="J24" s="1855"/>
      <c r="K24" s="1855"/>
      <c r="L24" s="1855"/>
      <c r="M24" s="1855"/>
      <c r="N24" s="1855"/>
      <c r="O24" s="1855"/>
      <c r="P24" s="1855"/>
      <c r="Q24" s="1855"/>
      <c r="R24" s="1855"/>
      <c r="S24" s="1855"/>
      <c r="T24" s="1855"/>
      <c r="U24" s="1855"/>
      <c r="V24" s="1855"/>
    </row>
    <row r="25" spans="1:22">
      <c r="A25" s="1855"/>
      <c r="B25" s="1855"/>
      <c r="C25" s="1855"/>
      <c r="D25" s="1855"/>
      <c r="E25" s="1855"/>
      <c r="F25" s="1855"/>
      <c r="G25" s="1855"/>
      <c r="H25" s="1855"/>
      <c r="I25" s="1855"/>
      <c r="J25" s="1855"/>
      <c r="K25" s="1855"/>
      <c r="L25" s="1855"/>
      <c r="M25" s="1855"/>
      <c r="N25" s="1855"/>
      <c r="O25" s="1855"/>
      <c r="P25" s="1855"/>
      <c r="Q25" s="1855"/>
      <c r="R25" s="1855"/>
      <c r="S25" s="1855"/>
      <c r="T25" s="1855"/>
      <c r="U25" s="1855"/>
      <c r="V25" s="1855"/>
    </row>
    <row r="26" spans="1:22">
      <c r="A26" s="1855"/>
      <c r="B26" s="1855"/>
      <c r="C26" s="1855"/>
      <c r="D26" s="1855"/>
      <c r="E26" s="1855"/>
      <c r="F26" s="1855"/>
      <c r="G26" s="1855"/>
      <c r="H26" s="1855"/>
      <c r="I26" s="1855"/>
      <c r="J26" s="1855"/>
      <c r="K26" s="1855"/>
      <c r="L26" s="1855"/>
      <c r="M26" s="1855"/>
      <c r="N26" s="1855"/>
      <c r="O26" s="1855"/>
      <c r="P26" s="1855"/>
      <c r="Q26" s="1855"/>
      <c r="R26" s="1855"/>
      <c r="S26" s="1855"/>
      <c r="T26" s="1855"/>
      <c r="U26" s="1855"/>
      <c r="V26" s="1855"/>
    </row>
    <row r="27" spans="1:22">
      <c r="A27" s="1855"/>
      <c r="B27" s="1855"/>
      <c r="C27" s="1855"/>
      <c r="D27" s="1855"/>
      <c r="E27" s="1855"/>
      <c r="F27" s="1855"/>
      <c r="G27" s="1855"/>
      <c r="H27" s="1855"/>
      <c r="I27" s="1855"/>
      <c r="J27" s="1855"/>
      <c r="K27" s="1855"/>
      <c r="L27" s="1855"/>
      <c r="M27" s="1855"/>
      <c r="N27" s="1855"/>
      <c r="O27" s="1855"/>
      <c r="P27" s="1855"/>
      <c r="Q27" s="1855"/>
      <c r="R27" s="1855"/>
      <c r="S27" s="1855"/>
      <c r="T27" s="1855"/>
      <c r="U27" s="1855"/>
      <c r="V27" s="1855"/>
    </row>
    <row r="28" spans="1:22">
      <c r="A28" s="1855"/>
      <c r="B28" s="1855"/>
      <c r="C28" s="1855"/>
      <c r="D28" s="1855"/>
      <c r="E28" s="1855"/>
      <c r="F28" s="1855"/>
      <c r="G28" s="1855"/>
      <c r="H28" s="1855"/>
      <c r="I28" s="1855"/>
      <c r="J28" s="1855"/>
      <c r="K28" s="1855"/>
      <c r="L28" s="1855"/>
      <c r="M28" s="1855"/>
      <c r="N28" s="1855"/>
      <c r="O28" s="1855"/>
      <c r="P28" s="1855"/>
      <c r="Q28" s="1855"/>
      <c r="R28" s="1855"/>
      <c r="S28" s="1855"/>
      <c r="T28" s="1855"/>
      <c r="U28" s="1855"/>
      <c r="V28" s="1855"/>
    </row>
    <row r="29" spans="1:22">
      <c r="A29" s="1855"/>
      <c r="B29" s="1855"/>
      <c r="C29" s="1855"/>
      <c r="D29" s="1855"/>
      <c r="E29" s="1855"/>
      <c r="F29" s="1855"/>
      <c r="G29" s="1855"/>
      <c r="H29" s="1855"/>
      <c r="I29" s="1855"/>
      <c r="J29" s="1855"/>
      <c r="K29" s="1855"/>
      <c r="L29" s="1855"/>
      <c r="M29" s="1855"/>
      <c r="N29" s="1855"/>
      <c r="O29" s="1855"/>
      <c r="P29" s="1855"/>
      <c r="Q29" s="1855"/>
      <c r="R29" s="1855"/>
      <c r="S29" s="1855"/>
      <c r="T29" s="1855"/>
      <c r="U29" s="1855"/>
      <c r="V29" s="1855"/>
    </row>
    <row r="30" spans="1:22">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row>
    <row r="31" spans="1:22">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33" customWidth="1"/>
    <col min="2" max="3" width="15.7545454545455" style="1133" customWidth="1"/>
    <col min="4" max="4" width="12.2545454545455" style="1133" customWidth="1"/>
    <col min="5" max="5" width="17.1272727272727" style="1133" customWidth="1"/>
    <col min="6" max="6" width="12.2545454545455" style="1133" customWidth="1"/>
    <col min="7" max="7" width="16.5" style="1133" customWidth="1"/>
    <col min="8" max="8" width="12.2545454545455" style="1133" customWidth="1"/>
    <col min="9" max="9" width="15.6272727272727"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767"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1005</v>
      </c>
      <c r="B1" s="1768" t="s">
        <v>1585</v>
      </c>
      <c r="C1" s="1608" t="s">
        <v>1007</v>
      </c>
      <c r="D1" s="1551"/>
      <c r="E1" s="1769"/>
      <c r="F1" s="1553"/>
      <c r="G1" s="1554" t="s">
        <v>1011</v>
      </c>
      <c r="H1" s="1555"/>
      <c r="I1" s="1555"/>
      <c r="J1" s="1555"/>
      <c r="K1" s="1606"/>
      <c r="L1" s="1607"/>
      <c r="M1" s="1608"/>
      <c r="N1" s="1608"/>
      <c r="O1" s="1608"/>
      <c r="P1" s="1781"/>
      <c r="Q1" s="1550"/>
      <c r="R1" s="1550"/>
      <c r="S1" s="1550"/>
      <c r="T1" s="1550"/>
      <c r="U1" s="1550"/>
      <c r="V1" s="1550"/>
      <c r="W1" s="1550"/>
      <c r="X1" s="1550"/>
      <c r="Y1" s="1550"/>
      <c r="Z1" s="1550"/>
      <c r="AA1" s="1550"/>
      <c r="AB1" s="1550"/>
      <c r="AC1" s="1615"/>
    </row>
    <row r="2" s="1766" customFormat="1" ht="28.5" customHeight="1" spans="1:29">
      <c r="A2" s="1556" t="s">
        <v>1012</v>
      </c>
      <c r="B2" s="1770"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1013</v>
      </c>
      <c r="F2" s="1560"/>
      <c r="G2" s="1506"/>
      <c r="H2" s="1506"/>
      <c r="I2" s="1506"/>
      <c r="J2" s="1506"/>
      <c r="K2" s="1782"/>
      <c r="L2" s="1783"/>
      <c r="M2" s="1784"/>
      <c r="N2" s="1784"/>
      <c r="O2" s="1784"/>
      <c r="P2" s="1785"/>
      <c r="Q2" s="1803"/>
      <c r="R2" s="1803"/>
      <c r="S2" s="1803"/>
      <c r="T2" s="1803"/>
      <c r="U2" s="1803"/>
      <c r="V2" s="1803"/>
      <c r="W2" s="1803"/>
      <c r="X2" s="1803"/>
      <c r="Y2" s="1803"/>
      <c r="Z2" s="1803"/>
      <c r="AA2" s="1803"/>
      <c r="AB2" s="1803"/>
      <c r="AC2" s="1804"/>
    </row>
    <row r="3" s="1766" customFormat="1" ht="28.5" customHeight="1" spans="1:29">
      <c r="A3" s="409" t="s">
        <v>1014</v>
      </c>
      <c r="B3" s="1562">
        <f ca="1">IF(C2="——",C49,ROUND(B2*10000/D3,0))</f>
        <v>0</v>
      </c>
      <c r="C3" s="1561" t="s">
        <v>1015</v>
      </c>
      <c r="D3" s="1562">
        <f>IF(D1="",'数据-汇总表'!E3,SUMIF('数据-汇总表'!$C19:$C33,D1,'数据-汇总表'!$E19:$E33))</f>
        <v>54377.37</v>
      </c>
      <c r="E3" s="1506"/>
      <c r="F3" s="1771"/>
      <c r="G3" s="1506"/>
      <c r="H3" s="1506"/>
      <c r="I3" s="1506"/>
      <c r="J3" s="1506"/>
      <c r="K3" s="1782"/>
      <c r="L3" s="1783"/>
      <c r="M3" s="1784"/>
      <c r="N3" s="1784"/>
      <c r="O3" s="1784"/>
      <c r="P3" s="1785"/>
      <c r="Q3" s="1803"/>
      <c r="R3" s="1803"/>
      <c r="S3" s="1803"/>
      <c r="T3" s="1803"/>
      <c r="U3" s="1803"/>
      <c r="V3" s="1803"/>
      <c r="W3" s="1803"/>
      <c r="X3" s="1803"/>
      <c r="Y3" s="1803"/>
      <c r="Z3" s="1803"/>
      <c r="AA3" s="1803"/>
      <c r="AB3" s="1803"/>
      <c r="AC3" s="1805"/>
    </row>
    <row r="4" spans="1:29">
      <c r="A4" s="1146" t="s">
        <v>1016</v>
      </c>
      <c r="B4" s="1147"/>
      <c r="C4" s="1148" t="s">
        <v>1017</v>
      </c>
      <c r="D4" s="1149"/>
      <c r="E4" s="1150" t="s">
        <v>1018</v>
      </c>
      <c r="F4" s="1151"/>
      <c r="G4" s="1148" t="s">
        <v>1019</v>
      </c>
      <c r="H4" s="1149"/>
      <c r="I4" s="1148" t="s">
        <v>1020</v>
      </c>
      <c r="J4" s="1149"/>
      <c r="K4" s="1786" t="s">
        <v>1021</v>
      </c>
      <c r="L4" s="1306"/>
      <c r="M4" s="1307"/>
      <c r="N4" s="1307"/>
      <c r="O4" s="1307"/>
      <c r="P4" s="1308" t="s">
        <v>1022</v>
      </c>
      <c r="Q4" s="1356"/>
      <c r="R4" s="1357" t="s">
        <v>1018</v>
      </c>
      <c r="S4" s="1358"/>
      <c r="T4" s="1357" t="s">
        <v>1019</v>
      </c>
      <c r="U4" s="1358"/>
      <c r="V4" s="1346" t="s">
        <v>1020</v>
      </c>
      <c r="W4" s="1346"/>
      <c r="X4" s="1359"/>
      <c r="Y4" s="1357" t="s">
        <v>1022</v>
      </c>
      <c r="Z4" s="1358"/>
      <c r="AA4" s="1384" t="s">
        <v>1018</v>
      </c>
      <c r="AB4" s="1384" t="s">
        <v>1019</v>
      </c>
      <c r="AC4" s="1384" t="s">
        <v>1020</v>
      </c>
    </row>
    <row r="5" spans="1:29">
      <c r="A5" s="1152"/>
      <c r="B5" s="1153"/>
      <c r="C5" s="1154" t="s">
        <v>1023</v>
      </c>
      <c r="D5" s="1155"/>
      <c r="E5" s="1156" t="s">
        <v>1586</v>
      </c>
      <c r="F5" s="1157"/>
      <c r="G5" s="1154" t="s">
        <v>1587</v>
      </c>
      <c r="H5" s="1155"/>
      <c r="I5" s="1154" t="s">
        <v>1588</v>
      </c>
      <c r="J5" s="1155"/>
      <c r="K5" s="1787"/>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1027</v>
      </c>
      <c r="D6" s="1508"/>
      <c r="E6" s="1509" t="s">
        <v>1027</v>
      </c>
      <c r="F6" s="1510"/>
      <c r="G6" s="1507" t="s">
        <v>1027</v>
      </c>
      <c r="H6" s="1508"/>
      <c r="I6" s="1507" t="s">
        <v>1027</v>
      </c>
      <c r="J6" s="1508"/>
      <c r="K6" s="1787" t="s">
        <v>1028</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1029</v>
      </c>
      <c r="B7" s="1165"/>
      <c r="C7" s="1166">
        <f>'数据-取费表'!B2</f>
        <v>45861</v>
      </c>
      <c r="D7" s="1167">
        <v>100</v>
      </c>
      <c r="E7" s="1168"/>
      <c r="F7" s="1169">
        <f>SUMIF(58:58,YEAR(E7)&amp;"-"&amp;MONTH(E7),59:59)</f>
        <v>0</v>
      </c>
      <c r="G7" s="1168"/>
      <c r="H7" s="1167">
        <f>SUMIF(58:58,YEAR(G7)&amp;"-"&amp;MONTH(G7),59:59)</f>
        <v>0</v>
      </c>
      <c r="I7" s="1168"/>
      <c r="J7" s="1167">
        <f>SUMIF(58:58,YEAR(I7)&amp;"-"&amp;MONTH(I7),59:59)</f>
        <v>0</v>
      </c>
      <c r="K7" s="1788"/>
      <c r="L7" s="1312"/>
      <c r="M7" s="1313"/>
      <c r="N7" s="1313"/>
      <c r="O7" s="1313"/>
      <c r="P7" s="1314" t="s">
        <v>1030</v>
      </c>
      <c r="Q7" s="1366"/>
      <c r="R7" s="1367" t="s">
        <v>1031</v>
      </c>
      <c r="S7" s="1368">
        <f t="shared" ref="S7:S15" si="0">F7</f>
        <v>0</v>
      </c>
      <c r="T7" s="1367" t="s">
        <v>1031</v>
      </c>
      <c r="U7" s="1368">
        <f t="shared" ref="U7:U15" si="1">H7</f>
        <v>0</v>
      </c>
      <c r="V7" s="1367" t="s">
        <v>1031</v>
      </c>
      <c r="W7" s="1368">
        <f t="shared" ref="W7:W15" si="2">J7</f>
        <v>0</v>
      </c>
      <c r="X7" s="1369"/>
      <c r="Y7" s="1314" t="s">
        <v>1030</v>
      </c>
      <c r="Z7" s="1370"/>
      <c r="AA7" s="1386" t="e">
        <f>D7/F7</f>
        <v>#DIV/0!</v>
      </c>
      <c r="AB7" s="1386" t="e">
        <f>D7/H7</f>
        <v>#DIV/0!</v>
      </c>
      <c r="AC7" s="1386" t="e">
        <f>D7/J7</f>
        <v>#DIV/0!</v>
      </c>
    </row>
    <row r="8" s="1127" customFormat="1" ht="14.75" spans="1:29">
      <c r="A8" s="1164" t="s">
        <v>1032</v>
      </c>
      <c r="B8" s="1165"/>
      <c r="C8" s="1171"/>
      <c r="D8" s="1167">
        <v>100</v>
      </c>
      <c r="E8" s="1772"/>
      <c r="F8" s="1169">
        <f>SUMIF(61:61,E8,62:62)-SUMIF(61:61,C8,62:62)+100</f>
        <v>100</v>
      </c>
      <c r="G8" s="1171"/>
      <c r="H8" s="1167">
        <f>SUMIF(61:61,G8,62:62)-SUMIF(61:61,C8,62:62)+100</f>
        <v>100</v>
      </c>
      <c r="I8" s="1772"/>
      <c r="J8" s="1167">
        <f>SUMIF(61:61,I8,62:62)-SUMIF(61:61,C8,62:62)+100</f>
        <v>100</v>
      </c>
      <c r="K8" s="1788"/>
      <c r="L8" s="1312"/>
      <c r="M8" s="1313"/>
      <c r="N8" s="1313"/>
      <c r="O8" s="1313"/>
      <c r="P8" s="1314" t="s">
        <v>1034</v>
      </c>
      <c r="Q8" s="1370"/>
      <c r="R8" s="1367" t="s">
        <v>1031</v>
      </c>
      <c r="S8" s="1368">
        <f t="shared" si="0"/>
        <v>100</v>
      </c>
      <c r="T8" s="1367" t="s">
        <v>1031</v>
      </c>
      <c r="U8" s="1368">
        <f t="shared" si="1"/>
        <v>100</v>
      </c>
      <c r="V8" s="1367" t="s">
        <v>1031</v>
      </c>
      <c r="W8" s="1368">
        <f t="shared" si="2"/>
        <v>100</v>
      </c>
      <c r="X8" s="1369"/>
      <c r="Y8" s="1314" t="s">
        <v>1034</v>
      </c>
      <c r="Z8" s="1370"/>
      <c r="AA8" s="1386">
        <f t="shared" ref="AA8:AA19" si="3">D8/F8</f>
        <v>1</v>
      </c>
      <c r="AB8" s="1386">
        <f t="shared" ref="AB8:AB19" si="4">D8/H8</f>
        <v>1</v>
      </c>
      <c r="AC8" s="1386">
        <f t="shared" ref="AC8:AC19" si="5">D8/J8</f>
        <v>1</v>
      </c>
    </row>
    <row r="9" s="1127" customFormat="1" spans="1:29">
      <c r="A9" s="1172" t="s">
        <v>1035</v>
      </c>
      <c r="B9" s="1173" t="s">
        <v>1036</v>
      </c>
      <c r="C9" s="1563"/>
      <c r="D9" s="1175">
        <v>100</v>
      </c>
      <c r="E9" s="1633"/>
      <c r="F9" s="1565">
        <f>SUMIF(63:63,E9,64:64)-SUMIF(63:63,C9,64:64)+100</f>
        <v>100</v>
      </c>
      <c r="G9" s="1564"/>
      <c r="H9" s="1175">
        <f>SUMIF(63:63,G9,64:64)-SUMIF(63:63,C9,64:64)+100</f>
        <v>100</v>
      </c>
      <c r="I9" s="1564"/>
      <c r="J9" s="1175">
        <f>SUMIF(63:63,I9,64:64)-SUMIF(63:63,C9,64:64)+100</f>
        <v>100</v>
      </c>
      <c r="K9" s="1788"/>
      <c r="L9" s="1312"/>
      <c r="M9" s="1313"/>
      <c r="N9" s="1313"/>
      <c r="O9" s="1313"/>
      <c r="P9" s="1274" t="s">
        <v>1037</v>
      </c>
      <c r="Q9" s="1371" t="str">
        <f t="shared" ref="Q9:Q15" si="6">B9</f>
        <v>用途</v>
      </c>
      <c r="R9" s="1367" t="s">
        <v>1031</v>
      </c>
      <c r="S9" s="1368">
        <f t="shared" si="0"/>
        <v>100</v>
      </c>
      <c r="T9" s="1367" t="s">
        <v>1031</v>
      </c>
      <c r="U9" s="1368">
        <f t="shared" si="1"/>
        <v>100</v>
      </c>
      <c r="V9" s="1367" t="s">
        <v>1031</v>
      </c>
      <c r="W9" s="1368">
        <f t="shared" si="2"/>
        <v>100</v>
      </c>
      <c r="X9" s="1369"/>
      <c r="Y9" s="1371" t="s">
        <v>1038</v>
      </c>
      <c r="Z9" s="1387" t="str">
        <f t="shared" ref="Z9:Z15" si="7">Q9</f>
        <v>用途</v>
      </c>
      <c r="AA9" s="1386">
        <f t="shared" si="3"/>
        <v>1</v>
      </c>
      <c r="AB9" s="1386">
        <f t="shared" si="4"/>
        <v>1</v>
      </c>
      <c r="AC9" s="1386">
        <f t="shared" si="5"/>
        <v>1</v>
      </c>
    </row>
    <row r="10" s="1128" customFormat="1" ht="28" spans="1:29">
      <c r="A10" s="1176"/>
      <c r="B10" s="1177" t="s">
        <v>1039</v>
      </c>
      <c r="C10" s="1566"/>
      <c r="D10" s="1179">
        <v>100</v>
      </c>
      <c r="E10" s="1636"/>
      <c r="F10" s="1567">
        <f>SUMIF(65:65,E10,66:66)-SUMIF(65:65,C10,66:66)+100</f>
        <v>100</v>
      </c>
      <c r="G10" s="1566"/>
      <c r="H10" s="1179">
        <f>SUMIF(65:65,G10,66:66)-SUMIF(65:65,C10,66:66)+100</f>
        <v>100</v>
      </c>
      <c r="I10" s="1566"/>
      <c r="J10" s="1179">
        <f>SUMIF(65:65,I10,66:66)-SUMIF(65:65,C10,66:66)+100</f>
        <v>100</v>
      </c>
      <c r="K10" s="1788"/>
      <c r="L10" s="1317"/>
      <c r="M10" s="1318"/>
      <c r="N10" s="1318"/>
      <c r="O10" s="1318"/>
      <c r="P10" s="1274"/>
      <c r="Q10" s="1371" t="str">
        <f t="shared" si="6"/>
        <v>土地使用年限（年）</v>
      </c>
      <c r="R10" s="1367" t="s">
        <v>1031</v>
      </c>
      <c r="S10" s="1368">
        <f t="shared" si="0"/>
        <v>100</v>
      </c>
      <c r="T10" s="1367" t="s">
        <v>1031</v>
      </c>
      <c r="U10" s="1368">
        <f t="shared" si="1"/>
        <v>100</v>
      </c>
      <c r="V10" s="1367" t="s">
        <v>1031</v>
      </c>
      <c r="W10" s="1368">
        <f t="shared" si="2"/>
        <v>100</v>
      </c>
      <c r="X10" s="1369"/>
      <c r="Y10" s="1371"/>
      <c r="Z10" s="1387" t="str">
        <f t="shared" si="7"/>
        <v>土地使用年限（年）</v>
      </c>
      <c r="AA10" s="1386">
        <f t="shared" si="3"/>
        <v>1</v>
      </c>
      <c r="AB10" s="1386">
        <f t="shared" si="4"/>
        <v>1</v>
      </c>
      <c r="AC10" s="1386">
        <f t="shared" si="5"/>
        <v>1</v>
      </c>
    </row>
    <row r="11" ht="15.5" spans="1:29">
      <c r="A11" s="1180"/>
      <c r="B11" s="1177" t="s">
        <v>1042</v>
      </c>
      <c r="C11" s="1182"/>
      <c r="D11" s="1179">
        <v>100</v>
      </c>
      <c r="E11" s="1183"/>
      <c r="F11" s="1567" t="e">
        <f>LOOKUP(E11,68:68,69:69)-LOOKUP(C11,68:68,69:69)+100</f>
        <v>#N/A</v>
      </c>
      <c r="G11" s="1182"/>
      <c r="H11" s="1179" t="e">
        <f>LOOKUP(G11,68:68,69:69)-LOOKUP(C11,68:68,69:69)+100</f>
        <v>#N/A</v>
      </c>
      <c r="I11" s="1182"/>
      <c r="J11" s="1179" t="e">
        <f>LOOKUP(I11,68:68,69:69)-LOOKUP(C11,68:68,69:69)+100</f>
        <v>#N/A</v>
      </c>
      <c r="K11" s="1789"/>
      <c r="L11" s="1321"/>
      <c r="M11" s="1307"/>
      <c r="N11" s="1307"/>
      <c r="O11" s="1307"/>
      <c r="P11" s="1274"/>
      <c r="Q11" s="1371" t="str">
        <f t="shared" si="6"/>
        <v>容积率</v>
      </c>
      <c r="R11" s="1367" t="s">
        <v>1031</v>
      </c>
      <c r="S11" s="1368" t="e">
        <f t="shared" si="0"/>
        <v>#N/A</v>
      </c>
      <c r="T11" s="1367" t="s">
        <v>1031</v>
      </c>
      <c r="U11" s="1368" t="e">
        <f t="shared" si="1"/>
        <v>#N/A</v>
      </c>
      <c r="V11" s="1367" t="s">
        <v>1031</v>
      </c>
      <c r="W11" s="1368" t="e">
        <f t="shared" si="2"/>
        <v>#N/A</v>
      </c>
      <c r="X11" s="1369"/>
      <c r="Y11" s="1371"/>
      <c r="Z11" s="1387" t="str">
        <f t="shared" si="7"/>
        <v>容积率</v>
      </c>
      <c r="AA11" s="1386" t="e">
        <f t="shared" si="3"/>
        <v>#N/A</v>
      </c>
      <c r="AB11" s="1386" t="e">
        <f t="shared" si="4"/>
        <v>#N/A</v>
      </c>
      <c r="AC11" s="1386" t="e">
        <f t="shared" si="5"/>
        <v>#N/A</v>
      </c>
    </row>
    <row r="12" s="1127" customFormat="1" ht="15.5" spans="1:29">
      <c r="A12" s="1184"/>
      <c r="B12" s="1185">
        <v>111</v>
      </c>
      <c r="C12" s="1178"/>
      <c r="D12" s="1186">
        <v>100</v>
      </c>
      <c r="E12" s="1178"/>
      <c r="F12" s="1567">
        <f>SUMIF(70:70,E12,71:71)-SUMIF(70:70,C12,71:71)+100</f>
        <v>100</v>
      </c>
      <c r="G12" s="1178"/>
      <c r="H12" s="1179">
        <f>SUMIF(70:70,G12,71:71)-SUMIF(70:70,C12,71:71)+100</f>
        <v>100</v>
      </c>
      <c r="I12" s="1178"/>
      <c r="J12" s="1179">
        <f>SUMIF(70:70,I12,71:71)-SUMIF(70:70,C12,71:71)+100</f>
        <v>100</v>
      </c>
      <c r="K12" s="1790"/>
      <c r="L12" s="1312"/>
      <c r="M12" s="1313"/>
      <c r="N12" s="1313"/>
      <c r="O12" s="1313"/>
      <c r="P12" s="1274"/>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567">
        <f>SUMIF(72:72,E13,73:73)-SUMIF(72:72,C13,73:73)+100</f>
        <v>100</v>
      </c>
      <c r="G13" s="1189"/>
      <c r="H13" s="1190">
        <f>SUMIF(72:72,G13,73:73)-SUMIF(72:72,C13,73:73)+100</f>
        <v>100</v>
      </c>
      <c r="I13" s="1189"/>
      <c r="J13" s="1190">
        <f>SUMIF(72:72,I13,73:73)-SUMIF(72:72,C13,73:73)+100</f>
        <v>100</v>
      </c>
      <c r="K13" s="1790"/>
      <c r="L13" s="1323"/>
      <c r="M13" s="1307"/>
      <c r="N13" s="1307"/>
      <c r="O13" s="1307"/>
      <c r="P13" s="1274"/>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587">
        <f>SUMIF(74:74,E14,75:75)-SUMIF(74:74,C14,75:75)+100</f>
        <v>100</v>
      </c>
      <c r="G14" s="1193"/>
      <c r="H14" s="1194">
        <f>SUMIF(74:74,G14,75:75)-SUMIF(74:74,C14,75:75)+100</f>
        <v>100</v>
      </c>
      <c r="I14" s="1193"/>
      <c r="J14" s="1194">
        <f>SUMIF(74:74,I14,75:75)-SUMIF(74:74,C14,75:75)+100</f>
        <v>100</v>
      </c>
      <c r="K14" s="1790"/>
      <c r="L14" s="1323"/>
      <c r="M14" s="1307"/>
      <c r="N14" s="1307"/>
      <c r="O14" s="1307"/>
      <c r="P14" s="1274"/>
      <c r="Q14" s="1371">
        <f t="shared" si="6"/>
        <v>111</v>
      </c>
      <c r="R14" s="1367" t="s">
        <v>1031</v>
      </c>
      <c r="S14" s="1368">
        <f t="shared" si="0"/>
        <v>100</v>
      </c>
      <c r="T14" s="1367" t="s">
        <v>1031</v>
      </c>
      <c r="U14" s="1368">
        <f t="shared" si="1"/>
        <v>100</v>
      </c>
      <c r="V14" s="1367" t="s">
        <v>1031</v>
      </c>
      <c r="W14" s="1368">
        <f t="shared" si="2"/>
        <v>100</v>
      </c>
      <c r="X14" s="1369"/>
      <c r="Y14" s="1371"/>
      <c r="Z14" s="1387">
        <f t="shared" si="7"/>
        <v>111</v>
      </c>
      <c r="AA14" s="1386">
        <f t="shared" si="3"/>
        <v>1</v>
      </c>
      <c r="AB14" s="1386">
        <f t="shared" si="4"/>
        <v>1</v>
      </c>
      <c r="AC14" s="1386">
        <f t="shared" si="5"/>
        <v>1</v>
      </c>
    </row>
    <row r="15" ht="98" spans="1:29">
      <c r="A15" s="1195" t="s">
        <v>1043</v>
      </c>
      <c r="B15" s="1514" t="s">
        <v>1086</v>
      </c>
      <c r="C15" s="1515" t="str">
        <f>估价对象房地状况!C3</f>
        <v>估价对象周边居住用地比例、居住小区规模和社区发展完善程度，综合评价居住社区成熟度一般</v>
      </c>
      <c r="D15" s="1198">
        <v>100</v>
      </c>
      <c r="E15" s="1324"/>
      <c r="F15" s="1198">
        <f>SUMIF(76:76,E16,77:77)-SUMIF(76:76,C16,77:77)+100</f>
        <v>100</v>
      </c>
      <c r="G15" s="1199"/>
      <c r="H15" s="1198">
        <f>SUMIF(76:76,G16,77:77)-SUMIF(76:76,C16,77:77)+100</f>
        <v>100</v>
      </c>
      <c r="I15" s="1199"/>
      <c r="J15" s="1198">
        <f>SUMIF(76:76,I16,77:77)-SUMIF(76:76,C16,77:77)+100</f>
        <v>100</v>
      </c>
      <c r="K15" s="1791"/>
      <c r="L15" s="1323"/>
      <c r="M15" s="1307"/>
      <c r="N15" s="1307"/>
      <c r="O15" s="1307"/>
      <c r="P15" s="1744" t="s">
        <v>1045</v>
      </c>
      <c r="Q15" s="712" t="str">
        <f t="shared" si="6"/>
        <v>居住社区成熟度</v>
      </c>
      <c r="R15" s="1372" t="s">
        <v>1031</v>
      </c>
      <c r="S15" s="1373">
        <f t="shared" si="0"/>
        <v>100</v>
      </c>
      <c r="T15" s="1372" t="s">
        <v>1031</v>
      </c>
      <c r="U15" s="1373">
        <f t="shared" si="1"/>
        <v>100</v>
      </c>
      <c r="V15" s="1372" t="s">
        <v>1031</v>
      </c>
      <c r="W15" s="1373">
        <f t="shared" si="2"/>
        <v>100</v>
      </c>
      <c r="X15" s="1359"/>
      <c r="Y15" s="1325" t="s">
        <v>1045</v>
      </c>
      <c r="Z15" s="1346" t="str">
        <f t="shared" si="7"/>
        <v>居住社区成熟度</v>
      </c>
      <c r="AA15" s="1388">
        <f t="shared" si="3"/>
        <v>1</v>
      </c>
      <c r="AB15" s="1388">
        <f t="shared" si="4"/>
        <v>1</v>
      </c>
      <c r="AC15" s="1388">
        <f t="shared" si="5"/>
        <v>1</v>
      </c>
    </row>
    <row r="16" ht="15.5" spans="1:29">
      <c r="A16" s="1180"/>
      <c r="B16" s="1516"/>
      <c r="C16" s="1201"/>
      <c r="D16" s="1202"/>
      <c r="E16" s="1523"/>
      <c r="F16" s="1202"/>
      <c r="G16" s="1517"/>
      <c r="H16" s="1203"/>
      <c r="I16" s="1517"/>
      <c r="J16" s="1202"/>
      <c r="K16" s="1792"/>
      <c r="L16" s="1323"/>
      <c r="M16" s="1307"/>
      <c r="N16" s="1307"/>
      <c r="O16" s="1307"/>
      <c r="P16" s="1745"/>
      <c r="Q16" s="712"/>
      <c r="R16" s="1372"/>
      <c r="S16" s="1373"/>
      <c r="T16" s="1372"/>
      <c r="U16" s="1373"/>
      <c r="V16" s="1372"/>
      <c r="W16" s="1373"/>
      <c r="X16" s="1359"/>
      <c r="Y16" s="1326"/>
      <c r="Z16" s="1346"/>
      <c r="AA16" s="1388">
        <v>1</v>
      </c>
      <c r="AB16" s="1388">
        <v>1</v>
      </c>
      <c r="AC16" s="1388">
        <v>1</v>
      </c>
    </row>
    <row r="17" ht="84" spans="1:29">
      <c r="A17" s="1180"/>
      <c r="B17" s="1518" t="s">
        <v>1048</v>
      </c>
      <c r="C17" s="1205" t="str">
        <f>估价对象房地状况!C6</f>
        <v>估价对象周边道路状况、公共交通通达情况、停车便捷程度，综合评价交通便捷度较好</v>
      </c>
      <c r="D17" s="1203">
        <v>100</v>
      </c>
      <c r="E17" s="1327"/>
      <c r="F17" s="1203">
        <f>SUMIF(78:78,E18,79:79)-SUMIF(78:78,C18,79:79)+100</f>
        <v>100</v>
      </c>
      <c r="G17" s="1206"/>
      <c r="H17" s="1207">
        <f>SUMIF(78:78,G18,79:79)-SUMIF(78:78,C18,79:79)+100</f>
        <v>100</v>
      </c>
      <c r="I17" s="1206"/>
      <c r="J17" s="1207">
        <f>SUMIF(78:78,I18,79:79)-SUMIF(78:78,C18,79:79)+100</f>
        <v>100</v>
      </c>
      <c r="K17" s="1791"/>
      <c r="L17" s="1323"/>
      <c r="M17" s="1307"/>
      <c r="N17" s="1307"/>
      <c r="O17" s="1307"/>
      <c r="P17" s="1745"/>
      <c r="Q17" s="712" t="str">
        <f>B17</f>
        <v>交通便捷度</v>
      </c>
      <c r="R17" s="1372" t="s">
        <v>1031</v>
      </c>
      <c r="S17" s="1373">
        <f>F17</f>
        <v>100</v>
      </c>
      <c r="T17" s="1372" t="s">
        <v>1031</v>
      </c>
      <c r="U17" s="1373">
        <f>H17</f>
        <v>100</v>
      </c>
      <c r="V17" s="1372" t="s">
        <v>1031</v>
      </c>
      <c r="W17" s="1373">
        <f>J17</f>
        <v>100</v>
      </c>
      <c r="X17" s="1359"/>
      <c r="Y17" s="1326"/>
      <c r="Z17" s="1346" t="str">
        <f>Q17</f>
        <v>交通便捷度</v>
      </c>
      <c r="AA17" s="1388">
        <f t="shared" si="3"/>
        <v>1</v>
      </c>
      <c r="AB17" s="1388">
        <f t="shared" si="4"/>
        <v>1</v>
      </c>
      <c r="AC17" s="1388">
        <f t="shared" si="5"/>
        <v>1</v>
      </c>
    </row>
    <row r="18" ht="15.5" spans="1:29">
      <c r="A18" s="1180"/>
      <c r="B18" s="1227"/>
      <c r="C18" s="1519"/>
      <c r="D18" s="1203"/>
      <c r="E18" s="1530"/>
      <c r="F18" s="1203"/>
      <c r="G18" s="1520"/>
      <c r="H18" s="1202"/>
      <c r="I18" s="1520"/>
      <c r="J18" s="1202"/>
      <c r="K18" s="1792"/>
      <c r="L18" s="1323"/>
      <c r="M18" s="1307"/>
      <c r="N18" s="1307"/>
      <c r="O18" s="1307"/>
      <c r="P18" s="1745"/>
      <c r="Q18" s="712"/>
      <c r="R18" s="1372"/>
      <c r="S18" s="1373"/>
      <c r="T18" s="1372"/>
      <c r="U18" s="1373"/>
      <c r="V18" s="1372"/>
      <c r="W18" s="1373"/>
      <c r="X18" s="1359"/>
      <c r="Y18" s="1326"/>
      <c r="Z18" s="1346"/>
      <c r="AA18" s="1388">
        <v>1</v>
      </c>
      <c r="AB18" s="1388">
        <v>1</v>
      </c>
      <c r="AC18" s="1388">
        <v>1</v>
      </c>
    </row>
    <row r="19" ht="42" spans="1:29">
      <c r="A19" s="1180"/>
      <c r="B19" s="1518" t="s">
        <v>1049</v>
      </c>
      <c r="C19" s="1205" t="str">
        <f>估价对象房地状况!C7</f>
        <v>估价对象所在区域公共配套设施齐备情况</v>
      </c>
      <c r="D19" s="1207">
        <v>100</v>
      </c>
      <c r="E19" s="1531"/>
      <c r="F19" s="1207">
        <f>SUMIF(80:80,E20,81:81)-SUMIF(80:80,C20,81:81)+100</f>
        <v>100</v>
      </c>
      <c r="G19" s="1521"/>
      <c r="H19" s="1203">
        <f>SUMIF(80:80,G20,81:81)-SUMIF(80:80,C20,81:81)+100</f>
        <v>100</v>
      </c>
      <c r="I19" s="1521"/>
      <c r="J19" s="1203">
        <f>SUMIF(80:80,I20,81:81)-SUMIF(80:80,C20,81:81)+100</f>
        <v>100</v>
      </c>
      <c r="K19" s="1791"/>
      <c r="L19" s="1323"/>
      <c r="M19" s="1307"/>
      <c r="N19" s="1307"/>
      <c r="O19" s="1307"/>
      <c r="P19" s="1745"/>
      <c r="Q19" s="712" t="str">
        <f>B19</f>
        <v>公共配套设施</v>
      </c>
      <c r="R19" s="1372" t="s">
        <v>1031</v>
      </c>
      <c r="S19" s="1373">
        <f>F19</f>
        <v>100</v>
      </c>
      <c r="T19" s="1372" t="s">
        <v>1031</v>
      </c>
      <c r="U19" s="1373">
        <f>H19</f>
        <v>100</v>
      </c>
      <c r="V19" s="1372" t="s">
        <v>1031</v>
      </c>
      <c r="W19" s="1373">
        <f>J19</f>
        <v>100</v>
      </c>
      <c r="X19" s="1359"/>
      <c r="Y19" s="1326"/>
      <c r="Z19" s="1346" t="str">
        <f>Q19</f>
        <v>公共配套设施</v>
      </c>
      <c r="AA19" s="1388">
        <f t="shared" si="3"/>
        <v>1</v>
      </c>
      <c r="AB19" s="1388">
        <f t="shared" si="4"/>
        <v>1</v>
      </c>
      <c r="AC19" s="1388">
        <f t="shared" si="5"/>
        <v>1</v>
      </c>
    </row>
    <row r="20" ht="15.5" spans="1:29">
      <c r="A20" s="1180"/>
      <c r="B20" s="1227"/>
      <c r="C20" s="1201"/>
      <c r="D20" s="1202"/>
      <c r="E20" s="1523"/>
      <c r="F20" s="1202"/>
      <c r="G20" s="1517"/>
      <c r="H20" s="1202"/>
      <c r="I20" s="1517"/>
      <c r="J20" s="1202"/>
      <c r="K20" s="1792"/>
      <c r="L20" s="1323"/>
      <c r="M20" s="1307"/>
      <c r="N20" s="1307"/>
      <c r="O20" s="1307"/>
      <c r="P20" s="1745"/>
      <c r="Q20" s="712"/>
      <c r="R20" s="1372"/>
      <c r="S20" s="1373"/>
      <c r="T20" s="1372"/>
      <c r="U20" s="1373"/>
      <c r="V20" s="1372"/>
      <c r="W20" s="1373"/>
      <c r="X20" s="1359"/>
      <c r="Y20" s="1326"/>
      <c r="Z20" s="1346"/>
      <c r="AA20" s="1388">
        <v>1</v>
      </c>
      <c r="AB20" s="1388">
        <v>1</v>
      </c>
      <c r="AC20" s="1388">
        <v>1</v>
      </c>
    </row>
    <row r="21" ht="28" spans="1:29">
      <c r="A21" s="1180"/>
      <c r="B21" s="1522" t="s">
        <v>1050</v>
      </c>
      <c r="C21" s="1205" t="str">
        <f>估价对象房地状况!C8</f>
        <v>估价对象所在区域基础设施水平</v>
      </c>
      <c r="D21" s="1203">
        <v>100</v>
      </c>
      <c r="E21" s="1531"/>
      <c r="F21" s="1207">
        <f>SUMIF(82:82,E22,83:83)-SUMIF(82:82,C22,83:83)+100</f>
        <v>100</v>
      </c>
      <c r="G21" s="1521"/>
      <c r="H21" s="1203">
        <f>SUMIF(82:82,G22,83:83)-SUMIF(82:82,C22,83:83)+100</f>
        <v>100</v>
      </c>
      <c r="I21" s="1521"/>
      <c r="J21" s="1203">
        <f>SUMIF(82:82,I22,83:83)-SUMIF(82:82,C22,83:83)+100</f>
        <v>100</v>
      </c>
      <c r="K21" s="1791"/>
      <c r="L21" s="1323"/>
      <c r="M21" s="1307"/>
      <c r="N21" s="1307"/>
      <c r="O21" s="1307"/>
      <c r="P21" s="1745"/>
      <c r="Q21" s="712" t="str">
        <f>B21</f>
        <v>基础设施水平</v>
      </c>
      <c r="R21" s="1372" t="s">
        <v>1031</v>
      </c>
      <c r="S21" s="1373">
        <f>F21</f>
        <v>100</v>
      </c>
      <c r="T21" s="1372" t="s">
        <v>1031</v>
      </c>
      <c r="U21" s="1373">
        <f>H21</f>
        <v>100</v>
      </c>
      <c r="V21" s="1372" t="s">
        <v>1031</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519"/>
      <c r="D22" s="1202"/>
      <c r="E22" s="1201"/>
      <c r="F22" s="1202"/>
      <c r="G22" s="1215"/>
      <c r="H22" s="1202"/>
      <c r="I22" s="1201"/>
      <c r="J22" s="1202"/>
      <c r="K22" s="1793"/>
      <c r="L22" s="1323"/>
      <c r="M22" s="1307"/>
      <c r="N22" s="1307"/>
      <c r="O22" s="1307"/>
      <c r="P22" s="1745"/>
      <c r="Q22" s="712"/>
      <c r="R22" s="1372"/>
      <c r="S22" s="1373"/>
      <c r="T22" s="1372"/>
      <c r="U22" s="1373"/>
      <c r="V22" s="1372"/>
      <c r="W22" s="1373"/>
      <c r="X22" s="1359"/>
      <c r="Y22" s="1326"/>
      <c r="Z22" s="1346"/>
      <c r="AA22" s="1388">
        <v>1</v>
      </c>
      <c r="AB22" s="1388">
        <v>1</v>
      </c>
      <c r="AC22" s="1388">
        <v>1</v>
      </c>
    </row>
    <row r="23" ht="56" spans="1:29">
      <c r="A23" s="1180"/>
      <c r="B23" s="1518" t="s">
        <v>1051</v>
      </c>
      <c r="C23" s="1205" t="str">
        <f>估价对象房地状况!C9</f>
        <v>区域自然环境：；人文环境；综合评价环境状况一般</v>
      </c>
      <c r="D23" s="1203">
        <v>100</v>
      </c>
      <c r="E23" s="1327"/>
      <c r="F23" s="1203">
        <f>SUMIF(84:84,E24,85:85)-SUMIF(84:84,C24,85:85)+100</f>
        <v>100</v>
      </c>
      <c r="G23" s="1206"/>
      <c r="H23" s="1203">
        <f>SUMIF(84:84,G24,85:85)-SUMIF(84:84,C24,85:85)+100</f>
        <v>100</v>
      </c>
      <c r="I23" s="1206"/>
      <c r="J23" s="1203">
        <f>SUMIF(84:84,I24,85:85)-SUMIF(84:84,C24,85:85)+100</f>
        <v>100</v>
      </c>
      <c r="K23" s="1791"/>
      <c r="L23" s="1323"/>
      <c r="M23" s="1307"/>
      <c r="N23" s="1307"/>
      <c r="O23" s="1307"/>
      <c r="P23" s="1745"/>
      <c r="Q23" s="712" t="str">
        <f>B23</f>
        <v>自然及人文环境</v>
      </c>
      <c r="R23" s="1372" t="s">
        <v>1031</v>
      </c>
      <c r="S23" s="1373">
        <f>F23</f>
        <v>100</v>
      </c>
      <c r="T23" s="1372" t="s">
        <v>1031</v>
      </c>
      <c r="U23" s="1373">
        <f>H23</f>
        <v>100</v>
      </c>
      <c r="V23" s="1372" t="s">
        <v>1031</v>
      </c>
      <c r="W23" s="1373">
        <f>J23</f>
        <v>100</v>
      </c>
      <c r="X23" s="1359"/>
      <c r="Y23" s="1326"/>
      <c r="Z23" s="1346" t="str">
        <f>Q23</f>
        <v>自然及人文环境</v>
      </c>
      <c r="AA23" s="1388">
        <f>D23/F23</f>
        <v>1</v>
      </c>
      <c r="AB23" s="1388">
        <f>D23/H23</f>
        <v>1</v>
      </c>
      <c r="AC23" s="1388">
        <f>D23/J23</f>
        <v>1</v>
      </c>
    </row>
    <row r="24" ht="15.5" spans="1:29">
      <c r="A24" s="1180"/>
      <c r="B24" s="1227"/>
      <c r="C24" s="1201"/>
      <c r="D24" s="1202"/>
      <c r="E24" s="1523"/>
      <c r="F24" s="1202"/>
      <c r="G24" s="1517"/>
      <c r="H24" s="1202"/>
      <c r="I24" s="1517"/>
      <c r="J24" s="1202"/>
      <c r="K24" s="1792"/>
      <c r="L24" s="1323"/>
      <c r="M24" s="1307"/>
      <c r="N24" s="1307"/>
      <c r="O24" s="1307"/>
      <c r="P24" s="1745"/>
      <c r="Q24" s="712"/>
      <c r="R24" s="1372"/>
      <c r="S24" s="1373"/>
      <c r="T24" s="1372"/>
      <c r="U24" s="1373"/>
      <c r="V24" s="1372"/>
      <c r="W24" s="1373"/>
      <c r="X24" s="1359"/>
      <c r="Y24" s="1326"/>
      <c r="Z24" s="1346"/>
      <c r="AA24" s="1388">
        <v>1</v>
      </c>
      <c r="AB24" s="1388">
        <v>1</v>
      </c>
      <c r="AC24" s="1388">
        <v>1</v>
      </c>
    </row>
    <row r="25" ht="15.5" spans="1:29">
      <c r="A25" s="1180"/>
      <c r="B25" s="1177" t="s">
        <v>1589</v>
      </c>
      <c r="C25" s="1584"/>
      <c r="D25" s="1190">
        <v>100</v>
      </c>
      <c r="E25" s="1231"/>
      <c r="F25" s="1190">
        <f>SUMIF(86:86,E25,87:87)-SUMIF(86:86,C25,87:87)+100</f>
        <v>100</v>
      </c>
      <c r="G25" s="1773"/>
      <c r="H25" s="1190">
        <f>SUMIF(86:86,G25,87:87)-SUMIF(86:86,C25,87:87)+100</f>
        <v>100</v>
      </c>
      <c r="I25" s="1773"/>
      <c r="J25" s="1190">
        <f>SUMIF(86:86,I25,87:87)-SUMIF(86:86,C25,87:87)+100</f>
        <v>100</v>
      </c>
      <c r="K25" s="1789"/>
      <c r="L25" s="1323"/>
      <c r="M25" s="1307"/>
      <c r="N25" s="1307"/>
      <c r="O25" s="1307"/>
      <c r="P25" s="1745"/>
      <c r="Q25" s="712" t="str">
        <f t="shared" ref="Q25:Q46" si="11">B25</f>
        <v>楼层-1</v>
      </c>
      <c r="R25" s="1372" t="s">
        <v>1031</v>
      </c>
      <c r="S25" s="1373">
        <f t="shared" ref="S25:S46" si="12">F25</f>
        <v>100</v>
      </c>
      <c r="T25" s="1372" t="s">
        <v>1031</v>
      </c>
      <c r="U25" s="1373">
        <f t="shared" ref="U25:U46" si="13">H25</f>
        <v>100</v>
      </c>
      <c r="V25" s="1372" t="s">
        <v>1031</v>
      </c>
      <c r="W25" s="1373">
        <f t="shared" ref="W25:W46" si="14">J25</f>
        <v>100</v>
      </c>
      <c r="X25" s="1359"/>
      <c r="Y25" s="1326"/>
      <c r="Z25" s="1346" t="str">
        <f>Q25</f>
        <v>楼层-1</v>
      </c>
      <c r="AA25" s="1388">
        <f t="shared" ref="AA25:AA46" si="15">D25/F25</f>
        <v>1</v>
      </c>
      <c r="AB25" s="1388">
        <f t="shared" ref="AB25:AB46" si="16">D25/H25</f>
        <v>1</v>
      </c>
      <c r="AC25" s="1388">
        <f t="shared" ref="AC25:AC46" si="17">D25/J25</f>
        <v>1</v>
      </c>
    </row>
    <row r="26" ht="15.5" spans="1:29">
      <c r="A26" s="1180"/>
      <c r="B26" s="1177" t="s">
        <v>1590</v>
      </c>
      <c r="C26" s="1584"/>
      <c r="D26" s="1190">
        <v>100</v>
      </c>
      <c r="E26" s="1231"/>
      <c r="F26" s="1190">
        <f>SUMIF(88:88,E26,89:89)-SUMIF(88:88,C26,89:89)+100</f>
        <v>100</v>
      </c>
      <c r="G26" s="1773"/>
      <c r="H26" s="1190">
        <f>SUMIF(88:88,G26,89:89)-SUMIF(88:88,C26,89:89)+100</f>
        <v>100</v>
      </c>
      <c r="I26" s="1773"/>
      <c r="J26" s="1190">
        <f>SUMIF(88:88,I26,89:89)-SUMIF(88:88,C26,89:89)+100</f>
        <v>100</v>
      </c>
      <c r="K26" s="1789"/>
      <c r="L26" s="1323"/>
      <c r="M26" s="1307"/>
      <c r="N26" s="1307"/>
      <c r="O26" s="1307"/>
      <c r="P26" s="1745"/>
      <c r="Q26" s="712" t="str">
        <f t="shared" si="11"/>
        <v>朝向</v>
      </c>
      <c r="R26" s="1372" t="s">
        <v>1031</v>
      </c>
      <c r="S26" s="1373">
        <f t="shared" si="12"/>
        <v>100</v>
      </c>
      <c r="T26" s="1372" t="s">
        <v>1031</v>
      </c>
      <c r="U26" s="1373">
        <f t="shared" si="13"/>
        <v>100</v>
      </c>
      <c r="V26" s="1372" t="s">
        <v>1031</v>
      </c>
      <c r="W26" s="1373">
        <f t="shared" si="14"/>
        <v>100</v>
      </c>
      <c r="X26" s="1359"/>
      <c r="Y26" s="1326"/>
      <c r="Z26" s="1346" t="str">
        <f>Q26</f>
        <v>朝向</v>
      </c>
      <c r="AA26" s="1388">
        <f t="shared" si="15"/>
        <v>1</v>
      </c>
      <c r="AB26" s="1388">
        <f t="shared" si="16"/>
        <v>1</v>
      </c>
      <c r="AC26" s="1388">
        <f t="shared" si="17"/>
        <v>1</v>
      </c>
    </row>
    <row r="27" s="1127" customFormat="1" ht="15.5" spans="1:29">
      <c r="A27" s="1184"/>
      <c r="B27" s="1525">
        <v>111</v>
      </c>
      <c r="C27" s="1178"/>
      <c r="D27" s="1687">
        <v>100</v>
      </c>
      <c r="E27" s="1512"/>
      <c r="F27" s="1687">
        <f>SUMIF(90:90,E27,91:91)-SUMIF(90:90,C27,91:91)+100</f>
        <v>100</v>
      </c>
      <c r="G27" s="1513"/>
      <c r="H27" s="1687">
        <f>SUMIF(90:90,G27,91:91)-SUMIF(90:90,C27,91:91)+100</f>
        <v>100</v>
      </c>
      <c r="I27" s="1513"/>
      <c r="J27" s="1687">
        <f>SUMIF(90:90,I27,91:91)-SUMIF(90:90,C27,91:91)+100</f>
        <v>100</v>
      </c>
      <c r="K27" s="1790"/>
      <c r="L27" s="1312"/>
      <c r="M27" s="1313"/>
      <c r="N27" s="1313"/>
      <c r="O27" s="1313"/>
      <c r="P27" s="1745"/>
      <c r="Q27" s="1371">
        <f t="shared" si="11"/>
        <v>111</v>
      </c>
      <c r="R27" s="1367" t="s">
        <v>1031</v>
      </c>
      <c r="S27" s="1368">
        <f t="shared" si="12"/>
        <v>100</v>
      </c>
      <c r="T27" s="1367" t="s">
        <v>1031</v>
      </c>
      <c r="U27" s="1368">
        <f t="shared" si="13"/>
        <v>100</v>
      </c>
      <c r="V27" s="1367" t="s">
        <v>1031</v>
      </c>
      <c r="W27" s="1368">
        <f t="shared" si="14"/>
        <v>100</v>
      </c>
      <c r="X27" s="1369"/>
      <c r="Y27" s="1326"/>
      <c r="Z27" s="1387">
        <f>Q27</f>
        <v>111</v>
      </c>
      <c r="AA27" s="1388">
        <f t="shared" si="15"/>
        <v>1</v>
      </c>
      <c r="AB27" s="1388">
        <f t="shared" si="16"/>
        <v>1</v>
      </c>
      <c r="AC27" s="1388">
        <f t="shared" si="17"/>
        <v>1</v>
      </c>
    </row>
    <row r="28" ht="15.5" spans="1:29">
      <c r="A28" s="1180"/>
      <c r="B28" s="1525">
        <v>111</v>
      </c>
      <c r="C28" s="1189"/>
      <c r="D28" s="1190">
        <v>100</v>
      </c>
      <c r="E28" s="1189"/>
      <c r="F28" s="1190">
        <f>SUMIF(92:92,E28,93:93)-SUMIF(92:92,C28,93:93)+100</f>
        <v>100</v>
      </c>
      <c r="G28" s="1735"/>
      <c r="H28" s="1190">
        <f>SUMIF(92:92,G28,93:93)-SUMIF(92:92,C28,93:93)+100</f>
        <v>100</v>
      </c>
      <c r="I28" s="1189"/>
      <c r="J28" s="1190">
        <f>SUMIF(92:92,I28,93:93)-SUMIF(92:92,C28,93:93)+100</f>
        <v>100</v>
      </c>
      <c r="K28" s="1790"/>
      <c r="L28" s="1323"/>
      <c r="M28" s="1307"/>
      <c r="N28" s="1307"/>
      <c r="O28" s="1307"/>
      <c r="P28" s="1745"/>
      <c r="Q28" s="712">
        <f t="shared" si="11"/>
        <v>111</v>
      </c>
      <c r="R28" s="1372" t="s">
        <v>1031</v>
      </c>
      <c r="S28" s="1373">
        <f t="shared" si="12"/>
        <v>100</v>
      </c>
      <c r="T28" s="1372" t="s">
        <v>1031</v>
      </c>
      <c r="U28" s="1373">
        <f t="shared" si="13"/>
        <v>100</v>
      </c>
      <c r="V28" s="1372" t="s">
        <v>1031</v>
      </c>
      <c r="W28" s="1373">
        <f t="shared" si="14"/>
        <v>100</v>
      </c>
      <c r="X28" s="1359"/>
      <c r="Y28" s="1326"/>
      <c r="Z28" s="1346">
        <f t="shared" ref="Z28:Z46" si="18">Q28</f>
        <v>111</v>
      </c>
      <c r="AA28" s="1388">
        <f t="shared" si="15"/>
        <v>1</v>
      </c>
      <c r="AB28" s="1388">
        <f t="shared" si="16"/>
        <v>1</v>
      </c>
      <c r="AC28" s="1388">
        <f t="shared" si="17"/>
        <v>1</v>
      </c>
    </row>
    <row r="29" ht="15.5" spans="1:29">
      <c r="A29" s="1180"/>
      <c r="B29" s="1525">
        <v>111</v>
      </c>
      <c r="C29" s="1189"/>
      <c r="D29" s="1190">
        <v>100</v>
      </c>
      <c r="E29" s="1189"/>
      <c r="F29" s="1190">
        <f>SUMIF(94:94,E29,95:95)-SUMIF(94:94,C29,95:95)+100</f>
        <v>100</v>
      </c>
      <c r="G29" s="1735"/>
      <c r="H29" s="1190">
        <f>SUMIF(94:94,G29,95:95)-SUMIF(94:94,C29,95:95)+100</f>
        <v>100</v>
      </c>
      <c r="I29" s="1189"/>
      <c r="J29" s="1190">
        <f>SUMIF(94:94,I29,95:95)-SUMIF(94:94,C29,95:95)+100</f>
        <v>100</v>
      </c>
      <c r="K29" s="1790"/>
      <c r="L29" s="1323"/>
      <c r="M29" s="1307"/>
      <c r="N29" s="1307"/>
      <c r="O29" s="1307"/>
      <c r="P29" s="1745"/>
      <c r="Q29" s="712">
        <f t="shared" si="11"/>
        <v>111</v>
      </c>
      <c r="R29" s="1372" t="s">
        <v>1031</v>
      </c>
      <c r="S29" s="1373">
        <f t="shared" si="12"/>
        <v>100</v>
      </c>
      <c r="T29" s="1372" t="s">
        <v>1031</v>
      </c>
      <c r="U29" s="1373">
        <f t="shared" si="13"/>
        <v>100</v>
      </c>
      <c r="V29" s="1372" t="s">
        <v>1031</v>
      </c>
      <c r="W29" s="1373">
        <f t="shared" si="14"/>
        <v>100</v>
      </c>
      <c r="X29" s="1359"/>
      <c r="Y29" s="1326"/>
      <c r="Z29" s="1346">
        <f t="shared" si="18"/>
        <v>111</v>
      </c>
      <c r="AA29" s="1388">
        <f t="shared" si="15"/>
        <v>1</v>
      </c>
      <c r="AB29" s="1388">
        <f t="shared" si="16"/>
        <v>1</v>
      </c>
      <c r="AC29" s="1388">
        <f t="shared" si="17"/>
        <v>1</v>
      </c>
    </row>
    <row r="30" ht="15.5" spans="1:29">
      <c r="A30" s="1180"/>
      <c r="B30" s="1525">
        <v>111</v>
      </c>
      <c r="C30" s="1189"/>
      <c r="D30" s="1190">
        <v>100</v>
      </c>
      <c r="E30" s="1189"/>
      <c r="F30" s="1190">
        <f>SUMIF(96:96,E30,97:97)-SUMIF(96:96,C30,97:97)+100</f>
        <v>100</v>
      </c>
      <c r="G30" s="1735"/>
      <c r="H30" s="1190">
        <f>SUMIF(96:96,G30,97:97)-SUMIF(96:96,C30,97:97)+100</f>
        <v>100</v>
      </c>
      <c r="I30" s="1189"/>
      <c r="J30" s="1190">
        <f>SUMIF(96:96,I30,97:97)-SUMIF(96:96,C30,97:97)+100</f>
        <v>100</v>
      </c>
      <c r="K30" s="1790"/>
      <c r="L30" s="1323"/>
      <c r="M30" s="1307"/>
      <c r="N30" s="1307"/>
      <c r="O30" s="1307"/>
      <c r="P30" s="1745"/>
      <c r="Q30" s="712">
        <f t="shared" si="11"/>
        <v>111</v>
      </c>
      <c r="R30" s="1372" t="s">
        <v>1031</v>
      </c>
      <c r="S30" s="1373">
        <f t="shared" si="12"/>
        <v>100</v>
      </c>
      <c r="T30" s="1372" t="s">
        <v>1031</v>
      </c>
      <c r="U30" s="1373">
        <f t="shared" si="13"/>
        <v>100</v>
      </c>
      <c r="V30" s="1372" t="s">
        <v>1031</v>
      </c>
      <c r="W30" s="1373">
        <f t="shared" si="14"/>
        <v>100</v>
      </c>
      <c r="X30" s="1359"/>
      <c r="Y30" s="1326"/>
      <c r="Z30" s="1346">
        <f t="shared" si="18"/>
        <v>111</v>
      </c>
      <c r="AA30" s="1388">
        <f t="shared" si="15"/>
        <v>1</v>
      </c>
      <c r="AB30" s="1388">
        <f t="shared" si="16"/>
        <v>1</v>
      </c>
      <c r="AC30" s="1388">
        <f t="shared" si="17"/>
        <v>1</v>
      </c>
    </row>
    <row r="31" ht="16.25" spans="1:29">
      <c r="A31" s="1191"/>
      <c r="B31" s="1525">
        <v>111</v>
      </c>
      <c r="C31" s="1193"/>
      <c r="D31" s="1194">
        <v>100</v>
      </c>
      <c r="E31" s="1193"/>
      <c r="F31" s="1194">
        <f>SUMIF(98:98,E31,99:99)-SUMIF(98:98,C31,99:99)+100</f>
        <v>100</v>
      </c>
      <c r="G31" s="1738"/>
      <c r="H31" s="1194">
        <f>SUMIF(98:98,G31,99:99)-SUMIF(98:98,C31,99:99)+100</f>
        <v>100</v>
      </c>
      <c r="I31" s="1193"/>
      <c r="J31" s="1194">
        <f>SUMIF(98:98,I31,99:99)-SUMIF(98:98,C31,99:99)+100</f>
        <v>100</v>
      </c>
      <c r="K31" s="1790"/>
      <c r="L31" s="1323"/>
      <c r="M31" s="1307"/>
      <c r="N31" s="1307"/>
      <c r="O31" s="1307"/>
      <c r="P31" s="1745"/>
      <c r="Q31" s="712">
        <f t="shared" si="11"/>
        <v>111</v>
      </c>
      <c r="R31" s="1372" t="s">
        <v>1031</v>
      </c>
      <c r="S31" s="1373">
        <f t="shared" si="12"/>
        <v>100</v>
      </c>
      <c r="T31" s="1372" t="s">
        <v>1031</v>
      </c>
      <c r="U31" s="1373">
        <f t="shared" si="13"/>
        <v>100</v>
      </c>
      <c r="V31" s="1372" t="s">
        <v>1031</v>
      </c>
      <c r="W31" s="1373">
        <f t="shared" si="14"/>
        <v>100</v>
      </c>
      <c r="X31" s="1359"/>
      <c r="Y31" s="1326"/>
      <c r="Z31" s="1346">
        <f t="shared" si="18"/>
        <v>111</v>
      </c>
      <c r="AA31" s="1388">
        <f t="shared" si="15"/>
        <v>1</v>
      </c>
      <c r="AB31" s="1388">
        <f t="shared" si="16"/>
        <v>1</v>
      </c>
      <c r="AC31" s="1388">
        <f t="shared" si="17"/>
        <v>1</v>
      </c>
    </row>
    <row r="32" ht="15.5" spans="1:29">
      <c r="A32" s="1195" t="s">
        <v>1056</v>
      </c>
      <c r="B32" s="1173" t="s">
        <v>1591</v>
      </c>
      <c r="C32" s="1774"/>
      <c r="D32" s="1229">
        <v>100</v>
      </c>
      <c r="E32" s="1775"/>
      <c r="F32" s="1574">
        <f>SUMIF(100:100,E32,101:101)-SUMIF(100:100,C32,101:101)+100</f>
        <v>100</v>
      </c>
      <c r="G32" s="1774"/>
      <c r="H32" s="1229">
        <f>SUMIF(100:100,G32,101:101)-SUMIF(100:100,C32,101:101)+100</f>
        <v>100</v>
      </c>
      <c r="I32" s="1775"/>
      <c r="J32" s="1190">
        <f>SUMIF(100:100,I32,101:101)-SUMIF(100:100,C32,101:101)+100</f>
        <v>100</v>
      </c>
      <c r="K32" s="1789"/>
      <c r="L32" s="1323"/>
      <c r="M32" s="1307"/>
      <c r="N32" s="1307"/>
      <c r="O32" s="1307"/>
      <c r="P32" s="1746" t="s">
        <v>1058</v>
      </c>
      <c r="Q32" s="712" t="str">
        <f t="shared" si="11"/>
        <v>建筑类型</v>
      </c>
      <c r="R32" s="1372" t="s">
        <v>1031</v>
      </c>
      <c r="S32" s="1373">
        <f t="shared" si="12"/>
        <v>100</v>
      </c>
      <c r="T32" s="1372" t="s">
        <v>1031</v>
      </c>
      <c r="U32" s="1373">
        <f t="shared" si="13"/>
        <v>100</v>
      </c>
      <c r="V32" s="1372" t="s">
        <v>1031</v>
      </c>
      <c r="W32" s="1373">
        <f t="shared" si="14"/>
        <v>100</v>
      </c>
      <c r="X32" s="1359"/>
      <c r="Y32" s="1334" t="s">
        <v>1058</v>
      </c>
      <c r="Z32" s="1346" t="str">
        <f t="shared" si="18"/>
        <v>建筑类型</v>
      </c>
      <c r="AA32" s="1388">
        <f t="shared" si="15"/>
        <v>1</v>
      </c>
      <c r="AB32" s="1388">
        <f t="shared" si="16"/>
        <v>1</v>
      </c>
      <c r="AC32" s="1388">
        <f t="shared" si="17"/>
        <v>1</v>
      </c>
    </row>
    <row r="33" s="1129" customFormat="1" ht="15.5" spans="1:29">
      <c r="A33" s="1235"/>
      <c r="B33" s="1177" t="s">
        <v>1059</v>
      </c>
      <c r="C33" s="1568"/>
      <c r="D33" s="1179">
        <v>100</v>
      </c>
      <c r="E33" s="1183"/>
      <c r="F33" s="1567" t="e">
        <f>LOOKUP(E33,103:103,104:104)-LOOKUP(C33,103:103,104:104)+100</f>
        <v>#N/A</v>
      </c>
      <c r="G33" s="1182"/>
      <c r="H33" s="1179" t="e">
        <f>LOOKUP(G33,103:103,104:104)-LOOKUP(C33,103:103,104:104)+100</f>
        <v>#N/A</v>
      </c>
      <c r="I33" s="1183"/>
      <c r="J33" s="1179" t="e">
        <f>LOOKUP(I33,103:103,104:104)-LOOKUP(C33,103:103,104:104)+100</f>
        <v>#N/A</v>
      </c>
      <c r="K33" s="1790"/>
      <c r="L33" s="1321"/>
      <c r="M33" s="1332"/>
      <c r="N33" s="1332"/>
      <c r="O33" s="1332"/>
      <c r="P33" s="1747"/>
      <c r="Q33" s="1613" t="str">
        <f t="shared" si="11"/>
        <v>项目建筑规模</v>
      </c>
      <c r="R33" s="1374" t="s">
        <v>1031</v>
      </c>
      <c r="S33" s="1375" t="e">
        <f t="shared" si="12"/>
        <v>#N/A</v>
      </c>
      <c r="T33" s="1374" t="s">
        <v>1031</v>
      </c>
      <c r="U33" s="1375" t="e">
        <f t="shared" si="13"/>
        <v>#N/A</v>
      </c>
      <c r="V33" s="1374" t="s">
        <v>1031</v>
      </c>
      <c r="W33" s="1375" t="e">
        <f t="shared" si="14"/>
        <v>#N/A</v>
      </c>
      <c r="X33" s="1376"/>
      <c r="Y33" s="1334"/>
      <c r="Z33" s="1389" t="str">
        <f t="shared" si="18"/>
        <v>项目建筑规模</v>
      </c>
      <c r="AA33" s="1388" t="e">
        <f t="shared" si="15"/>
        <v>#N/A</v>
      </c>
      <c r="AB33" s="1388" t="e">
        <f t="shared" si="16"/>
        <v>#N/A</v>
      </c>
      <c r="AC33" s="1388" t="e">
        <f t="shared" si="17"/>
        <v>#N/A</v>
      </c>
    </row>
    <row r="34" ht="15.5" spans="1:29">
      <c r="A34" s="1230"/>
      <c r="B34" s="1177" t="s">
        <v>1060</v>
      </c>
      <c r="C34" s="1776"/>
      <c r="D34" s="1190">
        <v>100</v>
      </c>
      <c r="E34" s="1777"/>
      <c r="F34" s="1574">
        <f>SUMIF(105:105,E34,106:106)-SUMIF(105:105,C34,106:106)+100</f>
        <v>100</v>
      </c>
      <c r="G34" s="1776"/>
      <c r="H34" s="1190">
        <f>SUMIF(105:105,G34,106:106)-SUMIF(105:105,C34,106:106)+100</f>
        <v>100</v>
      </c>
      <c r="I34" s="1777"/>
      <c r="J34" s="1190">
        <f>SUMIF(105:105,I34,106:106)-SUMIF(105:105,C34,106:106)+100</f>
        <v>100</v>
      </c>
      <c r="K34" s="1789"/>
      <c r="L34" s="1323"/>
      <c r="M34" s="1307"/>
      <c r="N34" s="1307"/>
      <c r="O34" s="1307"/>
      <c r="P34" s="1747"/>
      <c r="Q34" s="712" t="str">
        <f t="shared" si="11"/>
        <v>建筑结构</v>
      </c>
      <c r="R34" s="1372" t="s">
        <v>1031</v>
      </c>
      <c r="S34" s="1373">
        <f t="shared" si="12"/>
        <v>100</v>
      </c>
      <c r="T34" s="1372" t="s">
        <v>1031</v>
      </c>
      <c r="U34" s="1373">
        <f t="shared" si="13"/>
        <v>100</v>
      </c>
      <c r="V34" s="1372" t="s">
        <v>1031</v>
      </c>
      <c r="W34" s="1373">
        <f t="shared" si="14"/>
        <v>100</v>
      </c>
      <c r="X34" s="1359"/>
      <c r="Y34" s="1334"/>
      <c r="Z34" s="1346" t="str">
        <f t="shared" si="18"/>
        <v>建筑结构</v>
      </c>
      <c r="AA34" s="1388">
        <f t="shared" si="15"/>
        <v>1</v>
      </c>
      <c r="AB34" s="1388">
        <f t="shared" si="16"/>
        <v>1</v>
      </c>
      <c r="AC34" s="1388">
        <f t="shared" si="17"/>
        <v>1</v>
      </c>
    </row>
    <row r="35" ht="15.5" spans="1:29">
      <c r="A35" s="1230"/>
      <c r="B35" s="1177" t="s">
        <v>1592</v>
      </c>
      <c r="C35" s="1231"/>
      <c r="D35" s="1190">
        <v>100</v>
      </c>
      <c r="E35" s="1773"/>
      <c r="F35" s="1574">
        <f>SUMIF(107:107,E35,108:108)-SUMIF(107:107,C35,108:108)+100</f>
        <v>100</v>
      </c>
      <c r="G35" s="1231"/>
      <c r="H35" s="1190">
        <f>SUMIF(107:107,G35,108:108)-SUMIF(107:107,C35,108:108)+100</f>
        <v>100</v>
      </c>
      <c r="I35" s="1773"/>
      <c r="J35" s="1190">
        <f>SUMIF(107:107,I35,108:108)-SUMIF(107:107,C35,108:108)+100</f>
        <v>100</v>
      </c>
      <c r="K35" s="1789"/>
      <c r="L35" s="1323"/>
      <c r="M35" s="1307"/>
      <c r="N35" s="1307"/>
      <c r="O35" s="1307"/>
      <c r="P35" s="1747"/>
      <c r="Q35" s="712" t="str">
        <f t="shared" si="11"/>
        <v>建筑品质</v>
      </c>
      <c r="R35" s="1372" t="s">
        <v>1031</v>
      </c>
      <c r="S35" s="1373">
        <f t="shared" si="12"/>
        <v>100</v>
      </c>
      <c r="T35" s="1372" t="s">
        <v>1031</v>
      </c>
      <c r="U35" s="1373">
        <f t="shared" si="13"/>
        <v>100</v>
      </c>
      <c r="V35" s="1372" t="s">
        <v>1031</v>
      </c>
      <c r="W35" s="1373">
        <f t="shared" si="14"/>
        <v>100</v>
      </c>
      <c r="X35" s="1359"/>
      <c r="Y35" s="1334"/>
      <c r="Z35" s="1346" t="str">
        <f t="shared" si="18"/>
        <v>建筑品质</v>
      </c>
      <c r="AA35" s="1388">
        <f t="shared" si="15"/>
        <v>1</v>
      </c>
      <c r="AB35" s="1388">
        <f t="shared" si="16"/>
        <v>1</v>
      </c>
      <c r="AC35" s="1388">
        <f t="shared" si="17"/>
        <v>1</v>
      </c>
    </row>
    <row r="36" ht="15.5" spans="1:29">
      <c r="A36" s="1230"/>
      <c r="B36" s="1177" t="s">
        <v>1061</v>
      </c>
      <c r="C36" s="1231"/>
      <c r="D36" s="1190">
        <v>100</v>
      </c>
      <c r="E36" s="1773"/>
      <c r="F36" s="1574">
        <f>SUMIF(109:109,E36,110:110)-SUMIF(109:109,C36,110:110)+100</f>
        <v>100</v>
      </c>
      <c r="G36" s="1231"/>
      <c r="H36" s="1190">
        <f>SUMIF(109:109,G36,110:110)-SUMIF(109:109,C36,110:110)+100</f>
        <v>100</v>
      </c>
      <c r="I36" s="1773"/>
      <c r="J36" s="1190">
        <f>SUMIF(109:109,I36,110:110)-SUMIF(109:109,C36,110:110)+100</f>
        <v>100</v>
      </c>
      <c r="K36" s="1789"/>
      <c r="L36" s="1323"/>
      <c r="M36" s="1307"/>
      <c r="N36" s="1307"/>
      <c r="O36" s="1307"/>
      <c r="P36" s="1747"/>
      <c r="Q36" s="712" t="str">
        <f t="shared" si="11"/>
        <v>公共部分装修</v>
      </c>
      <c r="R36" s="1372" t="s">
        <v>1031</v>
      </c>
      <c r="S36" s="1373">
        <f t="shared" si="12"/>
        <v>100</v>
      </c>
      <c r="T36" s="1372" t="s">
        <v>1031</v>
      </c>
      <c r="U36" s="1373">
        <f t="shared" si="13"/>
        <v>100</v>
      </c>
      <c r="V36" s="1372" t="s">
        <v>1031</v>
      </c>
      <c r="W36" s="1373">
        <f t="shared" si="14"/>
        <v>100</v>
      </c>
      <c r="X36" s="1359"/>
      <c r="Y36" s="1334"/>
      <c r="Z36" s="1346" t="str">
        <f t="shared" si="18"/>
        <v>公共部分装修</v>
      </c>
      <c r="AA36" s="1388">
        <f t="shared" si="15"/>
        <v>1</v>
      </c>
      <c r="AB36" s="1388">
        <f t="shared" si="16"/>
        <v>1</v>
      </c>
      <c r="AC36" s="1388">
        <f t="shared" si="17"/>
        <v>1</v>
      </c>
    </row>
    <row r="37" s="1127" customFormat="1" ht="15.5" spans="1:29">
      <c r="A37" s="1232"/>
      <c r="B37" s="1177" t="s">
        <v>646</v>
      </c>
      <c r="C37" s="1581"/>
      <c r="D37" s="1179">
        <v>100</v>
      </c>
      <c r="E37" s="1581"/>
      <c r="F37" s="1567" t="e">
        <f>LOOKUP(E37,112:112,113:113)-LOOKUP(C37,112:112,113:113)+100</f>
        <v>#N/A</v>
      </c>
      <c r="G37" s="1583"/>
      <c r="H37" s="1179" t="e">
        <f>LOOKUP(G37,112:112,113:113)-LOOKUP(C37,112:112,113:113)+100</f>
        <v>#N/A</v>
      </c>
      <c r="I37" s="1582"/>
      <c r="J37" s="1179" t="e">
        <f>LOOKUP(I37,112:112,113:113)-LOOKUP(C37,112:112,113:113)+100</f>
        <v>#N/A</v>
      </c>
      <c r="K37" s="1789"/>
      <c r="L37" s="1312"/>
      <c r="M37" s="1313"/>
      <c r="N37" s="1313"/>
      <c r="O37" s="1313"/>
      <c r="P37" s="1747"/>
      <c r="Q37" s="1371" t="str">
        <f t="shared" si="11"/>
        <v>成新度</v>
      </c>
      <c r="R37" s="1367" t="s">
        <v>1031</v>
      </c>
      <c r="S37" s="1368" t="e">
        <f t="shared" si="12"/>
        <v>#N/A</v>
      </c>
      <c r="T37" s="1367" t="s">
        <v>1031</v>
      </c>
      <c r="U37" s="1368" t="e">
        <f t="shared" si="13"/>
        <v>#N/A</v>
      </c>
      <c r="V37" s="1367" t="s">
        <v>1031</v>
      </c>
      <c r="W37" s="1368" t="e">
        <f t="shared" si="14"/>
        <v>#N/A</v>
      </c>
      <c r="X37" s="1369"/>
      <c r="Y37" s="1334"/>
      <c r="Z37" s="1387" t="str">
        <f t="shared" si="18"/>
        <v>成新度</v>
      </c>
      <c r="AA37" s="1386" t="e">
        <f t="shared" si="15"/>
        <v>#N/A</v>
      </c>
      <c r="AB37" s="1386" t="e">
        <f t="shared" si="16"/>
        <v>#N/A</v>
      </c>
      <c r="AC37" s="1386" t="e">
        <f t="shared" si="17"/>
        <v>#N/A</v>
      </c>
    </row>
    <row r="38" ht="15.5" spans="1:29">
      <c r="A38" s="1230"/>
      <c r="B38" s="1177" t="s">
        <v>1593</v>
      </c>
      <c r="C38" s="1231"/>
      <c r="D38" s="1190">
        <v>100</v>
      </c>
      <c r="E38" s="1773"/>
      <c r="F38" s="1574">
        <f>SUMIF(114:114,E38,115:115)-SUMIF(114:114,C38,115:115)+100</f>
        <v>100</v>
      </c>
      <c r="G38" s="1231"/>
      <c r="H38" s="1190">
        <f>SUMIF(114:114,G38,115:115)-SUMIF(114:114,C38,115:115)+100</f>
        <v>100</v>
      </c>
      <c r="I38" s="1773"/>
      <c r="J38" s="1190">
        <f>SUMIF(114:114,I38,115:115)-SUMIF(114:114,C38,115:115)+100</f>
        <v>100</v>
      </c>
      <c r="K38" s="1789"/>
      <c r="L38" s="1323"/>
      <c r="M38" s="1307"/>
      <c r="N38" s="1307"/>
      <c r="O38" s="1307"/>
      <c r="P38" s="1747" t="s">
        <v>1058</v>
      </c>
      <c r="Q38" s="712" t="str">
        <f t="shared" si="11"/>
        <v>物业管理</v>
      </c>
      <c r="R38" s="1372" t="s">
        <v>1031</v>
      </c>
      <c r="S38" s="1373">
        <f t="shared" si="12"/>
        <v>100</v>
      </c>
      <c r="T38" s="1372" t="s">
        <v>1031</v>
      </c>
      <c r="U38" s="1373">
        <f t="shared" si="13"/>
        <v>100</v>
      </c>
      <c r="V38" s="1372" t="s">
        <v>1031</v>
      </c>
      <c r="W38" s="1373">
        <f t="shared" si="14"/>
        <v>100</v>
      </c>
      <c r="X38" s="1359"/>
      <c r="Y38" s="1334" t="s">
        <v>1058</v>
      </c>
      <c r="Z38" s="1346" t="str">
        <f t="shared" si="18"/>
        <v>物业管理</v>
      </c>
      <c r="AA38" s="1388">
        <f t="shared" si="15"/>
        <v>1</v>
      </c>
      <c r="AB38" s="1388">
        <f t="shared" si="16"/>
        <v>1</v>
      </c>
      <c r="AC38" s="1388">
        <f t="shared" si="17"/>
        <v>1</v>
      </c>
    </row>
    <row r="39" ht="15.5" spans="1:29">
      <c r="A39" s="1230"/>
      <c r="B39" s="1177" t="s">
        <v>1063</v>
      </c>
      <c r="C39" s="1231"/>
      <c r="D39" s="1190">
        <v>100</v>
      </c>
      <c r="E39" s="1773"/>
      <c r="F39" s="1574">
        <f>SUMIF(116:116,E39,117:117)-SUMIF(116:116,C39,117:117)+100</f>
        <v>100</v>
      </c>
      <c r="G39" s="1231"/>
      <c r="H39" s="1190">
        <f>SUMIF(116:116,G39,117:117)-SUMIF(116:116,C39,117:117)+100</f>
        <v>100</v>
      </c>
      <c r="I39" s="1773"/>
      <c r="J39" s="1190">
        <f>SUMIF(116:116,I39,117:117)-SUMIF(116:116,C39,117:117)+100</f>
        <v>100</v>
      </c>
      <c r="K39" s="1789"/>
      <c r="L39" s="1323"/>
      <c r="M39" s="1307"/>
      <c r="N39" s="1307"/>
      <c r="O39" s="1307"/>
      <c r="P39" s="1747"/>
      <c r="Q39" s="712" t="str">
        <f t="shared" si="11"/>
        <v>市政基础设施</v>
      </c>
      <c r="R39" s="1372" t="s">
        <v>1031</v>
      </c>
      <c r="S39" s="1373">
        <f t="shared" si="12"/>
        <v>100</v>
      </c>
      <c r="T39" s="1372" t="s">
        <v>1031</v>
      </c>
      <c r="U39" s="1373">
        <f t="shared" si="13"/>
        <v>100</v>
      </c>
      <c r="V39" s="1372" t="s">
        <v>1031</v>
      </c>
      <c r="W39" s="1373">
        <f t="shared" si="14"/>
        <v>100</v>
      </c>
      <c r="X39" s="1359"/>
      <c r="Y39" s="1334"/>
      <c r="Z39" s="1346" t="str">
        <f t="shared" si="18"/>
        <v>市政基础设施</v>
      </c>
      <c r="AA39" s="1388">
        <f t="shared" si="15"/>
        <v>1</v>
      </c>
      <c r="AB39" s="1388">
        <f t="shared" si="16"/>
        <v>1</v>
      </c>
      <c r="AC39" s="1388">
        <f t="shared" si="17"/>
        <v>1</v>
      </c>
    </row>
    <row r="40" ht="15.5" spans="1:29">
      <c r="A40" s="1230"/>
      <c r="B40" s="1177" t="s">
        <v>1594</v>
      </c>
      <c r="C40" s="1231"/>
      <c r="D40" s="1190">
        <v>100</v>
      </c>
      <c r="E40" s="1773"/>
      <c r="F40" s="1574">
        <f>SUMIF(118:118,E40,119:119)-SUMIF(118:118,C40,119:119)+100</f>
        <v>100</v>
      </c>
      <c r="G40" s="1231"/>
      <c r="H40" s="1190">
        <f>SUMIF(118:118,G40,119:119)-SUMIF(118:118,C40,119:119)+100</f>
        <v>100</v>
      </c>
      <c r="I40" s="1773"/>
      <c r="J40" s="1190">
        <f>SUMIF(118:118,I40,119:119)-SUMIF(118:118,C40,119:119)+100</f>
        <v>100</v>
      </c>
      <c r="K40" s="1789"/>
      <c r="L40" s="1323"/>
      <c r="M40" s="1307"/>
      <c r="N40" s="1307"/>
      <c r="O40" s="1307"/>
      <c r="P40" s="1747"/>
      <c r="Q40" s="712" t="str">
        <f t="shared" si="11"/>
        <v>房型</v>
      </c>
      <c r="R40" s="1372" t="s">
        <v>1031</v>
      </c>
      <c r="S40" s="1373">
        <f t="shared" si="12"/>
        <v>100</v>
      </c>
      <c r="T40" s="1372" t="s">
        <v>1031</v>
      </c>
      <c r="U40" s="1373">
        <f t="shared" si="13"/>
        <v>100</v>
      </c>
      <c r="V40" s="1372" t="s">
        <v>1031</v>
      </c>
      <c r="W40" s="1373">
        <f t="shared" si="14"/>
        <v>100</v>
      </c>
      <c r="X40" s="1359"/>
      <c r="Y40" s="1334"/>
      <c r="Z40" s="1346" t="str">
        <f t="shared" si="18"/>
        <v>房型</v>
      </c>
      <c r="AA40" s="1388">
        <f t="shared" si="15"/>
        <v>1</v>
      </c>
      <c r="AB40" s="1388">
        <f t="shared" si="16"/>
        <v>1</v>
      </c>
      <c r="AC40" s="1388">
        <f t="shared" si="17"/>
        <v>1</v>
      </c>
    </row>
    <row r="41" s="1129" customFormat="1" ht="28" spans="1:29">
      <c r="A41" s="1235"/>
      <c r="B41" s="1177" t="s">
        <v>1595</v>
      </c>
      <c r="C41" s="1568"/>
      <c r="D41" s="1179">
        <v>100</v>
      </c>
      <c r="E41" s="1183"/>
      <c r="F41" s="1567">
        <f>SUMIF(120:120,E41,121:121)-SUMIF(120:120,C41,121:121)+100</f>
        <v>100</v>
      </c>
      <c r="G41" s="1182"/>
      <c r="H41" s="1179">
        <f>SUMIF(120:120,G41,121:121)-SUMIF(120:120,C41,121:121)+100</f>
        <v>100</v>
      </c>
      <c r="I41" s="1219"/>
      <c r="J41" s="1190">
        <f>SUMIF(120:120,I41,121:121)-SUMIF(120:120,C41,121:121)+100</f>
        <v>100</v>
      </c>
      <c r="K41" s="1790"/>
      <c r="L41" s="1321"/>
      <c r="M41" s="1332"/>
      <c r="N41" s="1332"/>
      <c r="O41" s="1332"/>
      <c r="P41" s="1747"/>
      <c r="Q41" s="1613" t="str">
        <f t="shared" si="11"/>
        <v>单套/主力户型建筑面积</v>
      </c>
      <c r="R41" s="1374" t="s">
        <v>1031</v>
      </c>
      <c r="S41" s="1375">
        <f t="shared" si="12"/>
        <v>100</v>
      </c>
      <c r="T41" s="1374" t="s">
        <v>1031</v>
      </c>
      <c r="U41" s="1375">
        <f t="shared" si="13"/>
        <v>100</v>
      </c>
      <c r="V41" s="1374" t="s">
        <v>1031</v>
      </c>
      <c r="W41" s="1375">
        <f t="shared" si="14"/>
        <v>100</v>
      </c>
      <c r="X41" s="1376"/>
      <c r="Y41" s="1334"/>
      <c r="Z41" s="1389" t="str">
        <f t="shared" si="18"/>
        <v>单套/主力户型建筑面积</v>
      </c>
      <c r="AA41" s="1388">
        <f t="shared" si="15"/>
        <v>1</v>
      </c>
      <c r="AB41" s="1388">
        <f t="shared" si="16"/>
        <v>1</v>
      </c>
      <c r="AC41" s="1388">
        <f t="shared" si="17"/>
        <v>1</v>
      </c>
    </row>
    <row r="42" ht="15.5" spans="1:29">
      <c r="A42" s="1230"/>
      <c r="B42" s="1177" t="s">
        <v>1069</v>
      </c>
      <c r="C42" s="1231"/>
      <c r="D42" s="1190">
        <v>100</v>
      </c>
      <c r="E42" s="1773"/>
      <c r="F42" s="1574">
        <f>SUMIF(122:122,E42,123:123)-SUMIF(122:122,C42,123:123)+100</f>
        <v>100</v>
      </c>
      <c r="G42" s="1231"/>
      <c r="H42" s="1190">
        <f>SUMIF(122:122,G42,123:123)-SUMIF(122:122,C42,123:123)+100</f>
        <v>100</v>
      </c>
      <c r="I42" s="1773"/>
      <c r="J42" s="1190">
        <f>SUMIF(122:122,I42,123:123)-SUMIF(122:122,C42,123:123)+100</f>
        <v>100</v>
      </c>
      <c r="K42" s="1789"/>
      <c r="L42" s="1323"/>
      <c r="M42" s="1307"/>
      <c r="N42" s="1307"/>
      <c r="O42" s="1307"/>
      <c r="P42" s="1747"/>
      <c r="Q42" s="712" t="str">
        <f t="shared" si="11"/>
        <v>内部装修</v>
      </c>
      <c r="R42" s="1372" t="s">
        <v>1031</v>
      </c>
      <c r="S42" s="1373">
        <f t="shared" si="12"/>
        <v>100</v>
      </c>
      <c r="T42" s="1372" t="s">
        <v>1031</v>
      </c>
      <c r="U42" s="1373">
        <f t="shared" si="13"/>
        <v>100</v>
      </c>
      <c r="V42" s="1372" t="s">
        <v>1031</v>
      </c>
      <c r="W42" s="1373">
        <f t="shared" si="14"/>
        <v>100</v>
      </c>
      <c r="X42" s="1359"/>
      <c r="Y42" s="1334"/>
      <c r="Z42" s="1346" t="str">
        <f t="shared" si="18"/>
        <v>内部装修</v>
      </c>
      <c r="AA42" s="1388">
        <f t="shared" si="15"/>
        <v>1</v>
      </c>
      <c r="AB42" s="1388">
        <f t="shared" si="16"/>
        <v>1</v>
      </c>
      <c r="AC42" s="1388">
        <f t="shared" si="17"/>
        <v>1</v>
      </c>
    </row>
    <row r="43" ht="28" spans="1:29">
      <c r="A43" s="1230"/>
      <c r="B43" s="1177" t="s">
        <v>1071</v>
      </c>
      <c r="C43" s="1231"/>
      <c r="D43" s="1190">
        <v>100</v>
      </c>
      <c r="E43" s="1773"/>
      <c r="F43" s="1574">
        <f>SUMIF(124:124,E43,125:125)-SUMIF(124:124,C43,125:125)+100</f>
        <v>100</v>
      </c>
      <c r="G43" s="1231"/>
      <c r="H43" s="1190">
        <f>SUMIF(124:124,G43,125:125)-SUMIF(124:124,C43,125:125)+100</f>
        <v>100</v>
      </c>
      <c r="I43" s="1773"/>
      <c r="J43" s="1190">
        <f>SUMIF(124:124,I43,125:125)-SUMIF(124:124,C43,125:125)+100</f>
        <v>100</v>
      </c>
      <c r="K43" s="1789"/>
      <c r="L43" s="1323"/>
      <c r="M43" s="1307"/>
      <c r="N43" s="1307"/>
      <c r="O43" s="1307"/>
      <c r="P43" s="1747"/>
      <c r="Q43" s="712" t="str">
        <f t="shared" si="11"/>
        <v>内部装修维护情况</v>
      </c>
      <c r="R43" s="1372" t="s">
        <v>1031</v>
      </c>
      <c r="S43" s="1373">
        <f t="shared" si="12"/>
        <v>100</v>
      </c>
      <c r="T43" s="1372" t="s">
        <v>1031</v>
      </c>
      <c r="U43" s="1373">
        <f t="shared" si="13"/>
        <v>100</v>
      </c>
      <c r="V43" s="1372" t="s">
        <v>1031</v>
      </c>
      <c r="W43" s="1373">
        <f t="shared" si="14"/>
        <v>100</v>
      </c>
      <c r="X43" s="1359"/>
      <c r="Y43" s="1334"/>
      <c r="Z43" s="1346" t="str">
        <f t="shared" si="18"/>
        <v>内部装修维护情况</v>
      </c>
      <c r="AA43" s="1388">
        <f t="shared" si="15"/>
        <v>1</v>
      </c>
      <c r="AB43" s="1388">
        <f t="shared" si="16"/>
        <v>1</v>
      </c>
      <c r="AC43" s="1388">
        <f t="shared" si="17"/>
        <v>1</v>
      </c>
    </row>
    <row r="44" s="1127" customFormat="1" ht="15.5" spans="1:29">
      <c r="A44" s="1232"/>
      <c r="B44" s="1525">
        <v>111</v>
      </c>
      <c r="C44" s="1568"/>
      <c r="D44" s="1179">
        <v>100</v>
      </c>
      <c r="E44" s="1568"/>
      <c r="F44" s="1567">
        <f>SUMIF(126:126,E44,127:127)-SUMIF(126:126,C44,127:127)+100</f>
        <v>100</v>
      </c>
      <c r="G44" s="1568"/>
      <c r="H44" s="1179">
        <f>SUMIF(126:126,G44,127:127)-SUMIF(126:126,C44,127:127)+100</f>
        <v>100</v>
      </c>
      <c r="I44" s="1568"/>
      <c r="J44" s="1179">
        <f>SUMIF(126:126,I44,127:127)-SUMIF(126:126,C44,127:127)+100</f>
        <v>100</v>
      </c>
      <c r="K44" s="1790"/>
      <c r="L44" s="1312"/>
      <c r="M44" s="1313"/>
      <c r="N44" s="1313"/>
      <c r="O44" s="1313"/>
      <c r="P44" s="1747"/>
      <c r="Q44" s="1371">
        <f t="shared" si="11"/>
        <v>111</v>
      </c>
      <c r="R44" s="1367" t="s">
        <v>1031</v>
      </c>
      <c r="S44" s="1368">
        <f t="shared" si="12"/>
        <v>100</v>
      </c>
      <c r="T44" s="1367" t="s">
        <v>1031</v>
      </c>
      <c r="U44" s="1368">
        <f t="shared" si="13"/>
        <v>100</v>
      </c>
      <c r="V44" s="1367" t="s">
        <v>1031</v>
      </c>
      <c r="W44" s="1368">
        <f t="shared" si="14"/>
        <v>100</v>
      </c>
      <c r="X44" s="1369"/>
      <c r="Y44" s="1334"/>
      <c r="Z44" s="1387">
        <f t="shared" si="18"/>
        <v>111</v>
      </c>
      <c r="AA44" s="1386">
        <f t="shared" si="15"/>
        <v>1</v>
      </c>
      <c r="AB44" s="1386">
        <f t="shared" si="16"/>
        <v>1</v>
      </c>
      <c r="AC44" s="1386">
        <f t="shared" si="17"/>
        <v>1</v>
      </c>
    </row>
    <row r="45" ht="15.5" spans="1:29">
      <c r="A45" s="1230"/>
      <c r="B45" s="1525">
        <v>111</v>
      </c>
      <c r="C45" s="1189"/>
      <c r="D45" s="1190">
        <v>100</v>
      </c>
      <c r="E45" s="1189"/>
      <c r="F45" s="1574">
        <f>SUMIF(128:128,E45,129:129)-SUMIF(128:128,C45,129:129)+100</f>
        <v>100</v>
      </c>
      <c r="G45" s="1189"/>
      <c r="H45" s="1190">
        <f>SUMIF(128:128,G45,129:129)-SUMIF(128:128,C45,129:129)+100</f>
        <v>100</v>
      </c>
      <c r="I45" s="1189"/>
      <c r="J45" s="1190">
        <f>SUMIF(128:128,I45,129:129)-SUMIF(128:128,C45,129:129)+100</f>
        <v>100</v>
      </c>
      <c r="K45" s="1790"/>
      <c r="L45" s="1323"/>
      <c r="M45" s="1307"/>
      <c r="N45" s="1307"/>
      <c r="O45" s="1307"/>
      <c r="P45" s="1747"/>
      <c r="Q45" s="712">
        <f t="shared" si="11"/>
        <v>111</v>
      </c>
      <c r="R45" s="1372" t="s">
        <v>1031</v>
      </c>
      <c r="S45" s="1373">
        <f t="shared" si="12"/>
        <v>100</v>
      </c>
      <c r="T45" s="1372" t="s">
        <v>1031</v>
      </c>
      <c r="U45" s="1373">
        <f t="shared" si="13"/>
        <v>100</v>
      </c>
      <c r="V45" s="1372" t="s">
        <v>1031</v>
      </c>
      <c r="W45" s="1373">
        <f t="shared" si="14"/>
        <v>100</v>
      </c>
      <c r="X45" s="1359"/>
      <c r="Y45" s="1334"/>
      <c r="Z45" s="1346">
        <f t="shared" si="18"/>
        <v>111</v>
      </c>
      <c r="AA45" s="1388">
        <f t="shared" si="15"/>
        <v>1</v>
      </c>
      <c r="AB45" s="1388">
        <f t="shared" si="16"/>
        <v>1</v>
      </c>
      <c r="AC45" s="1388">
        <f t="shared" si="17"/>
        <v>1</v>
      </c>
    </row>
    <row r="46" ht="16.25" spans="1:29">
      <c r="A46" s="1586"/>
      <c r="B46" s="1192">
        <v>111</v>
      </c>
      <c r="C46" s="1193"/>
      <c r="D46" s="1194">
        <v>100</v>
      </c>
      <c r="E46" s="1193"/>
      <c r="F46" s="1587">
        <f>SUMIF(130:130,E46,131:131)-SUMIF(130:130,C46,131:131)+100</f>
        <v>100</v>
      </c>
      <c r="G46" s="1193"/>
      <c r="H46" s="1194">
        <f>SUMIF(130:130,G46,131:131)-SUMIF(130:130,C46,131:131)+100</f>
        <v>100</v>
      </c>
      <c r="I46" s="1193"/>
      <c r="J46" s="1194">
        <f>SUMIF(130:130,I46,131:131)-SUMIF(130:130,C46,131:131)+100</f>
        <v>100</v>
      </c>
      <c r="K46" s="1790"/>
      <c r="L46" s="1323"/>
      <c r="M46" s="1307"/>
      <c r="N46" s="1307"/>
      <c r="O46" s="1307"/>
      <c r="P46" s="1748"/>
      <c r="Q46" s="712">
        <f t="shared" si="11"/>
        <v>111</v>
      </c>
      <c r="R46" s="1372" t="s">
        <v>1031</v>
      </c>
      <c r="S46" s="1373">
        <f t="shared" si="12"/>
        <v>100</v>
      </c>
      <c r="T46" s="1372" t="s">
        <v>1031</v>
      </c>
      <c r="U46" s="1373">
        <f t="shared" si="13"/>
        <v>100</v>
      </c>
      <c r="V46" s="1372" t="s">
        <v>1031</v>
      </c>
      <c r="W46" s="1373">
        <f t="shared" si="14"/>
        <v>100</v>
      </c>
      <c r="X46" s="1359"/>
      <c r="Y46" s="1704"/>
      <c r="Z46" s="1346">
        <f t="shared" si="18"/>
        <v>111</v>
      </c>
      <c r="AA46" s="1388">
        <f t="shared" si="15"/>
        <v>1</v>
      </c>
      <c r="AB46" s="1388">
        <f t="shared" si="16"/>
        <v>1</v>
      </c>
      <c r="AC46" s="1388">
        <f t="shared" si="17"/>
        <v>1</v>
      </c>
    </row>
    <row r="47" spans="1:29">
      <c r="A47" s="1237" t="s">
        <v>1074</v>
      </c>
      <c r="B47" s="1588"/>
      <c r="C47" s="1589" t="s">
        <v>124</v>
      </c>
      <c r="D47" s="1590"/>
      <c r="E47" s="1591"/>
      <c r="F47" s="1592"/>
      <c r="G47" s="1593"/>
      <c r="H47" s="1594"/>
      <c r="I47" s="1591"/>
      <c r="J47" s="1594"/>
      <c r="K47" s="1794"/>
      <c r="L47" s="1338"/>
      <c r="M47" s="1254"/>
      <c r="N47" s="1307"/>
      <c r="O47" s="1254"/>
      <c r="P47" s="712" t="str">
        <f>A47</f>
        <v>成交单价（元/平方米）</v>
      </c>
      <c r="Q47" s="712"/>
      <c r="R47" s="1388">
        <f>E47</f>
        <v>0</v>
      </c>
      <c r="S47" s="1388"/>
      <c r="T47" s="1388">
        <f>G47</f>
        <v>0</v>
      </c>
      <c r="U47" s="1388"/>
      <c r="V47" s="1388">
        <f>I47</f>
        <v>0</v>
      </c>
      <c r="W47" s="1388"/>
      <c r="X47" s="1295"/>
      <c r="Y47" s="1390"/>
      <c r="Z47" s="1295"/>
      <c r="AA47" s="1295"/>
      <c r="AB47" s="1295"/>
      <c r="AC47" s="1295"/>
    </row>
    <row r="48" ht="14.75" spans="1:29">
      <c r="A48" s="1245" t="s">
        <v>1075</v>
      </c>
      <c r="B48" s="1595"/>
      <c r="C48" s="1596" t="e">
        <f>R49</f>
        <v>#DIV/0!</v>
      </c>
      <c r="D48" s="1248" t="s">
        <v>1076</v>
      </c>
      <c r="E48" s="1597" t="e">
        <f>R48</f>
        <v>#DIV/0!</v>
      </c>
      <c r="F48" s="1249"/>
      <c r="G48" s="1596" t="e">
        <f>T48</f>
        <v>#DIV/0!</v>
      </c>
      <c r="H48" s="1249"/>
      <c r="I48" s="1597" t="e">
        <f>V48</f>
        <v>#DIV/0!</v>
      </c>
      <c r="J48" s="1249"/>
      <c r="K48" s="1795">
        <f>F48+H48+J48</f>
        <v>0</v>
      </c>
      <c r="L48" s="1338"/>
      <c r="M48" s="1254"/>
      <c r="N48" s="1254"/>
      <c r="O48" s="1254"/>
      <c r="P48" s="712" t="str">
        <f>A48</f>
        <v>比较价值（元/平方米）</v>
      </c>
      <c r="Q48" s="712"/>
      <c r="R48" s="1388" t="e">
        <f>IF(F1="售价",ROUND(PRODUCT(R47,AA7:AA46),0),ROUND(PRODUCT(R47,AA7:AA46),1))</f>
        <v>#DIV/0!</v>
      </c>
      <c r="S48" s="1388"/>
      <c r="T48" s="1388" t="e">
        <f>IF(F1="售价",ROUND(PRODUCT(T47,AB7:AB46),0),ROUND(PRODUCT(T47,AB7:AB46),1))</f>
        <v>#DIV/0!</v>
      </c>
      <c r="U48" s="1388"/>
      <c r="V48" s="1388" t="e">
        <f>IF(F1="售价",ROUND(PRODUCT(V47,AC7:AC46),0),ROUND(PRODUCT(V47,AC7:AC46),1))</f>
        <v>#DIV/0!</v>
      </c>
      <c r="W48" s="1388"/>
      <c r="X48" s="1295"/>
      <c r="Y48" s="1295"/>
      <c r="Z48" s="1295"/>
      <c r="AA48" s="1295"/>
      <c r="AB48" s="1295"/>
      <c r="AC48" s="1295"/>
    </row>
    <row r="49" ht="14.75" spans="1:29">
      <c r="A49" s="1251" t="s">
        <v>1077</v>
      </c>
      <c r="B49" s="1252"/>
      <c r="C49" s="1778" t="e">
        <f>R49</f>
        <v>#DIV/0!</v>
      </c>
      <c r="D49" s="1598"/>
      <c r="E49" s="1598"/>
      <c r="F49" s="1598"/>
      <c r="G49" s="1598"/>
      <c r="H49" s="1598"/>
      <c r="I49" s="1598"/>
      <c r="J49" s="1598"/>
      <c r="K49" s="1796"/>
      <c r="L49" s="1338"/>
      <c r="M49" s="1254"/>
      <c r="N49" s="1254"/>
      <c r="O49" s="1254"/>
      <c r="P49" s="1341" t="str">
        <f>A49</f>
        <v>估价对象XX用房的比较价值（楼面单价，元/平方米）</v>
      </c>
      <c r="Q49" s="1378"/>
      <c r="R49" s="1720" t="e">
        <f>IF(F1="售价",ROUND(IF(D48="简单平均",AVERAGE(R48:V48),R48*F48+T48*H48+V48*J48),0),ROUND(IF(D48="简单平均",AVERAGE(R48:V48),R48*F48+T48*H48+V48*J48),1))</f>
        <v>#DIV/0!</v>
      </c>
      <c r="S49" s="1720"/>
      <c r="T49" s="1720"/>
      <c r="U49" s="1720"/>
      <c r="V49" s="1720"/>
      <c r="W49" s="1720"/>
      <c r="X49" s="1295"/>
      <c r="Y49" s="1295"/>
      <c r="Z49" s="1295"/>
      <c r="AA49" s="1295"/>
      <c r="AB49" s="1295"/>
      <c r="AC49" s="1295"/>
    </row>
    <row r="50" spans="1:15">
      <c r="A50" s="1254"/>
      <c r="B50" s="1254"/>
      <c r="C50" s="1254"/>
      <c r="D50" s="1254"/>
      <c r="E50" s="1254"/>
      <c r="F50" s="1254"/>
      <c r="G50" s="1255"/>
      <c r="H50" s="1254"/>
      <c r="I50" s="1254"/>
      <c r="J50" s="1254"/>
      <c r="K50" s="1342"/>
      <c r="L50" s="1343"/>
      <c r="M50" s="1254"/>
      <c r="N50" s="1254"/>
      <c r="O50" s="1254"/>
    </row>
    <row r="51" spans="1:15">
      <c r="A51" s="1254"/>
      <c r="B51" s="1254"/>
      <c r="C51" s="1254"/>
      <c r="D51" s="1254"/>
      <c r="E51" s="1254"/>
      <c r="F51" s="1254"/>
      <c r="G51" s="1254"/>
      <c r="H51" s="1254"/>
      <c r="I51" s="1254"/>
      <c r="J51" s="1254"/>
      <c r="K51" s="1342"/>
      <c r="L51" s="1343"/>
      <c r="M51" s="1254"/>
      <c r="N51" s="1254"/>
      <c r="O51" s="1254"/>
    </row>
    <row r="52" ht="13.5" customHeight="1" spans="1:15">
      <c r="A52" s="1254"/>
      <c r="B52" s="1254"/>
      <c r="C52" s="1256" t="s">
        <v>1078</v>
      </c>
      <c r="D52" s="756"/>
      <c r="E52" s="1257" t="e">
        <f>IF(E47&lt;E48,E48/E47-1,E47/E48-1)</f>
        <v>#DIV/0!</v>
      </c>
      <c r="F52" s="1258" t="e">
        <f>IF(OR(E52&gt;=0.3,E52&lt;=-0.3),"超过30%","")</f>
        <v>#DIV/0!</v>
      </c>
      <c r="G52" s="1257" t="e">
        <f>IF(G47&lt;G48,G48/G47-1,G47/G48-1)</f>
        <v>#DIV/0!</v>
      </c>
      <c r="H52" s="1258" t="e">
        <f>IF(OR(G52&gt;=0.3,G52&lt;=-0.3),"超过30%","")</f>
        <v>#DIV/0!</v>
      </c>
      <c r="I52" s="1257" t="e">
        <f>IF(I47&lt;I48,I48/I47-1,I47/I48-1)</f>
        <v>#DIV/0!</v>
      </c>
      <c r="J52" s="1258" t="e">
        <f>IF(OR(I52&gt;=0.3,I52&lt;=-0.3),"超过30%","")</f>
        <v>#DIV/0!</v>
      </c>
      <c r="K52" s="1342"/>
      <c r="L52" s="1343"/>
      <c r="M52" s="1254"/>
      <c r="N52" s="1254"/>
      <c r="O52" s="1254"/>
    </row>
    <row r="53" ht="13.5" customHeight="1" spans="1:15">
      <c r="A53" s="1254"/>
      <c r="B53" s="1254"/>
      <c r="C53" s="1256" t="s">
        <v>1079</v>
      </c>
      <c r="D53" s="755"/>
      <c r="E53" s="1257" t="e">
        <f>IF(E48&lt;G48,G48/E48-1,E48/G48-1)</f>
        <v>#DIV/0!</v>
      </c>
      <c r="F53" s="1258" t="e">
        <f>IF(OR(E53&gt;=0.2,E53&lt;=-0.2),"超过20%","")</f>
        <v>#DIV/0!</v>
      </c>
      <c r="G53" s="1257" t="e">
        <f>IF(G48&lt;I48,I48/G48-1,G48/I48-1)</f>
        <v>#DIV/0!</v>
      </c>
      <c r="H53" s="1258" t="e">
        <f>IF(OR(G53&gt;=0.2,G53&lt;=-0.2),"超过20%","")</f>
        <v>#DIV/0!</v>
      </c>
      <c r="I53" s="1257" t="e">
        <f>IF(I48&lt;E48,E48/I48-1,I48/E48-1)</f>
        <v>#DIV/0!</v>
      </c>
      <c r="J53" s="1258" t="e">
        <f>IF(OR(I53&gt;=0.2,I53&lt;=-0.2),"超过20%","")</f>
        <v>#DIV/0!</v>
      </c>
      <c r="K53" s="1342"/>
      <c r="L53" s="1343"/>
      <c r="M53" s="1254"/>
      <c r="N53" s="1254"/>
      <c r="O53" s="1254"/>
    </row>
    <row r="54" s="1130" customFormat="1" ht="13.5" customHeight="1" spans="1:16">
      <c r="A54" s="1259"/>
      <c r="B54" s="1259"/>
      <c r="C54" s="1256" t="s">
        <v>1080</v>
      </c>
      <c r="D54" s="755"/>
      <c r="E54" s="1257" t="e">
        <f>IF(E47&lt;G47,G47/E47-1,E47/G47-1)</f>
        <v>#DIV/0!</v>
      </c>
      <c r="F54" s="1258" t="e">
        <f>IF(OR(E54&gt;=0.3,E54&lt;=-0.3),"超过30%","")</f>
        <v>#DIV/0!</v>
      </c>
      <c r="G54" s="1257" t="e">
        <f>IF(G47&lt;I47,I47/G47-1,G47/I47-1)</f>
        <v>#DIV/0!</v>
      </c>
      <c r="H54" s="1258" t="e">
        <f>IF(OR(G54&gt;=0.3,G54&lt;=-0.3),"超过30%","")</f>
        <v>#DIV/0!</v>
      </c>
      <c r="I54" s="1257" t="e">
        <f>IF(I47&lt;E47,E47/I47-1,I47/E47-1)</f>
        <v>#DIV/0!</v>
      </c>
      <c r="J54" s="1258" t="e">
        <f>IF(OR(I54&gt;=0.3,I54&lt;=-0.3),"超过30%","")</f>
        <v>#DIV/0!</v>
      </c>
      <c r="K54" s="1344"/>
      <c r="L54" s="1345"/>
      <c r="M54" s="1259"/>
      <c r="N54" s="1259"/>
      <c r="O54" s="1259"/>
      <c r="P54" s="1797"/>
    </row>
    <row r="55" s="1130" customFormat="1" spans="1:16">
      <c r="A55" s="1259"/>
      <c r="B55" s="1260"/>
      <c r="C55" s="1599"/>
      <c r="D55" s="1259"/>
      <c r="E55" s="1259"/>
      <c r="F55" s="1259"/>
      <c r="G55" s="1259"/>
      <c r="H55" s="1259"/>
      <c r="I55" s="1259"/>
      <c r="J55" s="1259"/>
      <c r="K55" s="1344"/>
      <c r="L55" s="1345"/>
      <c r="M55" s="1259"/>
      <c r="N55" s="1259"/>
      <c r="O55" s="1259"/>
      <c r="P55" s="1797"/>
    </row>
    <row r="56" spans="1:15">
      <c r="A56" s="1254"/>
      <c r="B56" s="1260"/>
      <c r="C56" s="1599"/>
      <c r="D56" s="1254"/>
      <c r="E56" s="1254"/>
      <c r="F56" s="1254"/>
      <c r="G56" s="1254"/>
      <c r="H56" s="1254"/>
      <c r="I56" s="1254"/>
      <c r="J56" s="1254"/>
      <c r="K56" s="1342"/>
      <c r="L56" s="1343"/>
      <c r="M56" s="1254"/>
      <c r="N56" s="1254"/>
      <c r="O56" s="1254"/>
    </row>
    <row r="57" ht="21.75" spans="1:17">
      <c r="A57" s="1294" t="s">
        <v>1081</v>
      </c>
      <c r="B57" s="1295"/>
      <c r="C57" s="1296"/>
      <c r="D57" s="1296"/>
      <c r="E57" s="1296"/>
      <c r="F57" s="1297"/>
      <c r="G57" s="1297"/>
      <c r="H57" s="1296"/>
      <c r="I57" s="1296"/>
      <c r="J57" s="1296"/>
      <c r="K57" s="1543"/>
      <c r="L57" s="1544"/>
      <c r="M57" s="1354"/>
      <c r="N57" s="1354"/>
      <c r="O57" s="1354"/>
      <c r="P57" s="1798"/>
      <c r="Q57" s="1710"/>
    </row>
    <row r="58" s="1132" customFormat="1" spans="1:16">
      <c r="A58" s="1600" t="s">
        <v>1029</v>
      </c>
      <c r="B58" s="1601"/>
      <c r="C58" s="1779" t="str">
        <f>YEAR(C7)&amp;"-"&amp;MONTH(C7)</f>
        <v>2025-7</v>
      </c>
      <c r="D58" s="1603">
        <f>EDATE(C58,-1)</f>
        <v>45809</v>
      </c>
      <c r="E58" s="1603">
        <f>EDATE(D58,-1)</f>
        <v>45778</v>
      </c>
      <c r="F58" s="1603">
        <f t="shared" ref="F58:O58" si="19">EDATE(E58,-1)</f>
        <v>45748</v>
      </c>
      <c r="G58" s="1603">
        <f t="shared" si="19"/>
        <v>45717</v>
      </c>
      <c r="H58" s="1603">
        <f t="shared" si="19"/>
        <v>45689</v>
      </c>
      <c r="I58" s="1603">
        <f t="shared" si="19"/>
        <v>45658</v>
      </c>
      <c r="J58" s="1603">
        <f t="shared" si="19"/>
        <v>45627</v>
      </c>
      <c r="K58" s="1603">
        <f t="shared" si="19"/>
        <v>45597</v>
      </c>
      <c r="L58" s="1603">
        <f t="shared" si="19"/>
        <v>45566</v>
      </c>
      <c r="M58" s="1603">
        <f t="shared" si="19"/>
        <v>45536</v>
      </c>
      <c r="N58" s="1603">
        <f t="shared" si="19"/>
        <v>45505</v>
      </c>
      <c r="O58" s="1603">
        <f t="shared" si="19"/>
        <v>45474</v>
      </c>
      <c r="P58" s="1799"/>
    </row>
    <row r="59" s="1127" customFormat="1" spans="1:16">
      <c r="A59" s="1604"/>
      <c r="B59" s="1780"/>
      <c r="C59" s="1605">
        <v>100</v>
      </c>
      <c r="D59" s="1739"/>
      <c r="E59" s="1406"/>
      <c r="F59" s="1406"/>
      <c r="G59" s="1406"/>
      <c r="H59" s="1406"/>
      <c r="I59" s="1406"/>
      <c r="J59" s="1406"/>
      <c r="K59" s="1406"/>
      <c r="L59" s="1406"/>
      <c r="M59" s="1612"/>
      <c r="N59" s="1406"/>
      <c r="O59" s="1612"/>
      <c r="P59" s="1800"/>
    </row>
    <row r="60" s="1127" customFormat="1" ht="14.75" spans="1:17">
      <c r="A60" s="1397" t="s">
        <v>1082</v>
      </c>
      <c r="B60" s="1398"/>
      <c r="C60" s="1399"/>
      <c r="D60" s="1400"/>
      <c r="E60" s="1400"/>
      <c r="F60" s="1400"/>
      <c r="G60" s="1400"/>
      <c r="H60" s="1400"/>
      <c r="I60" s="1400"/>
      <c r="J60" s="1400"/>
      <c r="K60" s="1400"/>
      <c r="L60" s="1400"/>
      <c r="M60" s="1448"/>
      <c r="N60" s="1400"/>
      <c r="O60" s="1448"/>
      <c r="P60" s="1800"/>
      <c r="Q60" s="1710"/>
    </row>
    <row r="61" s="1127" customFormat="1" spans="1:17">
      <c r="A61" s="1401" t="s">
        <v>1032</v>
      </c>
      <c r="B61" s="1402"/>
      <c r="C61" s="1403" t="s">
        <v>1083</v>
      </c>
      <c r="D61" s="1404"/>
      <c r="E61" s="1404"/>
      <c r="F61" s="1404"/>
      <c r="G61" s="1404"/>
      <c r="H61" s="1404"/>
      <c r="I61" s="1404"/>
      <c r="J61" s="1404"/>
      <c r="K61" s="1404"/>
      <c r="L61" s="1450"/>
      <c r="M61" s="1451"/>
      <c r="N61" s="1713"/>
      <c r="O61" s="1713"/>
      <c r="P61" s="1801"/>
      <c r="Q61" s="1710"/>
    </row>
    <row r="62" s="1127" customFormat="1" ht="14.75" spans="1:17">
      <c r="A62" s="1401"/>
      <c r="B62" s="1402"/>
      <c r="C62" s="1739">
        <v>100</v>
      </c>
      <c r="D62" s="1406"/>
      <c r="E62" s="1406"/>
      <c r="F62" s="1406"/>
      <c r="G62" s="1406"/>
      <c r="H62" s="1406"/>
      <c r="I62" s="1406"/>
      <c r="J62" s="1406"/>
      <c r="K62" s="1406"/>
      <c r="L62" s="1406"/>
      <c r="M62" s="1454"/>
      <c r="N62" s="1713"/>
      <c r="O62" s="1713"/>
      <c r="P62" s="1800"/>
      <c r="Q62" s="1710"/>
    </row>
    <row r="63" spans="1:17">
      <c r="A63" s="1407" t="s">
        <v>1084</v>
      </c>
      <c r="B63" s="1408" t="s">
        <v>1036</v>
      </c>
      <c r="C63" s="1430">
        <f>C9</f>
        <v>0</v>
      </c>
      <c r="D63" s="1335"/>
      <c r="E63" s="1335"/>
      <c r="F63" s="1335"/>
      <c r="G63" s="1335"/>
      <c r="H63" s="1335"/>
      <c r="I63" s="1335"/>
      <c r="J63" s="1335"/>
      <c r="K63" s="1455"/>
      <c r="L63" s="1456"/>
      <c r="M63" s="1457"/>
      <c r="N63" s="1715"/>
      <c r="O63" s="1715"/>
      <c r="P63" s="1802"/>
      <c r="Q63" s="1710"/>
    </row>
    <row r="64" ht="14.75" spans="1:17">
      <c r="A64" s="1409"/>
      <c r="B64" s="1410"/>
      <c r="C64" s="1411">
        <v>100</v>
      </c>
      <c r="D64" s="1411"/>
      <c r="E64" s="1411"/>
      <c r="F64" s="1411"/>
      <c r="G64" s="1411"/>
      <c r="H64" s="1411"/>
      <c r="I64" s="1411"/>
      <c r="J64" s="1411"/>
      <c r="K64" s="1411"/>
      <c r="L64" s="1411"/>
      <c r="M64" s="1460"/>
      <c r="N64" s="1717"/>
      <c r="O64" s="1717"/>
      <c r="P64" s="1802"/>
      <c r="Q64" s="1710"/>
    </row>
    <row r="65" ht="28.75" spans="1:17">
      <c r="A65" s="1409"/>
      <c r="B65" s="1412" t="s">
        <v>1039</v>
      </c>
      <c r="C65" s="1437"/>
      <c r="D65" s="1437"/>
      <c r="E65" s="1437"/>
      <c r="F65" s="1437"/>
      <c r="G65" s="1437"/>
      <c r="H65" s="1437"/>
      <c r="I65" s="1437"/>
      <c r="J65" s="1437"/>
      <c r="K65" s="1437"/>
      <c r="L65" s="1437"/>
      <c r="M65" s="1437"/>
      <c r="N65" s="1717"/>
      <c r="O65" s="1717"/>
      <c r="P65" s="1802"/>
      <c r="Q65" s="1710"/>
    </row>
    <row r="66" ht="14.75" spans="1:17">
      <c r="A66" s="1409"/>
      <c r="B66" s="1414"/>
      <c r="C66" s="1411"/>
      <c r="D66" s="1411"/>
      <c r="E66" s="1411"/>
      <c r="F66" s="1411"/>
      <c r="G66" s="1411"/>
      <c r="H66" s="1411"/>
      <c r="I66" s="1411"/>
      <c r="J66" s="1411"/>
      <c r="K66" s="1411"/>
      <c r="L66" s="1411"/>
      <c r="M66" s="1460"/>
      <c r="N66" s="1717"/>
      <c r="O66" s="1717"/>
      <c r="P66" s="1802"/>
      <c r="Q66" s="1710"/>
    </row>
    <row r="67" ht="14.75" spans="1:17">
      <c r="A67" s="1409"/>
      <c r="B67" s="1416" t="s">
        <v>1042</v>
      </c>
      <c r="C67" s="1417" t="str">
        <f>C68&amp;"（含）"&amp;"-"&amp;D68</f>
        <v>（含）-</v>
      </c>
      <c r="D67" s="1417" t="str">
        <f t="shared" ref="D67:L67" si="20">D68&amp;"（含）"&amp;"-"&amp;E68</f>
        <v>（含）-</v>
      </c>
      <c r="E67" s="1417" t="str">
        <f t="shared" si="20"/>
        <v>（含）-</v>
      </c>
      <c r="F67" s="1417" t="str">
        <f t="shared" si="20"/>
        <v>（含）-</v>
      </c>
      <c r="G67" s="1417" t="str">
        <f t="shared" si="20"/>
        <v>（含）-</v>
      </c>
      <c r="H67" s="1417" t="str">
        <f t="shared" si="20"/>
        <v>（含）-</v>
      </c>
      <c r="I67" s="1417" t="str">
        <f t="shared" si="20"/>
        <v>（含）-</v>
      </c>
      <c r="J67" s="1417" t="str">
        <f t="shared" si="20"/>
        <v>（含）-</v>
      </c>
      <c r="K67" s="1417" t="str">
        <f t="shared" si="20"/>
        <v>（含）-</v>
      </c>
      <c r="L67" s="1417" t="str">
        <f t="shared" si="20"/>
        <v>（含）-</v>
      </c>
      <c r="M67" s="1202" t="str">
        <f>M68&amp;"（含）"&amp;"-"&amp;P68</f>
        <v>（含）-</v>
      </c>
      <c r="N67" s="1717"/>
      <c r="O67" s="1717"/>
      <c r="P67" s="1802"/>
      <c r="Q67" s="1710"/>
    </row>
    <row r="68" spans="1:17">
      <c r="A68" s="1409"/>
      <c r="B68" s="1418"/>
      <c r="C68" s="1187"/>
      <c r="D68" s="1187"/>
      <c r="E68" s="1187"/>
      <c r="F68" s="1187"/>
      <c r="G68" s="1187"/>
      <c r="H68" s="1187"/>
      <c r="I68" s="1187"/>
      <c r="J68" s="1187"/>
      <c r="K68" s="1466"/>
      <c r="L68" s="1467"/>
      <c r="M68" s="1468"/>
      <c r="N68" s="1715"/>
      <c r="O68" s="1715"/>
      <c r="P68" s="1802"/>
      <c r="Q68" s="1710"/>
    </row>
    <row r="69" ht="14.75" spans="1:17">
      <c r="A69" s="1409"/>
      <c r="B69" s="1410"/>
      <c r="C69" s="1415">
        <v>100</v>
      </c>
      <c r="D69" s="1415">
        <f t="shared" ref="D69:M69" si="21">C69-$K11</f>
        <v>100</v>
      </c>
      <c r="E69" s="1415">
        <f t="shared" si="21"/>
        <v>100</v>
      </c>
      <c r="F69" s="1415">
        <f t="shared" si="21"/>
        <v>100</v>
      </c>
      <c r="G69" s="1415">
        <f t="shared" si="21"/>
        <v>100</v>
      </c>
      <c r="H69" s="1415">
        <f t="shared" si="21"/>
        <v>100</v>
      </c>
      <c r="I69" s="1415">
        <f t="shared" si="21"/>
        <v>100</v>
      </c>
      <c r="J69" s="1415">
        <f t="shared" si="21"/>
        <v>100</v>
      </c>
      <c r="K69" s="1415">
        <f t="shared" si="21"/>
        <v>100</v>
      </c>
      <c r="L69" s="1415">
        <f t="shared" si="21"/>
        <v>100</v>
      </c>
      <c r="M69" s="1465">
        <f t="shared" si="21"/>
        <v>100</v>
      </c>
      <c r="N69" s="1717"/>
      <c r="O69" s="1717"/>
      <c r="P69" s="1802"/>
      <c r="Q69" s="1710"/>
    </row>
    <row r="70" s="1129" customFormat="1" ht="14.75" spans="1:17">
      <c r="A70" s="1419"/>
      <c r="B70" s="1412">
        <f>B12</f>
        <v>111</v>
      </c>
      <c r="C70" s="1420"/>
      <c r="D70" s="1420"/>
      <c r="E70" s="1420"/>
      <c r="F70" s="1420"/>
      <c r="G70" s="1420"/>
      <c r="H70" s="1421"/>
      <c r="I70" s="1421"/>
      <c r="J70" s="1421"/>
      <c r="K70" s="1421"/>
      <c r="L70" s="1469"/>
      <c r="M70" s="1470"/>
      <c r="N70" s="1718"/>
      <c r="O70" s="1718"/>
      <c r="P70" s="1806"/>
      <c r="Q70" s="1721"/>
    </row>
    <row r="71" s="1129" customFormat="1" ht="14.75" spans="1:17">
      <c r="A71" s="1419"/>
      <c r="B71" s="1414"/>
      <c r="C71" s="1422"/>
      <c r="D71" s="1411"/>
      <c r="E71" s="1411"/>
      <c r="F71" s="1411"/>
      <c r="G71" s="1411"/>
      <c r="H71" s="1411"/>
      <c r="I71" s="1411"/>
      <c r="J71" s="1411"/>
      <c r="K71" s="1411"/>
      <c r="L71" s="1411"/>
      <c r="M71" s="1460"/>
      <c r="N71" s="1717"/>
      <c r="O71" s="1717"/>
      <c r="P71" s="1806"/>
      <c r="Q71" s="1721"/>
    </row>
    <row r="72" s="1129" customFormat="1" ht="14.75" spans="1:17">
      <c r="A72" s="1419"/>
      <c r="B72" s="1412">
        <f>B13</f>
        <v>111</v>
      </c>
      <c r="C72" s="1420"/>
      <c r="D72" s="1420"/>
      <c r="E72" s="1420"/>
      <c r="F72" s="1420"/>
      <c r="G72" s="1420"/>
      <c r="H72" s="1421"/>
      <c r="I72" s="1421"/>
      <c r="J72" s="1421"/>
      <c r="K72" s="1421"/>
      <c r="L72" s="1469"/>
      <c r="M72" s="1470"/>
      <c r="N72" s="1718"/>
      <c r="O72" s="1718"/>
      <c r="P72" s="1807"/>
      <c r="Q72" s="1727"/>
    </row>
    <row r="73" s="1129" customFormat="1" ht="14.75" spans="1:17">
      <c r="A73" s="1419"/>
      <c r="B73" s="1414"/>
      <c r="C73" s="1422"/>
      <c r="D73" s="1422"/>
      <c r="E73" s="1422"/>
      <c r="F73" s="1422"/>
      <c r="G73" s="1422"/>
      <c r="H73" s="1423"/>
      <c r="I73" s="1423"/>
      <c r="J73" s="1423"/>
      <c r="K73" s="1423"/>
      <c r="L73" s="1423"/>
      <c r="M73" s="1473"/>
      <c r="N73" s="1718"/>
      <c r="O73" s="1718"/>
      <c r="P73" s="1806"/>
      <c r="Q73" s="1721"/>
    </row>
    <row r="74" s="1129" customFormat="1" ht="14.75" spans="1:17">
      <c r="A74" s="1419"/>
      <c r="B74" s="1416">
        <f>B14</f>
        <v>111</v>
      </c>
      <c r="C74" s="1420"/>
      <c r="D74" s="1420"/>
      <c r="E74" s="1420"/>
      <c r="F74" s="1420"/>
      <c r="G74" s="1404"/>
      <c r="H74" s="1424"/>
      <c r="I74" s="1424"/>
      <c r="J74" s="1424"/>
      <c r="K74" s="1424"/>
      <c r="L74" s="1474"/>
      <c r="M74" s="1475"/>
      <c r="N74" s="1718"/>
      <c r="O74" s="1718"/>
      <c r="P74" s="1808"/>
      <c r="Q74" s="1721"/>
    </row>
    <row r="75" s="1129" customFormat="1" ht="14.75" spans="1:17">
      <c r="A75" s="1425"/>
      <c r="B75" s="1426"/>
      <c r="C75" s="1427"/>
      <c r="D75" s="1427"/>
      <c r="E75" s="1427"/>
      <c r="F75" s="1427"/>
      <c r="G75" s="1427"/>
      <c r="H75" s="1428"/>
      <c r="I75" s="1428"/>
      <c r="J75" s="1428"/>
      <c r="K75" s="1428"/>
      <c r="L75" s="1428"/>
      <c r="M75" s="1477"/>
      <c r="N75" s="1718"/>
      <c r="O75" s="1718"/>
      <c r="P75" s="1806"/>
      <c r="Q75" s="1721"/>
    </row>
    <row r="76" spans="1:17">
      <c r="A76" s="1407" t="s">
        <v>1043</v>
      </c>
      <c r="B76" s="1408" t="s">
        <v>1086</v>
      </c>
      <c r="C76" s="1429" t="s">
        <v>1087</v>
      </c>
      <c r="D76" s="1429" t="s">
        <v>1088</v>
      </c>
      <c r="E76" s="1429" t="s">
        <v>1089</v>
      </c>
      <c r="F76" s="1429" t="s">
        <v>1090</v>
      </c>
      <c r="G76" s="1429" t="s">
        <v>1091</v>
      </c>
      <c r="H76" s="1430"/>
      <c r="I76" s="1430"/>
      <c r="J76" s="1430"/>
      <c r="K76" s="1478"/>
      <c r="L76" s="1479"/>
      <c r="M76" s="1480"/>
      <c r="N76" s="1715"/>
      <c r="O76" s="1715"/>
      <c r="P76" s="1809"/>
      <c r="Q76" s="1710"/>
    </row>
    <row r="77" ht="14.75" spans="1:17">
      <c r="A77" s="1409"/>
      <c r="B77" s="1414"/>
      <c r="C77" s="1415">
        <v>100</v>
      </c>
      <c r="D77" s="1415">
        <f>C77-$K15</f>
        <v>100</v>
      </c>
      <c r="E77" s="1415">
        <f>D77-$K15</f>
        <v>100</v>
      </c>
      <c r="F77" s="1415">
        <f>E77-$K15</f>
        <v>100</v>
      </c>
      <c r="G77" s="1415">
        <f>F77-$K15</f>
        <v>100</v>
      </c>
      <c r="H77" s="1415"/>
      <c r="I77" s="1415"/>
      <c r="J77" s="1415"/>
      <c r="K77" s="1415"/>
      <c r="L77" s="1415"/>
      <c r="M77" s="1465"/>
      <c r="N77" s="1717"/>
      <c r="O77" s="1717"/>
      <c r="P77" s="1802"/>
      <c r="Q77" s="1710"/>
    </row>
    <row r="78" ht="14.75" spans="1:17">
      <c r="A78" s="1409"/>
      <c r="B78" s="1412" t="s">
        <v>1048</v>
      </c>
      <c r="C78" s="1431" t="s">
        <v>1087</v>
      </c>
      <c r="D78" s="1431" t="s">
        <v>1088</v>
      </c>
      <c r="E78" s="1431" t="s">
        <v>1089</v>
      </c>
      <c r="F78" s="1431" t="s">
        <v>1090</v>
      </c>
      <c r="G78" s="1431" t="s">
        <v>1091</v>
      </c>
      <c r="H78" s="1413"/>
      <c r="I78" s="1413"/>
      <c r="J78" s="1413"/>
      <c r="K78" s="1462"/>
      <c r="L78" s="1463"/>
      <c r="M78" s="1464"/>
      <c r="N78" s="1715"/>
      <c r="O78" s="1715"/>
      <c r="P78" s="1802"/>
      <c r="Q78" s="1710"/>
    </row>
    <row r="79" ht="14.75" spans="1:17">
      <c r="A79" s="1409"/>
      <c r="B79" s="1414"/>
      <c r="C79" s="1415">
        <v>100</v>
      </c>
      <c r="D79" s="1415">
        <f>C79-$K17</f>
        <v>100</v>
      </c>
      <c r="E79" s="1415">
        <f>D79-$K17</f>
        <v>100</v>
      </c>
      <c r="F79" s="1415">
        <f>E79-$K17</f>
        <v>100</v>
      </c>
      <c r="G79" s="1415">
        <f>F79-$K17</f>
        <v>100</v>
      </c>
      <c r="H79" s="1415"/>
      <c r="I79" s="1415"/>
      <c r="J79" s="1415"/>
      <c r="K79" s="1415"/>
      <c r="L79" s="1415"/>
      <c r="M79" s="1465"/>
      <c r="N79" s="1717"/>
      <c r="O79" s="1717"/>
      <c r="P79" s="1802"/>
      <c r="Q79" s="1710"/>
    </row>
    <row r="80" ht="14.75" spans="1:17">
      <c r="A80" s="1409"/>
      <c r="B80" s="1412" t="s">
        <v>1049</v>
      </c>
      <c r="C80" s="1431" t="s">
        <v>1087</v>
      </c>
      <c r="D80" s="1431" t="s">
        <v>1088</v>
      </c>
      <c r="E80" s="1431" t="s">
        <v>1089</v>
      </c>
      <c r="F80" s="1431" t="s">
        <v>1090</v>
      </c>
      <c r="G80" s="1431" t="s">
        <v>1091</v>
      </c>
      <c r="H80" s="1413"/>
      <c r="I80" s="1413"/>
      <c r="J80" s="1413"/>
      <c r="K80" s="1462"/>
      <c r="L80" s="1463"/>
      <c r="M80" s="1464"/>
      <c r="N80" s="1715"/>
      <c r="O80" s="1715"/>
      <c r="P80" s="1802"/>
      <c r="Q80" s="1710"/>
    </row>
    <row r="81" ht="14.75" spans="1:17">
      <c r="A81" s="1409"/>
      <c r="B81" s="1414"/>
      <c r="C81" s="1415">
        <v>100</v>
      </c>
      <c r="D81" s="1415">
        <f>C81-$K19</f>
        <v>100</v>
      </c>
      <c r="E81" s="1415">
        <f>D81-$K19</f>
        <v>100</v>
      </c>
      <c r="F81" s="1415">
        <f>E81-$K19</f>
        <v>100</v>
      </c>
      <c r="G81" s="1415">
        <f>F81-$K19</f>
        <v>100</v>
      </c>
      <c r="H81" s="1415"/>
      <c r="I81" s="1415"/>
      <c r="J81" s="1415"/>
      <c r="K81" s="1415"/>
      <c r="L81" s="1415"/>
      <c r="M81" s="1465"/>
      <c r="N81" s="1717"/>
      <c r="O81" s="1717"/>
      <c r="P81" s="1802"/>
      <c r="Q81" s="1710"/>
    </row>
    <row r="82" ht="14.75" spans="1:17">
      <c r="A82" s="1409"/>
      <c r="B82" s="1416" t="s">
        <v>1050</v>
      </c>
      <c r="C82" s="1413" t="s">
        <v>1092</v>
      </c>
      <c r="D82" s="1413" t="s">
        <v>1093</v>
      </c>
      <c r="E82" s="1413" t="s">
        <v>1094</v>
      </c>
      <c r="F82" s="1413" t="s">
        <v>1095</v>
      </c>
      <c r="G82" s="1413" t="s">
        <v>1096</v>
      </c>
      <c r="H82" s="1413"/>
      <c r="I82" s="1413"/>
      <c r="J82" s="1413"/>
      <c r="K82" s="1413"/>
      <c r="L82" s="1413"/>
      <c r="M82" s="1618"/>
      <c r="N82" s="1717"/>
      <c r="O82" s="1717"/>
      <c r="P82" s="1802"/>
      <c r="Q82" s="1710"/>
    </row>
    <row r="83" ht="14.75" spans="1:17">
      <c r="A83" s="1409"/>
      <c r="B83" s="1416"/>
      <c r="C83" s="1436">
        <v>100</v>
      </c>
      <c r="D83" s="1436">
        <f>C83-$K21</f>
        <v>100</v>
      </c>
      <c r="E83" s="1436">
        <f t="shared" ref="E83:G83" si="22">D83-$K21</f>
        <v>100</v>
      </c>
      <c r="F83" s="1436">
        <f t="shared" si="22"/>
        <v>100</v>
      </c>
      <c r="G83" s="1436">
        <f t="shared" si="22"/>
        <v>100</v>
      </c>
      <c r="H83" s="1436"/>
      <c r="I83" s="1436"/>
      <c r="J83" s="1436"/>
      <c r="K83" s="1436"/>
      <c r="L83" s="1436"/>
      <c r="M83" s="1203"/>
      <c r="N83" s="1717"/>
      <c r="O83" s="1717"/>
      <c r="P83" s="1802"/>
      <c r="Q83" s="1710"/>
    </row>
    <row r="84" ht="14.75" spans="1:17">
      <c r="A84" s="1409"/>
      <c r="B84" s="1412" t="s">
        <v>1051</v>
      </c>
      <c r="C84" s="1431" t="s">
        <v>1087</v>
      </c>
      <c r="D84" s="1431" t="s">
        <v>1088</v>
      </c>
      <c r="E84" s="1431" t="s">
        <v>1089</v>
      </c>
      <c r="F84" s="1431" t="s">
        <v>1090</v>
      </c>
      <c r="G84" s="1431" t="s">
        <v>1091</v>
      </c>
      <c r="H84" s="1413"/>
      <c r="I84" s="1413"/>
      <c r="J84" s="1413"/>
      <c r="K84" s="1462"/>
      <c r="L84" s="1463"/>
      <c r="M84" s="1464"/>
      <c r="N84" s="1715"/>
      <c r="O84" s="1715"/>
      <c r="P84" s="1802"/>
      <c r="Q84" s="1710"/>
    </row>
    <row r="85" ht="14.75" spans="1:17">
      <c r="A85" s="1409"/>
      <c r="B85" s="1414"/>
      <c r="C85" s="1415">
        <v>100</v>
      </c>
      <c r="D85" s="1415">
        <f>C85-$K23</f>
        <v>100</v>
      </c>
      <c r="E85" s="1415">
        <f>D85-$K23</f>
        <v>100</v>
      </c>
      <c r="F85" s="1415">
        <f>E85-$K23</f>
        <v>100</v>
      </c>
      <c r="G85" s="1415">
        <f>F85-$K23</f>
        <v>100</v>
      </c>
      <c r="H85" s="1415"/>
      <c r="I85" s="1415"/>
      <c r="J85" s="1415"/>
      <c r="K85" s="1415"/>
      <c r="L85" s="1415"/>
      <c r="M85" s="1465"/>
      <c r="N85" s="1717"/>
      <c r="O85" s="1717"/>
      <c r="P85" s="1802"/>
      <c r="Q85" s="1710"/>
    </row>
    <row r="86" s="1127" customFormat="1" ht="14.75" spans="1:17">
      <c r="A86" s="1432"/>
      <c r="B86" s="1412" t="s">
        <v>1589</v>
      </c>
      <c r="C86" s="1420"/>
      <c r="D86" s="1420"/>
      <c r="E86" s="1420"/>
      <c r="F86" s="1420"/>
      <c r="G86" s="1420"/>
      <c r="H86" s="1420"/>
      <c r="I86" s="1420"/>
      <c r="J86" s="1420"/>
      <c r="K86" s="1420"/>
      <c r="L86" s="1619"/>
      <c r="M86" s="1620"/>
      <c r="N86" s="1713"/>
      <c r="O86" s="1713"/>
      <c r="P86" s="1802"/>
      <c r="Q86" s="1710"/>
    </row>
    <row r="87" s="1127" customFormat="1" ht="14.75" spans="1:17">
      <c r="A87" s="1432"/>
      <c r="B87" s="1414"/>
      <c r="C87" s="1433">
        <v>100</v>
      </c>
      <c r="D87" s="1415">
        <f t="shared" ref="D87:M87" si="23">$C$87-($C$86-D86)*$K$25</f>
        <v>100</v>
      </c>
      <c r="E87" s="1415">
        <f t="shared" si="23"/>
        <v>100</v>
      </c>
      <c r="F87" s="1415">
        <f t="shared" si="23"/>
        <v>100</v>
      </c>
      <c r="G87" s="1415">
        <f t="shared" si="23"/>
        <v>100</v>
      </c>
      <c r="H87" s="1415">
        <f t="shared" si="23"/>
        <v>100</v>
      </c>
      <c r="I87" s="1415">
        <f t="shared" si="23"/>
        <v>100</v>
      </c>
      <c r="J87" s="1415">
        <f t="shared" si="23"/>
        <v>100</v>
      </c>
      <c r="K87" s="1415">
        <f t="shared" si="23"/>
        <v>100</v>
      </c>
      <c r="L87" s="1415">
        <f t="shared" si="23"/>
        <v>100</v>
      </c>
      <c r="M87" s="1415">
        <f t="shared" si="23"/>
        <v>100</v>
      </c>
      <c r="N87" s="1717"/>
      <c r="O87" s="1717"/>
      <c r="P87" s="1802"/>
      <c r="Q87" s="1710"/>
    </row>
    <row r="88" s="1127" customFormat="1" ht="14.75" spans="1:17">
      <c r="A88" s="1432"/>
      <c r="B88" s="1412" t="s">
        <v>1590</v>
      </c>
      <c r="C88" s="1420"/>
      <c r="D88" s="1420"/>
      <c r="E88" s="1420"/>
      <c r="F88" s="1762"/>
      <c r="G88" s="1420"/>
      <c r="H88" s="1420"/>
      <c r="I88" s="1420"/>
      <c r="J88" s="1420"/>
      <c r="K88" s="1420"/>
      <c r="L88" s="1420"/>
      <c r="M88" s="1620"/>
      <c r="N88" s="1713"/>
      <c r="O88" s="1713"/>
      <c r="P88" s="1802"/>
      <c r="Q88" s="1710"/>
    </row>
    <row r="89" s="1127" customFormat="1" ht="14.75" spans="1:17">
      <c r="A89" s="1432"/>
      <c r="B89" s="1414"/>
      <c r="C89" s="1433">
        <v>100</v>
      </c>
      <c r="D89" s="1415">
        <f t="shared" ref="D89:M89" si="24">C89-$K26</f>
        <v>100</v>
      </c>
      <c r="E89" s="1415">
        <f t="shared" si="24"/>
        <v>100</v>
      </c>
      <c r="F89" s="1415">
        <f t="shared" si="24"/>
        <v>100</v>
      </c>
      <c r="G89" s="1415">
        <f t="shared" si="24"/>
        <v>100</v>
      </c>
      <c r="H89" s="1415">
        <f t="shared" si="24"/>
        <v>100</v>
      </c>
      <c r="I89" s="1415">
        <f t="shared" si="24"/>
        <v>100</v>
      </c>
      <c r="J89" s="1415">
        <f t="shared" si="24"/>
        <v>100</v>
      </c>
      <c r="K89" s="1415">
        <f t="shared" si="24"/>
        <v>100</v>
      </c>
      <c r="L89" s="1415">
        <f t="shared" si="24"/>
        <v>100</v>
      </c>
      <c r="M89" s="1415">
        <f t="shared" si="24"/>
        <v>100</v>
      </c>
      <c r="N89" s="1717"/>
      <c r="O89" s="1717"/>
      <c r="P89" s="1802"/>
      <c r="Q89" s="1710"/>
    </row>
    <row r="90" s="1129" customFormat="1" ht="14.75" spans="1:17">
      <c r="A90" s="1419"/>
      <c r="B90" s="1412">
        <f>B27</f>
        <v>111</v>
      </c>
      <c r="C90" s="1420"/>
      <c r="D90" s="1420"/>
      <c r="E90" s="1420"/>
      <c r="F90" s="1420"/>
      <c r="G90" s="1420"/>
      <c r="H90" s="1421"/>
      <c r="I90" s="1421"/>
      <c r="J90" s="1421"/>
      <c r="K90" s="1421"/>
      <c r="L90" s="1469"/>
      <c r="M90" s="1470"/>
      <c r="N90" s="1718"/>
      <c r="O90" s="1718"/>
      <c r="P90" s="1806"/>
      <c r="Q90" s="1721"/>
    </row>
    <row r="91" s="1129" customFormat="1" ht="14.75" spans="1:17">
      <c r="A91" s="1419"/>
      <c r="B91" s="1414"/>
      <c r="C91" s="1422"/>
      <c r="D91" s="1422"/>
      <c r="E91" s="1422"/>
      <c r="F91" s="1422"/>
      <c r="G91" s="1422"/>
      <c r="H91" s="1423"/>
      <c r="I91" s="1423"/>
      <c r="J91" s="1423"/>
      <c r="K91" s="1423"/>
      <c r="L91" s="1423"/>
      <c r="M91" s="1473"/>
      <c r="N91" s="1718"/>
      <c r="O91" s="1718"/>
      <c r="P91" s="1806"/>
      <c r="Q91" s="1721"/>
    </row>
    <row r="92" ht="14.75" spans="1:17">
      <c r="A92" s="1409"/>
      <c r="B92" s="1412">
        <f>B28</f>
        <v>111</v>
      </c>
      <c r="C92" s="1420"/>
      <c r="D92" s="1420"/>
      <c r="E92" s="1420"/>
      <c r="F92" s="1420"/>
      <c r="G92" s="1437"/>
      <c r="H92" s="1437"/>
      <c r="I92" s="1437"/>
      <c r="J92" s="1437"/>
      <c r="K92" s="1488"/>
      <c r="L92" s="1489"/>
      <c r="M92" s="1490"/>
      <c r="N92" s="1715"/>
      <c r="O92" s="1715"/>
      <c r="P92" s="1802"/>
      <c r="Q92" s="1710"/>
    </row>
    <row r="93" ht="14.75" spans="1:17">
      <c r="A93" s="1409"/>
      <c r="B93" s="1414"/>
      <c r="C93" s="1422"/>
      <c r="D93" s="1411"/>
      <c r="E93" s="1411"/>
      <c r="F93" s="1411"/>
      <c r="G93" s="1411"/>
      <c r="H93" s="1411"/>
      <c r="I93" s="1411"/>
      <c r="J93" s="1411"/>
      <c r="K93" s="1411"/>
      <c r="L93" s="1411"/>
      <c r="M93" s="1460"/>
      <c r="N93" s="1717"/>
      <c r="O93" s="1717"/>
      <c r="P93" s="1802"/>
      <c r="Q93" s="1710"/>
    </row>
    <row r="94" ht="14.75" spans="1:17">
      <c r="A94" s="1409"/>
      <c r="B94" s="1412">
        <f>B29</f>
        <v>111</v>
      </c>
      <c r="C94" s="1420"/>
      <c r="D94" s="1420"/>
      <c r="E94" s="1420"/>
      <c r="F94" s="1420"/>
      <c r="G94" s="1437"/>
      <c r="H94" s="1437"/>
      <c r="I94" s="1437"/>
      <c r="J94" s="1437"/>
      <c r="K94" s="1488"/>
      <c r="L94" s="1489"/>
      <c r="M94" s="1490"/>
      <c r="N94" s="1715"/>
      <c r="O94" s="1715"/>
      <c r="P94" s="1802"/>
      <c r="Q94" s="1710"/>
    </row>
    <row r="95" ht="14.75" spans="1:17">
      <c r="A95" s="1409"/>
      <c r="B95" s="1414"/>
      <c r="C95" s="1422"/>
      <c r="D95" s="1422"/>
      <c r="E95" s="1422"/>
      <c r="F95" s="1422"/>
      <c r="G95" s="1411"/>
      <c r="H95" s="1411"/>
      <c r="I95" s="1411"/>
      <c r="J95" s="1411"/>
      <c r="K95" s="1411"/>
      <c r="L95" s="1411"/>
      <c r="M95" s="1460"/>
      <c r="N95" s="1717"/>
      <c r="O95" s="1717"/>
      <c r="P95" s="1802"/>
      <c r="Q95" s="1710"/>
    </row>
    <row r="96" ht="14.75" spans="1:17">
      <c r="A96" s="1409"/>
      <c r="B96" s="1412">
        <f>B30</f>
        <v>111</v>
      </c>
      <c r="C96" s="1420"/>
      <c r="D96" s="1420"/>
      <c r="E96" s="1420"/>
      <c r="F96" s="1420"/>
      <c r="G96" s="1437"/>
      <c r="H96" s="1437"/>
      <c r="I96" s="1437"/>
      <c r="J96" s="1437"/>
      <c r="K96" s="1488"/>
      <c r="L96" s="1489"/>
      <c r="M96" s="1490"/>
      <c r="N96" s="1715"/>
      <c r="O96" s="1715"/>
      <c r="P96" s="1802"/>
      <c r="Q96" s="1710"/>
    </row>
    <row r="97" ht="14.75" spans="1:17">
      <c r="A97" s="1409"/>
      <c r="B97" s="1414"/>
      <c r="C97" s="1427"/>
      <c r="D97" s="1427"/>
      <c r="E97" s="1427"/>
      <c r="F97" s="1427"/>
      <c r="G97" s="1411"/>
      <c r="H97" s="1411"/>
      <c r="I97" s="1411"/>
      <c r="J97" s="1411"/>
      <c r="K97" s="1411"/>
      <c r="L97" s="1411"/>
      <c r="M97" s="1460"/>
      <c r="N97" s="1717"/>
      <c r="O97" s="1717"/>
      <c r="P97" s="1802"/>
      <c r="Q97" s="1710"/>
    </row>
    <row r="98" ht="14.75" spans="1:17">
      <c r="A98" s="1409"/>
      <c r="B98" s="1416">
        <f>B31</f>
        <v>111</v>
      </c>
      <c r="C98" s="1438"/>
      <c r="D98" s="1438"/>
      <c r="E98" s="1438"/>
      <c r="F98" s="1438"/>
      <c r="G98" s="1438"/>
      <c r="H98" s="1438"/>
      <c r="I98" s="1438"/>
      <c r="J98" s="1438"/>
      <c r="K98" s="1491"/>
      <c r="L98" s="1492"/>
      <c r="M98" s="1493"/>
      <c r="N98" s="1715"/>
      <c r="O98" s="1715"/>
      <c r="P98" s="1802"/>
      <c r="Q98" s="1710"/>
    </row>
    <row r="99" ht="14.75" spans="1:17">
      <c r="A99" s="1722"/>
      <c r="B99" s="1426"/>
      <c r="C99" s="1439"/>
      <c r="D99" s="1439"/>
      <c r="E99" s="1439"/>
      <c r="F99" s="1439"/>
      <c r="G99" s="1439"/>
      <c r="H99" s="1439"/>
      <c r="I99" s="1439"/>
      <c r="J99" s="1439"/>
      <c r="K99" s="1439"/>
      <c r="L99" s="1439"/>
      <c r="M99" s="1494"/>
      <c r="N99" s="1717"/>
      <c r="O99" s="1717"/>
      <c r="P99" s="1802"/>
      <c r="Q99" s="1710"/>
    </row>
    <row r="100" spans="1:17">
      <c r="A100" s="1407" t="s">
        <v>1056</v>
      </c>
      <c r="B100" s="1408" t="s">
        <v>1591</v>
      </c>
      <c r="C100" s="1335"/>
      <c r="D100" s="1335"/>
      <c r="E100" s="1335"/>
      <c r="F100" s="1335"/>
      <c r="G100" s="1335"/>
      <c r="H100" s="1335"/>
      <c r="I100" s="1335"/>
      <c r="J100" s="1335"/>
      <c r="K100" s="1455"/>
      <c r="L100" s="1456"/>
      <c r="M100" s="1457"/>
      <c r="N100" s="1715"/>
      <c r="O100" s="1715"/>
      <c r="P100" s="1802"/>
      <c r="Q100" s="1710"/>
    </row>
    <row r="101" ht="14.75" spans="1:17">
      <c r="A101" s="1409"/>
      <c r="B101" s="1414"/>
      <c r="C101" s="1415">
        <v>100</v>
      </c>
      <c r="D101" s="1415">
        <f t="shared" ref="D101:M101" si="25">C101-$K32</f>
        <v>100</v>
      </c>
      <c r="E101" s="1415">
        <f t="shared" si="25"/>
        <v>100</v>
      </c>
      <c r="F101" s="1415">
        <f t="shared" si="25"/>
        <v>100</v>
      </c>
      <c r="G101" s="1415">
        <f t="shared" si="25"/>
        <v>100</v>
      </c>
      <c r="H101" s="1415">
        <f t="shared" si="25"/>
        <v>100</v>
      </c>
      <c r="I101" s="1415">
        <f t="shared" si="25"/>
        <v>100</v>
      </c>
      <c r="J101" s="1415">
        <f t="shared" si="25"/>
        <v>100</v>
      </c>
      <c r="K101" s="1415">
        <f t="shared" si="25"/>
        <v>100</v>
      </c>
      <c r="L101" s="1415">
        <f t="shared" si="25"/>
        <v>100</v>
      </c>
      <c r="M101" s="1415">
        <f t="shared" si="25"/>
        <v>100</v>
      </c>
      <c r="N101" s="1717"/>
      <c r="O101" s="1717"/>
      <c r="P101" s="1802"/>
      <c r="Q101" s="1710"/>
    </row>
    <row r="102" ht="14.75" spans="1:17">
      <c r="A102" s="1409"/>
      <c r="B102" s="1412" t="s">
        <v>1059</v>
      </c>
      <c r="C102" s="1431" t="str">
        <f>C103&amp;"(含)"&amp;"-"&amp;D103</f>
        <v>(含)-</v>
      </c>
      <c r="D102" s="1431" t="str">
        <f t="shared" ref="D102:L102" si="26">D103&amp;"(含)"&amp;"-"&amp;E103</f>
        <v>(含)-</v>
      </c>
      <c r="E102" s="1431" t="str">
        <f t="shared" si="26"/>
        <v>(含)-</v>
      </c>
      <c r="F102" s="1431" t="str">
        <f t="shared" si="26"/>
        <v>(含)-</v>
      </c>
      <c r="G102" s="1431" t="str">
        <f t="shared" si="26"/>
        <v>(含)-</v>
      </c>
      <c r="H102" s="1431" t="str">
        <f t="shared" si="26"/>
        <v>(含)-</v>
      </c>
      <c r="I102" s="1431" t="str">
        <f t="shared" si="26"/>
        <v>(含)-</v>
      </c>
      <c r="J102" s="1431" t="str">
        <f t="shared" si="26"/>
        <v>(含)-</v>
      </c>
      <c r="K102" s="1431" t="str">
        <f t="shared" si="26"/>
        <v>(含)-</v>
      </c>
      <c r="L102" s="1431" t="str">
        <f t="shared" si="26"/>
        <v>(含)-</v>
      </c>
      <c r="M102" s="1431" t="str">
        <f>M103&amp;"(含)"&amp;"-"&amp;P103</f>
        <v>(含)-</v>
      </c>
      <c r="N102" s="1713"/>
      <c r="O102" s="1713"/>
      <c r="P102" s="1802"/>
      <c r="Q102" s="1710"/>
    </row>
    <row r="103" s="1129" customFormat="1" spans="1:17">
      <c r="A103" s="1440"/>
      <c r="B103" s="1441"/>
      <c r="C103" s="1396"/>
      <c r="D103" s="1396"/>
      <c r="E103" s="1396"/>
      <c r="F103" s="1396"/>
      <c r="G103" s="1396"/>
      <c r="H103" s="1396"/>
      <c r="I103" s="1396"/>
      <c r="J103" s="1495"/>
      <c r="K103" s="1495"/>
      <c r="L103" s="1496"/>
      <c r="M103" s="1497"/>
      <c r="N103" s="1718"/>
      <c r="O103" s="1718"/>
      <c r="P103" s="1806"/>
      <c r="Q103" s="1721"/>
    </row>
    <row r="104" s="1129" customFormat="1" ht="14.75" spans="1:17">
      <c r="A104" s="1419"/>
      <c r="B104" s="1414"/>
      <c r="C104" s="1422"/>
      <c r="D104" s="1411"/>
      <c r="E104" s="1411"/>
      <c r="F104" s="1411"/>
      <c r="G104" s="1411"/>
      <c r="H104" s="1411"/>
      <c r="I104" s="1411"/>
      <c r="J104" s="1411"/>
      <c r="K104" s="1411"/>
      <c r="L104" s="1411"/>
      <c r="M104" s="1411"/>
      <c r="N104" s="1717"/>
      <c r="O104" s="1717"/>
      <c r="P104" s="1806"/>
      <c r="Q104" s="1721"/>
    </row>
    <row r="105" ht="14.75" spans="1:17">
      <c r="A105" s="1443"/>
      <c r="B105" s="1412" t="s">
        <v>1060</v>
      </c>
      <c r="C105" s="1420"/>
      <c r="D105" s="1420"/>
      <c r="E105" s="1437"/>
      <c r="F105" s="1437"/>
      <c r="G105" s="1437"/>
      <c r="H105" s="1437"/>
      <c r="I105" s="1437"/>
      <c r="J105" s="1437"/>
      <c r="K105" s="1488"/>
      <c r="L105" s="1489"/>
      <c r="M105" s="1490"/>
      <c r="N105" s="1715"/>
      <c r="O105" s="1715"/>
      <c r="P105" s="1802"/>
      <c r="Q105" s="1710"/>
    </row>
    <row r="106" ht="14.75" spans="1:17">
      <c r="A106" s="1409"/>
      <c r="B106" s="1414"/>
      <c r="C106" s="1415">
        <v>100</v>
      </c>
      <c r="D106" s="1415">
        <f t="shared" ref="D106:M106" si="27">C106-$K34</f>
        <v>100</v>
      </c>
      <c r="E106" s="1415">
        <f t="shared" si="27"/>
        <v>100</v>
      </c>
      <c r="F106" s="1415">
        <f t="shared" si="27"/>
        <v>100</v>
      </c>
      <c r="G106" s="1415">
        <f t="shared" si="27"/>
        <v>100</v>
      </c>
      <c r="H106" s="1415">
        <f t="shared" si="27"/>
        <v>100</v>
      </c>
      <c r="I106" s="1415">
        <f t="shared" si="27"/>
        <v>100</v>
      </c>
      <c r="J106" s="1415">
        <f t="shared" si="27"/>
        <v>100</v>
      </c>
      <c r="K106" s="1415">
        <f t="shared" si="27"/>
        <v>100</v>
      </c>
      <c r="L106" s="1415">
        <f t="shared" si="27"/>
        <v>100</v>
      </c>
      <c r="M106" s="1415">
        <f t="shared" si="27"/>
        <v>100</v>
      </c>
      <c r="N106" s="1717"/>
      <c r="O106" s="1717"/>
      <c r="P106" s="1802"/>
      <c r="Q106" s="1710"/>
    </row>
    <row r="107" ht="14.75" spans="1:17">
      <c r="A107" s="1443"/>
      <c r="B107" s="1412" t="s">
        <v>1592</v>
      </c>
      <c r="C107" s="1437"/>
      <c r="D107" s="1437"/>
      <c r="E107" s="1437"/>
      <c r="F107" s="1437"/>
      <c r="G107" s="1437"/>
      <c r="H107" s="1437"/>
      <c r="I107" s="1437"/>
      <c r="J107" s="1437"/>
      <c r="K107" s="1488"/>
      <c r="L107" s="1489"/>
      <c r="M107" s="1490"/>
      <c r="N107" s="1715"/>
      <c r="O107" s="1715"/>
      <c r="P107" s="1802"/>
      <c r="Q107" s="1710"/>
    </row>
    <row r="108" ht="14.75" spans="1:17">
      <c r="A108" s="1409"/>
      <c r="B108" s="1414"/>
      <c r="C108" s="1415">
        <v>100</v>
      </c>
      <c r="D108" s="1415">
        <f t="shared" ref="D108:M108" si="28">C108-$K35</f>
        <v>100</v>
      </c>
      <c r="E108" s="1415">
        <f t="shared" si="28"/>
        <v>100</v>
      </c>
      <c r="F108" s="1415">
        <f t="shared" si="28"/>
        <v>100</v>
      </c>
      <c r="G108" s="1415">
        <f t="shared" si="28"/>
        <v>100</v>
      </c>
      <c r="H108" s="1415">
        <f t="shared" si="28"/>
        <v>100</v>
      </c>
      <c r="I108" s="1415">
        <f t="shared" si="28"/>
        <v>100</v>
      </c>
      <c r="J108" s="1415">
        <f t="shared" si="28"/>
        <v>100</v>
      </c>
      <c r="K108" s="1415">
        <f t="shared" si="28"/>
        <v>100</v>
      </c>
      <c r="L108" s="1415">
        <f t="shared" si="28"/>
        <v>100</v>
      </c>
      <c r="M108" s="1415">
        <f t="shared" si="28"/>
        <v>100</v>
      </c>
      <c r="N108" s="1717"/>
      <c r="O108" s="1717"/>
      <c r="P108" s="1802"/>
      <c r="Q108" s="1710"/>
    </row>
    <row r="109" ht="14.75" spans="1:17">
      <c r="A109" s="1443"/>
      <c r="B109" s="1412" t="s">
        <v>1061</v>
      </c>
      <c r="C109" s="1420"/>
      <c r="D109" s="1420"/>
      <c r="E109" s="1420"/>
      <c r="F109" s="1437"/>
      <c r="G109" s="1437"/>
      <c r="H109" s="1437"/>
      <c r="I109" s="1437"/>
      <c r="J109" s="1437"/>
      <c r="K109" s="1488"/>
      <c r="L109" s="1489"/>
      <c r="M109" s="1490"/>
      <c r="N109" s="1715"/>
      <c r="O109" s="1715"/>
      <c r="P109" s="1802"/>
      <c r="Q109" s="1710"/>
    </row>
    <row r="110" ht="14.75" spans="1:17">
      <c r="A110" s="1409"/>
      <c r="B110" s="1414"/>
      <c r="C110" s="1415">
        <v>100</v>
      </c>
      <c r="D110" s="1415">
        <f t="shared" ref="D110:M110" si="29">C110-$K36</f>
        <v>100</v>
      </c>
      <c r="E110" s="1415">
        <f t="shared" si="29"/>
        <v>100</v>
      </c>
      <c r="F110" s="1415">
        <f t="shared" si="29"/>
        <v>100</v>
      </c>
      <c r="G110" s="1415">
        <f t="shared" si="29"/>
        <v>100</v>
      </c>
      <c r="H110" s="1415">
        <f t="shared" si="29"/>
        <v>100</v>
      </c>
      <c r="I110" s="1415">
        <f t="shared" si="29"/>
        <v>100</v>
      </c>
      <c r="J110" s="1415">
        <f t="shared" si="29"/>
        <v>100</v>
      </c>
      <c r="K110" s="1415">
        <f t="shared" si="29"/>
        <v>100</v>
      </c>
      <c r="L110" s="1415">
        <f t="shared" si="29"/>
        <v>100</v>
      </c>
      <c r="M110" s="1415">
        <f t="shared" si="29"/>
        <v>100</v>
      </c>
      <c r="N110" s="1717"/>
      <c r="O110" s="1717"/>
      <c r="P110" s="1802"/>
      <c r="Q110" s="1710"/>
    </row>
    <row r="111" s="1129" customFormat="1" ht="14.75" spans="1:17">
      <c r="A111" s="1440"/>
      <c r="B111" s="1412" t="s">
        <v>646</v>
      </c>
      <c r="C111" s="1431" t="str">
        <f>C112&amp;"(含)"&amp;"-"&amp;D112</f>
        <v>0.5(含)-0.6</v>
      </c>
      <c r="D111" s="1431" t="str">
        <f>D112&amp;"(含)"&amp;"-"&amp;E112</f>
        <v>0.6(含)-0.7</v>
      </c>
      <c r="E111" s="1431" t="str">
        <f>E112&amp;"(含)"&amp;"-"&amp;F112</f>
        <v>0.7(含)-0.8</v>
      </c>
      <c r="F111" s="1431" t="str">
        <f>F112&amp;"(含)"&amp;"-"&amp;G112</f>
        <v>0.8(含)-0.9</v>
      </c>
      <c r="G111" s="1431" t="str">
        <f>G112&amp;"(含)"&amp;"-"&amp;ROUND(H112,0)&amp;"(含)"</f>
        <v>0.9(含)-1(含)</v>
      </c>
      <c r="H111" s="1431" t="str">
        <f>ROUND(H112,0)&amp;"(含)"&amp;"-"&amp;I112</f>
        <v>1(含)-</v>
      </c>
      <c r="I111" s="1431"/>
      <c r="J111" s="1434"/>
      <c r="K111" s="1434"/>
      <c r="L111" s="1484"/>
      <c r="M111" s="1485"/>
      <c r="N111" s="1718"/>
      <c r="O111" s="1718"/>
      <c r="P111" s="1806"/>
      <c r="Q111" s="1721"/>
    </row>
    <row r="112" s="1129" customFormat="1" spans="1:17">
      <c r="A112" s="1440"/>
      <c r="B112" s="1416"/>
      <c r="C112" s="891">
        <v>0.5</v>
      </c>
      <c r="D112" s="891">
        <v>0.6</v>
      </c>
      <c r="E112" s="891">
        <v>0.7</v>
      </c>
      <c r="F112" s="891">
        <v>0.8</v>
      </c>
      <c r="G112" s="891">
        <v>0.9</v>
      </c>
      <c r="H112" s="891">
        <v>1.0001</v>
      </c>
      <c r="I112" s="891"/>
      <c r="J112" s="1810"/>
      <c r="K112" s="1810"/>
      <c r="L112" s="1811"/>
      <c r="M112" s="1812"/>
      <c r="N112" s="1718"/>
      <c r="O112" s="1718"/>
      <c r="P112" s="1806"/>
      <c r="Q112" s="1721"/>
    </row>
    <row r="113" s="1129" customFormat="1" ht="14.75" spans="1:17">
      <c r="A113" s="1419"/>
      <c r="B113" s="1414"/>
      <c r="C113" s="1433">
        <v>100</v>
      </c>
      <c r="D113" s="1415">
        <f>C113+$K37</f>
        <v>100</v>
      </c>
      <c r="E113" s="1415">
        <f>D113+$K37</f>
        <v>100</v>
      </c>
      <c r="F113" s="1415">
        <f>E113+$K37</f>
        <v>100</v>
      </c>
      <c r="G113" s="1415">
        <f>F113+$K37</f>
        <v>100</v>
      </c>
      <c r="H113" s="1415">
        <f>G113+$K37</f>
        <v>100</v>
      </c>
      <c r="I113" s="1433"/>
      <c r="J113" s="1435"/>
      <c r="K113" s="1435"/>
      <c r="L113" s="1435"/>
      <c r="M113" s="1486"/>
      <c r="N113" s="1718"/>
      <c r="O113" s="1718"/>
      <c r="P113" s="1806"/>
      <c r="Q113" s="1721"/>
    </row>
    <row r="114" ht="14.75" spans="1:17">
      <c r="A114" s="1443"/>
      <c r="B114" s="1412" t="s">
        <v>1593</v>
      </c>
      <c r="C114" s="1420"/>
      <c r="D114" s="1420"/>
      <c r="E114" s="1437"/>
      <c r="F114" s="1437"/>
      <c r="G114" s="1437"/>
      <c r="H114" s="1437"/>
      <c r="I114" s="1437"/>
      <c r="J114" s="1437"/>
      <c r="K114" s="1488"/>
      <c r="L114" s="1489"/>
      <c r="M114" s="1490"/>
      <c r="N114" s="1715"/>
      <c r="O114" s="1715"/>
      <c r="P114" s="1802"/>
      <c r="Q114" s="1710"/>
    </row>
    <row r="115" ht="14.75" spans="1:17">
      <c r="A115" s="1409"/>
      <c r="B115" s="1414"/>
      <c r="C115" s="1415">
        <v>100</v>
      </c>
      <c r="D115" s="1415">
        <f t="shared" ref="D115:M115" si="30">C115-$K38</f>
        <v>100</v>
      </c>
      <c r="E115" s="1415">
        <f t="shared" si="30"/>
        <v>100</v>
      </c>
      <c r="F115" s="1415">
        <f t="shared" si="30"/>
        <v>100</v>
      </c>
      <c r="G115" s="1415">
        <f t="shared" si="30"/>
        <v>100</v>
      </c>
      <c r="H115" s="1415">
        <f t="shared" si="30"/>
        <v>100</v>
      </c>
      <c r="I115" s="1415">
        <f t="shared" si="30"/>
        <v>100</v>
      </c>
      <c r="J115" s="1415">
        <f t="shared" si="30"/>
        <v>100</v>
      </c>
      <c r="K115" s="1415">
        <f t="shared" si="30"/>
        <v>100</v>
      </c>
      <c r="L115" s="1415">
        <f t="shared" si="30"/>
        <v>100</v>
      </c>
      <c r="M115" s="1415">
        <f t="shared" si="30"/>
        <v>100</v>
      </c>
      <c r="N115" s="1717"/>
      <c r="O115" s="1717"/>
      <c r="P115" s="1802"/>
      <c r="Q115" s="1710"/>
    </row>
    <row r="116" ht="14.75" spans="1:17">
      <c r="A116" s="1443"/>
      <c r="B116" s="1412" t="s">
        <v>1063</v>
      </c>
      <c r="C116" s="1420"/>
      <c r="D116" s="1420"/>
      <c r="E116" s="1420"/>
      <c r="F116" s="1420"/>
      <c r="G116" s="1420"/>
      <c r="H116" s="1437"/>
      <c r="I116" s="1437"/>
      <c r="J116" s="1437"/>
      <c r="K116" s="1488"/>
      <c r="L116" s="1489"/>
      <c r="M116" s="1490"/>
      <c r="N116" s="1715"/>
      <c r="O116" s="1715"/>
      <c r="P116" s="1802"/>
      <c r="Q116" s="1710"/>
    </row>
    <row r="117" ht="14.75" spans="1:17">
      <c r="A117" s="1409"/>
      <c r="B117" s="1414"/>
      <c r="C117" s="1415">
        <v>100</v>
      </c>
      <c r="D117" s="1415">
        <f>C117-$K39</f>
        <v>100</v>
      </c>
      <c r="E117" s="1415">
        <f>D117-$K39</f>
        <v>100</v>
      </c>
      <c r="F117" s="1415">
        <f>E117-$K39</f>
        <v>100</v>
      </c>
      <c r="G117" s="1415">
        <f>F117-$K39</f>
        <v>100</v>
      </c>
      <c r="H117" s="1415"/>
      <c r="I117" s="1415"/>
      <c r="J117" s="1415"/>
      <c r="K117" s="1415"/>
      <c r="L117" s="1415"/>
      <c r="M117" s="1465"/>
      <c r="N117" s="1717"/>
      <c r="O117" s="1717"/>
      <c r="P117" s="1802"/>
      <c r="Q117" s="1710"/>
    </row>
    <row r="118" ht="14.75" spans="1:17">
      <c r="A118" s="1443"/>
      <c r="B118" s="1412" t="s">
        <v>1594</v>
      </c>
      <c r="C118" s="1437"/>
      <c r="D118" s="1437"/>
      <c r="E118" s="1437"/>
      <c r="F118" s="1437"/>
      <c r="G118" s="1437"/>
      <c r="H118" s="1437"/>
      <c r="I118" s="1437"/>
      <c r="J118" s="1437"/>
      <c r="K118" s="1488"/>
      <c r="L118" s="1489"/>
      <c r="M118" s="1490"/>
      <c r="N118" s="1715"/>
      <c r="O118" s="1715"/>
      <c r="P118" s="1802"/>
      <c r="Q118" s="1710"/>
    </row>
    <row r="119" ht="14.75" spans="1:17">
      <c r="A119" s="1409"/>
      <c r="B119" s="1414"/>
      <c r="C119" s="1415">
        <v>100</v>
      </c>
      <c r="D119" s="1415">
        <f t="shared" ref="D119:M119" si="31">C119-$K40</f>
        <v>100</v>
      </c>
      <c r="E119" s="1415">
        <f t="shared" si="31"/>
        <v>100</v>
      </c>
      <c r="F119" s="1415">
        <f t="shared" si="31"/>
        <v>100</v>
      </c>
      <c r="G119" s="1415">
        <f t="shared" si="31"/>
        <v>100</v>
      </c>
      <c r="H119" s="1415">
        <f t="shared" si="31"/>
        <v>100</v>
      </c>
      <c r="I119" s="1415">
        <f t="shared" si="31"/>
        <v>100</v>
      </c>
      <c r="J119" s="1415">
        <f t="shared" si="31"/>
        <v>100</v>
      </c>
      <c r="K119" s="1415">
        <f t="shared" si="31"/>
        <v>100</v>
      </c>
      <c r="L119" s="1415">
        <f t="shared" si="31"/>
        <v>100</v>
      </c>
      <c r="M119" s="1415">
        <f t="shared" si="31"/>
        <v>100</v>
      </c>
      <c r="N119" s="1717"/>
      <c r="O119" s="1717"/>
      <c r="P119" s="1802"/>
      <c r="Q119" s="1710"/>
    </row>
    <row r="120" s="1129" customFormat="1" ht="28.75" spans="1:17">
      <c r="A120" s="1440"/>
      <c r="B120" s="1412" t="s">
        <v>1595</v>
      </c>
      <c r="C120" s="1420"/>
      <c r="D120" s="1420"/>
      <c r="E120" s="1420"/>
      <c r="F120" s="1420"/>
      <c r="G120" s="1420"/>
      <c r="H120" s="1420"/>
      <c r="I120" s="1420"/>
      <c r="J120" s="1420"/>
      <c r="K120" s="1420"/>
      <c r="L120" s="1619"/>
      <c r="M120" s="1620"/>
      <c r="N120" s="1718"/>
      <c r="O120" s="1718"/>
      <c r="P120" s="1806"/>
      <c r="Q120" s="1721"/>
    </row>
    <row r="121" s="1129" customFormat="1" ht="14.75" spans="1:17">
      <c r="A121" s="1419"/>
      <c r="B121" s="1410"/>
      <c r="C121" s="1422"/>
      <c r="D121" s="1411"/>
      <c r="E121" s="1411"/>
      <c r="F121" s="1411"/>
      <c r="G121" s="1411"/>
      <c r="H121" s="1411"/>
      <c r="I121" s="1411"/>
      <c r="J121" s="1411"/>
      <c r="K121" s="1411"/>
      <c r="L121" s="1411"/>
      <c r="M121" s="1411"/>
      <c r="N121" s="1718"/>
      <c r="O121" s="1718"/>
      <c r="P121" s="1806"/>
      <c r="Q121" s="1721"/>
    </row>
    <row r="122" ht="14.75" spans="1:17">
      <c r="A122" s="1443"/>
      <c r="B122" s="1412" t="s">
        <v>1069</v>
      </c>
      <c r="C122" s="1420"/>
      <c r="D122" s="1420"/>
      <c r="E122" s="1420"/>
      <c r="F122" s="1437"/>
      <c r="G122" s="1437"/>
      <c r="H122" s="1437"/>
      <c r="I122" s="1437"/>
      <c r="J122" s="1437"/>
      <c r="K122" s="1488"/>
      <c r="L122" s="1489"/>
      <c r="M122" s="1490"/>
      <c r="N122" s="1715"/>
      <c r="O122" s="1715"/>
      <c r="P122" s="1802"/>
      <c r="Q122" s="1710"/>
    </row>
    <row r="123" ht="14.75" spans="1:17">
      <c r="A123" s="1409"/>
      <c r="B123" s="1414"/>
      <c r="C123" s="1415">
        <v>100</v>
      </c>
      <c r="D123" s="1415">
        <f t="shared" ref="D123:M123" si="32">C123-$K42</f>
        <v>100</v>
      </c>
      <c r="E123" s="1415">
        <f t="shared" si="32"/>
        <v>100</v>
      </c>
      <c r="F123" s="1415">
        <f t="shared" si="32"/>
        <v>100</v>
      </c>
      <c r="G123" s="1415">
        <f t="shared" si="32"/>
        <v>100</v>
      </c>
      <c r="H123" s="1415">
        <f t="shared" si="32"/>
        <v>100</v>
      </c>
      <c r="I123" s="1415">
        <f t="shared" si="32"/>
        <v>100</v>
      </c>
      <c r="J123" s="1415">
        <f t="shared" si="32"/>
        <v>100</v>
      </c>
      <c r="K123" s="1415">
        <f t="shared" si="32"/>
        <v>100</v>
      </c>
      <c r="L123" s="1415">
        <f t="shared" si="32"/>
        <v>100</v>
      </c>
      <c r="M123" s="1415">
        <f t="shared" si="32"/>
        <v>100</v>
      </c>
      <c r="N123" s="1717"/>
      <c r="O123" s="1717"/>
      <c r="P123" s="1802"/>
      <c r="Q123" s="1710"/>
    </row>
    <row r="124" ht="28.75" spans="1:17">
      <c r="A124" s="1443"/>
      <c r="B124" s="1412" t="s">
        <v>1071</v>
      </c>
      <c r="C124" s="1431" t="s">
        <v>1087</v>
      </c>
      <c r="D124" s="1431" t="s">
        <v>1088</v>
      </c>
      <c r="E124" s="1431" t="s">
        <v>1089</v>
      </c>
      <c r="F124" s="1431" t="s">
        <v>1090</v>
      </c>
      <c r="G124" s="1431" t="s">
        <v>1091</v>
      </c>
      <c r="H124" s="1413"/>
      <c r="I124" s="1413"/>
      <c r="J124" s="1413"/>
      <c r="K124" s="1462"/>
      <c r="L124" s="1463"/>
      <c r="M124" s="1464"/>
      <c r="N124" s="1715"/>
      <c r="O124" s="1715"/>
      <c r="P124" s="1806"/>
      <c r="Q124" s="1710"/>
    </row>
    <row r="125" ht="14.75" spans="1:17">
      <c r="A125" s="1409"/>
      <c r="B125" s="1414"/>
      <c r="C125" s="1415">
        <v>100</v>
      </c>
      <c r="D125" s="1415">
        <f>C125-$K43</f>
        <v>100</v>
      </c>
      <c r="E125" s="1415">
        <f>D125-$K43</f>
        <v>100</v>
      </c>
      <c r="F125" s="1415">
        <f>E125-$K43</f>
        <v>100</v>
      </c>
      <c r="G125" s="1415">
        <f>F125-$K43</f>
        <v>100</v>
      </c>
      <c r="H125" s="1415"/>
      <c r="I125" s="1415"/>
      <c r="J125" s="1415"/>
      <c r="K125" s="1415"/>
      <c r="L125" s="1415"/>
      <c r="M125" s="1465"/>
      <c r="N125" s="1717"/>
      <c r="O125" s="1717"/>
      <c r="P125" s="1802"/>
      <c r="Q125" s="1710"/>
    </row>
    <row r="126" s="1129" customFormat="1" ht="14.75" spans="1:17">
      <c r="A126" s="1440"/>
      <c r="B126" s="1412">
        <f>B44</f>
        <v>111</v>
      </c>
      <c r="C126" s="1420"/>
      <c r="D126" s="1420"/>
      <c r="E126" s="1420"/>
      <c r="F126" s="1420"/>
      <c r="G126" s="1420"/>
      <c r="H126" s="1421"/>
      <c r="I126" s="1421"/>
      <c r="J126" s="1421"/>
      <c r="K126" s="1421"/>
      <c r="L126" s="1469"/>
      <c r="M126" s="1470"/>
      <c r="N126" s="1718"/>
      <c r="O126" s="1718"/>
      <c r="P126" s="1806"/>
      <c r="Q126" s="1721"/>
    </row>
    <row r="127" s="1129" customFormat="1" ht="14.75" spans="1:17">
      <c r="A127" s="1419"/>
      <c r="B127" s="1414"/>
      <c r="C127" s="1422"/>
      <c r="D127" s="1411"/>
      <c r="E127" s="1411"/>
      <c r="F127" s="1411"/>
      <c r="G127" s="1422"/>
      <c r="H127" s="1423"/>
      <c r="I127" s="1423"/>
      <c r="J127" s="1423"/>
      <c r="K127" s="1423"/>
      <c r="L127" s="1423"/>
      <c r="M127" s="1473"/>
      <c r="N127" s="1718"/>
      <c r="O127" s="1718"/>
      <c r="P127" s="1806"/>
      <c r="Q127" s="1721"/>
    </row>
    <row r="128" ht="14.75" spans="1:17">
      <c r="A128" s="1443"/>
      <c r="B128" s="1412">
        <f>B45</f>
        <v>111</v>
      </c>
      <c r="C128" s="1420"/>
      <c r="D128" s="1420"/>
      <c r="E128" s="1420"/>
      <c r="F128" s="1420"/>
      <c r="G128" s="1437"/>
      <c r="H128" s="1437"/>
      <c r="I128" s="1437"/>
      <c r="J128" s="1437"/>
      <c r="K128" s="1488"/>
      <c r="L128" s="1489"/>
      <c r="M128" s="1490"/>
      <c r="N128" s="1715"/>
      <c r="O128" s="1715"/>
      <c r="P128" s="1802"/>
      <c r="Q128" s="1710"/>
    </row>
    <row r="129" ht="14.75" spans="1:17">
      <c r="A129" s="1409"/>
      <c r="B129" s="1414"/>
      <c r="C129" s="1422"/>
      <c r="D129" s="1422"/>
      <c r="E129" s="1422"/>
      <c r="F129" s="1422"/>
      <c r="G129" s="1411"/>
      <c r="H129" s="1411"/>
      <c r="I129" s="1411"/>
      <c r="J129" s="1411"/>
      <c r="K129" s="1411"/>
      <c r="L129" s="1411"/>
      <c r="M129" s="1460"/>
      <c r="N129" s="1717"/>
      <c r="O129" s="1717"/>
      <c r="P129" s="1802"/>
      <c r="Q129" s="1710"/>
    </row>
    <row r="130" ht="14.75" spans="1:17">
      <c r="A130" s="1443"/>
      <c r="B130" s="1416">
        <f>B46</f>
        <v>111</v>
      </c>
      <c r="C130" s="1420"/>
      <c r="D130" s="1420"/>
      <c r="E130" s="1420"/>
      <c r="F130" s="1420"/>
      <c r="G130" s="1438"/>
      <c r="H130" s="1438"/>
      <c r="I130" s="1438"/>
      <c r="J130" s="1438"/>
      <c r="K130" s="1404"/>
      <c r="L130" s="1450"/>
      <c r="M130" s="1493"/>
      <c r="N130" s="1715"/>
      <c r="O130" s="1715"/>
      <c r="P130" s="1802"/>
      <c r="Q130" s="1710"/>
    </row>
    <row r="131" ht="14.75" spans="1:17">
      <c r="A131" s="1722"/>
      <c r="B131" s="1426"/>
      <c r="C131" s="1427"/>
      <c r="D131" s="1427"/>
      <c r="E131" s="1427"/>
      <c r="F131" s="1427"/>
      <c r="G131" s="1439"/>
      <c r="H131" s="1439"/>
      <c r="I131" s="1439"/>
      <c r="J131" s="1439"/>
      <c r="K131" s="1439"/>
      <c r="L131" s="1439"/>
      <c r="M131" s="1494"/>
      <c r="N131" s="1717"/>
      <c r="O131" s="1717"/>
      <c r="P131" s="1802"/>
      <c r="Q131" s="1710"/>
    </row>
    <row r="136" ht="14.75" spans="2:2">
      <c r="B136" s="1813" t="s">
        <v>1596</v>
      </c>
    </row>
    <row r="137" ht="15.5" spans="2:11">
      <c r="B137" s="1814" t="s">
        <v>1597</v>
      </c>
      <c r="C137" s="1815"/>
      <c r="D137" s="1815"/>
      <c r="E137" s="1815"/>
      <c r="F137" s="1815"/>
      <c r="G137" s="1816"/>
      <c r="H137" s="1817"/>
      <c r="I137" s="1840" t="s">
        <v>1598</v>
      </c>
      <c r="J137" s="1815"/>
      <c r="K137" s="1841"/>
    </row>
    <row r="138" ht="15.5" spans="2:11">
      <c r="B138" s="1818"/>
      <c r="C138" s="1819" t="s">
        <v>1599</v>
      </c>
      <c r="D138" s="1819" t="s">
        <v>1600</v>
      </c>
      <c r="E138" s="1820" t="s">
        <v>1601</v>
      </c>
      <c r="F138" s="1821" t="s">
        <v>1602</v>
      </c>
      <c r="G138" s="1819" t="s">
        <v>1600</v>
      </c>
      <c r="H138" s="1822" t="s">
        <v>1601</v>
      </c>
      <c r="I138" s="1842"/>
      <c r="J138" s="1819" t="s">
        <v>1603</v>
      </c>
      <c r="K138" s="1822" t="s">
        <v>1604</v>
      </c>
    </row>
    <row r="139" ht="15.5" spans="2:11">
      <c r="B139" s="1823">
        <v>6</v>
      </c>
      <c r="C139" s="1824">
        <v>96</v>
      </c>
      <c r="D139" s="1825" t="s">
        <v>1605</v>
      </c>
      <c r="E139" s="1826">
        <v>100</v>
      </c>
      <c r="F139" s="1827">
        <v>102.5</v>
      </c>
      <c r="G139" s="1825" t="s">
        <v>1605</v>
      </c>
      <c r="H139" s="1828">
        <v>105</v>
      </c>
      <c r="I139" s="1843" t="s">
        <v>1606</v>
      </c>
      <c r="J139" s="1824">
        <v>20</v>
      </c>
      <c r="K139" s="1844">
        <f>C145/(J139-2)</f>
        <v>0.00405555555555556</v>
      </c>
    </row>
    <row r="140" ht="15.5" spans="2:11">
      <c r="B140" s="1829">
        <v>5</v>
      </c>
      <c r="C140" s="1830">
        <v>100</v>
      </c>
      <c r="D140" s="1830"/>
      <c r="E140" s="1831"/>
      <c r="F140" s="1832">
        <v>102</v>
      </c>
      <c r="G140" s="1830"/>
      <c r="H140" s="1833"/>
      <c r="I140" s="1845" t="s">
        <v>1607</v>
      </c>
      <c r="J140" s="486">
        <f>ROUNDUP((J139-1)/2,0)</f>
        <v>10</v>
      </c>
      <c r="K140" s="1846">
        <v>100</v>
      </c>
    </row>
    <row r="141" ht="15.5" spans="2:11">
      <c r="B141" s="1829">
        <v>4</v>
      </c>
      <c r="C141" s="1830">
        <v>102</v>
      </c>
      <c r="D141" s="1830"/>
      <c r="E141" s="1831"/>
      <c r="F141" s="1832">
        <v>101.5</v>
      </c>
      <c r="G141" s="1830"/>
      <c r="H141" s="1833"/>
      <c r="I141" s="1845" t="s">
        <v>1608</v>
      </c>
      <c r="J141" s="486">
        <v>1</v>
      </c>
      <c r="K141" s="1847">
        <f>ROUND(100+(J141-J140)*K139*100,1)</f>
        <v>96.4</v>
      </c>
    </row>
    <row r="142" ht="15.5" spans="2:11">
      <c r="B142" s="1829">
        <v>3</v>
      </c>
      <c r="C142" s="1830">
        <v>103</v>
      </c>
      <c r="D142" s="1830"/>
      <c r="E142" s="1831"/>
      <c r="F142" s="1832">
        <v>101</v>
      </c>
      <c r="G142" s="1830"/>
      <c r="H142" s="1833"/>
      <c r="I142" s="1845" t="s">
        <v>1609</v>
      </c>
      <c r="J142" s="486">
        <f>J139</f>
        <v>20</v>
      </c>
      <c r="K142" s="1848">
        <v>95</v>
      </c>
    </row>
    <row r="143" ht="15.5" spans="2:11">
      <c r="B143" s="1829">
        <v>2</v>
      </c>
      <c r="C143" s="1830">
        <v>100</v>
      </c>
      <c r="D143" s="1830"/>
      <c r="E143" s="1831"/>
      <c r="F143" s="1832">
        <v>100.5</v>
      </c>
      <c r="G143" s="1830"/>
      <c r="H143" s="1833"/>
      <c r="I143" s="1845" t="s">
        <v>1610</v>
      </c>
      <c r="J143" s="1830">
        <v>15</v>
      </c>
      <c r="K143" s="1847">
        <f>ROUND(100+(J143-J140)*K139*100,1)</f>
        <v>102</v>
      </c>
    </row>
    <row r="144" ht="15.5" spans="2:11">
      <c r="B144" s="1829">
        <v>1</v>
      </c>
      <c r="C144" s="1830">
        <v>98</v>
      </c>
      <c r="D144" s="1834" t="s">
        <v>1611</v>
      </c>
      <c r="E144" s="1831">
        <v>102</v>
      </c>
      <c r="F144" s="1835">
        <v>100</v>
      </c>
      <c r="G144" s="1834" t="s">
        <v>1611</v>
      </c>
      <c r="H144" s="1833">
        <v>105</v>
      </c>
      <c r="I144" s="1845" t="s">
        <v>1610</v>
      </c>
      <c r="J144" s="1830">
        <v>18</v>
      </c>
      <c r="K144" s="1847">
        <f>ROUND(100+(J144-J140)*K139*100,1)</f>
        <v>103.2</v>
      </c>
    </row>
    <row r="145" ht="16.25" spans="2:11">
      <c r="B145" s="1836" t="s">
        <v>1612</v>
      </c>
      <c r="C145" s="1837">
        <f>ROUND(MAX(C139:C144)/MIN(C139:C144)-1,3)</f>
        <v>0.073</v>
      </c>
      <c r="D145" s="1838"/>
      <c r="E145" s="1838"/>
      <c r="F145" s="1839" t="s">
        <v>1613</v>
      </c>
      <c r="G145" s="1756"/>
      <c r="H145" s="1761"/>
      <c r="I145" s="1849" t="s">
        <v>1610</v>
      </c>
      <c r="J145" s="1850">
        <v>8</v>
      </c>
      <c r="K145" s="1851">
        <f>ROUND(100+(J145-J140)*K139*100,1)</f>
        <v>99.2</v>
      </c>
    </row>
    <row r="147" spans="2:2">
      <c r="B147" s="1813" t="s">
        <v>1614</v>
      </c>
    </row>
    <row r="148" spans="2:2">
      <c r="B148" s="1813" t="s">
        <v>1615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5.6272727272727"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1005</v>
      </c>
      <c r="B1" s="1685" t="s">
        <v>1616</v>
      </c>
      <c r="C1" s="1550" t="s">
        <v>1007</v>
      </c>
      <c r="D1" s="1551"/>
      <c r="E1" s="1552"/>
      <c r="F1" s="1553"/>
      <c r="G1" s="1554" t="s">
        <v>1011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1012</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1013</v>
      </c>
      <c r="F2" s="1560"/>
      <c r="G2" s="1142"/>
      <c r="H2" s="1142"/>
      <c r="I2" s="1142"/>
      <c r="J2" s="1142"/>
      <c r="K2" s="114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1014</v>
      </c>
      <c r="B3" s="1144">
        <f ca="1">IF(C2="——",C50,ROUND(B2*10000/D3,0))</f>
        <v>0</v>
      </c>
      <c r="C3" s="1561" t="s">
        <v>1015</v>
      </c>
      <c r="D3" s="1562">
        <f>IF(D1="",'数据-汇总表'!E3,SUMIF('数据-汇总表'!$C19:$C33,D1,'数据-汇总表'!$E19:$E33))</f>
        <v>54377.37</v>
      </c>
      <c r="E3" s="1730"/>
      <c r="F3" s="1143"/>
      <c r="G3" s="1142"/>
      <c r="H3" s="1142"/>
      <c r="I3" s="1142"/>
      <c r="J3" s="1142"/>
      <c r="K3" s="1302"/>
      <c r="L3" s="1303"/>
      <c r="M3" s="1304"/>
      <c r="N3" s="1304"/>
      <c r="O3" s="1304"/>
      <c r="P3" s="1301"/>
      <c r="Q3" s="1301"/>
      <c r="R3" s="1301"/>
      <c r="S3" s="1301"/>
      <c r="T3" s="1301"/>
      <c r="U3" s="1301"/>
      <c r="V3" s="1301"/>
      <c r="W3" s="1301"/>
      <c r="X3" s="1301"/>
      <c r="Y3" s="1301"/>
      <c r="Z3" s="1301"/>
      <c r="AA3" s="1301"/>
      <c r="AB3" s="1301"/>
      <c r="AC3" s="1381"/>
    </row>
    <row r="4" spans="1:29">
      <c r="A4" s="1146" t="s">
        <v>1016</v>
      </c>
      <c r="B4" s="1147"/>
      <c r="C4" s="1148" t="s">
        <v>1017</v>
      </c>
      <c r="D4" s="1149"/>
      <c r="E4" s="1150" t="s">
        <v>1018</v>
      </c>
      <c r="F4" s="1151"/>
      <c r="G4" s="1148" t="s">
        <v>1019</v>
      </c>
      <c r="H4" s="1149"/>
      <c r="I4" s="1148" t="s">
        <v>1020</v>
      </c>
      <c r="J4" s="1149"/>
      <c r="K4" s="1305" t="s">
        <v>1021</v>
      </c>
      <c r="L4" s="1306"/>
      <c r="M4" s="1307"/>
      <c r="N4" s="1307"/>
      <c r="O4" s="1307"/>
      <c r="P4" s="1740" t="s">
        <v>1022</v>
      </c>
      <c r="Q4" s="1750"/>
      <c r="R4" s="1751" t="s">
        <v>1018</v>
      </c>
      <c r="S4" s="1752"/>
      <c r="T4" s="1751" t="s">
        <v>1019</v>
      </c>
      <c r="U4" s="1752"/>
      <c r="V4" s="1267" t="s">
        <v>1020</v>
      </c>
      <c r="W4" s="1267"/>
      <c r="X4" s="1753"/>
      <c r="Y4" s="1751" t="s">
        <v>1022</v>
      </c>
      <c r="Z4" s="1752"/>
      <c r="AA4" s="1753" t="s">
        <v>1018</v>
      </c>
      <c r="AB4" s="1753" t="s">
        <v>1019</v>
      </c>
      <c r="AC4" s="1757" t="s">
        <v>1020</v>
      </c>
    </row>
    <row r="5" spans="1:29">
      <c r="A5" s="1152"/>
      <c r="B5" s="1153"/>
      <c r="C5" s="1154" t="s">
        <v>1023</v>
      </c>
      <c r="D5" s="1155"/>
      <c r="E5" s="1156" t="s">
        <v>1586</v>
      </c>
      <c r="F5" s="1157"/>
      <c r="G5" s="1154" t="s">
        <v>1587</v>
      </c>
      <c r="H5" s="1155"/>
      <c r="I5" s="1154" t="s">
        <v>1588</v>
      </c>
      <c r="J5" s="1155"/>
      <c r="K5" s="1305"/>
      <c r="L5" s="1306"/>
      <c r="M5" s="1307"/>
      <c r="N5" s="1307"/>
      <c r="O5" s="1307"/>
      <c r="P5" s="1741"/>
      <c r="Q5" s="1360"/>
      <c r="R5" s="1361"/>
      <c r="S5" s="1362"/>
      <c r="T5" s="1361"/>
      <c r="U5" s="1362"/>
      <c r="V5" s="1346"/>
      <c r="W5" s="1346"/>
      <c r="X5" s="1359"/>
      <c r="Y5" s="1361"/>
      <c r="Z5" s="1362"/>
      <c r="AA5" s="1359"/>
      <c r="AB5" s="1359"/>
      <c r="AC5" s="1641"/>
    </row>
    <row r="6" ht="14.75" spans="1:29">
      <c r="A6" s="1158"/>
      <c r="B6" s="1159"/>
      <c r="C6" s="1507" t="s">
        <v>1027</v>
      </c>
      <c r="D6" s="1508"/>
      <c r="E6" s="1509" t="s">
        <v>1027</v>
      </c>
      <c r="F6" s="1510"/>
      <c r="G6" s="1507" t="s">
        <v>1027</v>
      </c>
      <c r="H6" s="1508"/>
      <c r="I6" s="1507" t="s">
        <v>1027</v>
      </c>
      <c r="J6" s="1508"/>
      <c r="K6" s="1305" t="s">
        <v>1028</v>
      </c>
      <c r="L6" s="1306"/>
      <c r="M6" s="1307"/>
      <c r="N6" s="1307"/>
      <c r="O6" s="1307"/>
      <c r="P6" s="1742"/>
      <c r="Q6" s="1363"/>
      <c r="R6" s="1361"/>
      <c r="S6" s="1362"/>
      <c r="T6" s="1364"/>
      <c r="U6" s="1365"/>
      <c r="V6" s="1346"/>
      <c r="W6" s="1346"/>
      <c r="X6" s="1359"/>
      <c r="Y6" s="1364"/>
      <c r="Z6" s="1365"/>
      <c r="AA6" s="1385"/>
      <c r="AB6" s="1385"/>
      <c r="AC6" s="1758"/>
    </row>
    <row r="7" s="1127" customFormat="1" ht="14.75" spans="1:29">
      <c r="A7" s="1164" t="s">
        <v>1029</v>
      </c>
      <c r="B7" s="1165"/>
      <c r="C7" s="1166">
        <f>'数据-取费表'!B2</f>
        <v>45861</v>
      </c>
      <c r="D7" s="1167">
        <v>100</v>
      </c>
      <c r="E7" s="1168"/>
      <c r="F7" s="1169">
        <f>SUMIF(59:59,YEAR(E7)&amp;"-"&amp;MONTH(E7),60:60)</f>
        <v>0</v>
      </c>
      <c r="G7" s="1168"/>
      <c r="H7" s="1167">
        <f>SUMIF(59:59,YEAR(G7)&amp;"-"&amp;MONTH(G7),60:60)</f>
        <v>0</v>
      </c>
      <c r="I7" s="1168"/>
      <c r="J7" s="1167">
        <f>SUMIF(59:59,YEAR(I7)&amp;"-"&amp;MONTH(I7),60:60)</f>
        <v>0</v>
      </c>
      <c r="K7" s="1311"/>
      <c r="L7" s="1312"/>
      <c r="M7" s="1313"/>
      <c r="N7" s="1313"/>
      <c r="O7" s="1313"/>
      <c r="P7" s="1743" t="s">
        <v>1030</v>
      </c>
      <c r="Q7" s="1366"/>
      <c r="R7" s="1367" t="s">
        <v>1031</v>
      </c>
      <c r="S7" s="1368">
        <f t="shared" ref="S7:S15" si="0">F7</f>
        <v>0</v>
      </c>
      <c r="T7" s="1367" t="s">
        <v>1031</v>
      </c>
      <c r="U7" s="1368">
        <f t="shared" ref="U7:U15" si="1">H7</f>
        <v>0</v>
      </c>
      <c r="V7" s="1367" t="s">
        <v>1031</v>
      </c>
      <c r="W7" s="1368">
        <f t="shared" ref="W7:W15" si="2">J7</f>
        <v>0</v>
      </c>
      <c r="X7" s="1369"/>
      <c r="Y7" s="1314" t="s">
        <v>1030</v>
      </c>
      <c r="Z7" s="1370"/>
      <c r="AA7" s="1386" t="e">
        <f>D7/F7</f>
        <v>#DIV/0!</v>
      </c>
      <c r="AB7" s="1386" t="e">
        <f>D7/H7</f>
        <v>#DIV/0!</v>
      </c>
      <c r="AC7" s="1759" t="e">
        <f>D7/J7</f>
        <v>#DIV/0!</v>
      </c>
    </row>
    <row r="8" s="1127" customFormat="1" ht="14.75" spans="1:29">
      <c r="A8" s="1164" t="s">
        <v>1032</v>
      </c>
      <c r="B8" s="1165"/>
      <c r="C8" s="1171"/>
      <c r="D8" s="1167">
        <v>100</v>
      </c>
      <c r="E8" s="1171"/>
      <c r="F8" s="1169">
        <f>SUMIF(62:62,E8,63:63)-SUMIF(62:62,C8,63:63)+100</f>
        <v>100</v>
      </c>
      <c r="G8" s="1171"/>
      <c r="H8" s="1167">
        <f>SUMIF(62:62,G8,63:63)-SUMIF(62:62,C8,63:63)+100</f>
        <v>100</v>
      </c>
      <c r="I8" s="1171"/>
      <c r="J8" s="1167">
        <f>SUMIF(62:62,I8,63:63)-SUMIF(62:62,C8,63:63)+100</f>
        <v>100</v>
      </c>
      <c r="K8" s="1311"/>
      <c r="L8" s="1312"/>
      <c r="M8" s="1313"/>
      <c r="N8" s="1313"/>
      <c r="O8" s="1313"/>
      <c r="P8" s="1743" t="s">
        <v>1034</v>
      </c>
      <c r="Q8" s="1370"/>
      <c r="R8" s="1367" t="s">
        <v>1031</v>
      </c>
      <c r="S8" s="1368">
        <f t="shared" si="0"/>
        <v>100</v>
      </c>
      <c r="T8" s="1367" t="s">
        <v>1031</v>
      </c>
      <c r="U8" s="1368">
        <f t="shared" si="1"/>
        <v>100</v>
      </c>
      <c r="V8" s="1367" t="s">
        <v>1031</v>
      </c>
      <c r="W8" s="1368">
        <f t="shared" si="2"/>
        <v>100</v>
      </c>
      <c r="X8" s="1369"/>
      <c r="Y8" s="1314" t="s">
        <v>1034</v>
      </c>
      <c r="Z8" s="1370"/>
      <c r="AA8" s="1386">
        <f t="shared" ref="AA8:AA47" si="3">D8/F8</f>
        <v>1</v>
      </c>
      <c r="AB8" s="1386">
        <f t="shared" ref="AB8:AB47" si="4">D8/H8</f>
        <v>1</v>
      </c>
      <c r="AC8" s="1759">
        <f t="shared" ref="AC8:AC47" si="5">D8/J8</f>
        <v>1</v>
      </c>
    </row>
    <row r="9" s="1127" customFormat="1" spans="1:29">
      <c r="A9" s="1172" t="s">
        <v>1035</v>
      </c>
      <c r="B9" s="1173" t="s">
        <v>1036</v>
      </c>
      <c r="C9" s="1563"/>
      <c r="D9" s="1175">
        <v>100</v>
      </c>
      <c r="E9" s="1564"/>
      <c r="F9" s="1175">
        <f>SUMIF(64:64,E9,65:65)-SUMIF(64:64,C9,65:65)+100</f>
        <v>100</v>
      </c>
      <c r="G9" s="1633"/>
      <c r="H9" s="1175">
        <f>SUMIF(64:64,G9,65:65)-SUMIF(64:64,C9,65:65)+100</f>
        <v>100</v>
      </c>
      <c r="I9" s="1633"/>
      <c r="J9" s="1175">
        <f>SUMIF(64:64,I9,65:65)-SUMIF(64:64,C9,65:65)+100</f>
        <v>100</v>
      </c>
      <c r="K9" s="1311"/>
      <c r="L9" s="1312"/>
      <c r="M9" s="1313"/>
      <c r="N9" s="1313"/>
      <c r="O9" s="1313"/>
      <c r="P9" s="1274" t="s">
        <v>1037</v>
      </c>
      <c r="Q9" s="1371" t="str">
        <f t="shared" ref="Q9:Q15" si="6">B9</f>
        <v>用途</v>
      </c>
      <c r="R9" s="1367" t="s">
        <v>1031</v>
      </c>
      <c r="S9" s="1368">
        <f t="shared" si="0"/>
        <v>100</v>
      </c>
      <c r="T9" s="1367" t="s">
        <v>1031</v>
      </c>
      <c r="U9" s="1368">
        <f t="shared" si="1"/>
        <v>100</v>
      </c>
      <c r="V9" s="1367" t="s">
        <v>1031</v>
      </c>
      <c r="W9" s="1368">
        <f t="shared" si="2"/>
        <v>100</v>
      </c>
      <c r="X9" s="1369"/>
      <c r="Y9" s="1371" t="s">
        <v>1038</v>
      </c>
      <c r="Z9" s="1387" t="str">
        <f t="shared" ref="Z9:Z15" si="7">Q9</f>
        <v>用途</v>
      </c>
      <c r="AA9" s="1386">
        <f t="shared" si="3"/>
        <v>1</v>
      </c>
      <c r="AB9" s="1386">
        <f t="shared" si="4"/>
        <v>1</v>
      </c>
      <c r="AC9" s="1759">
        <f t="shared" si="5"/>
        <v>1</v>
      </c>
    </row>
    <row r="10" s="1128" customFormat="1" ht="28" spans="1:29">
      <c r="A10" s="1176"/>
      <c r="B10" s="1177" t="s">
        <v>1039</v>
      </c>
      <c r="C10" s="1566"/>
      <c r="D10" s="1179">
        <v>100</v>
      </c>
      <c r="E10" s="1566"/>
      <c r="F10" s="1179">
        <f>SUMIF(66:66,E10,67:67)-SUMIF(66:66,C10,67:67)+100</f>
        <v>100</v>
      </c>
      <c r="G10" s="1636"/>
      <c r="H10" s="1179">
        <f>SUMIF(66:66,G10,67:67)-SUMIF(66:66,C10,67:67)+100</f>
        <v>100</v>
      </c>
      <c r="I10" s="1566"/>
      <c r="J10" s="1179">
        <f>SUMIF(66:66,I10,67:67)-SUMIF(66:66,C10,67:67)+100</f>
        <v>100</v>
      </c>
      <c r="K10" s="1311"/>
      <c r="L10" s="1317"/>
      <c r="M10" s="1318"/>
      <c r="N10" s="1318"/>
      <c r="O10" s="1318"/>
      <c r="P10" s="1274"/>
      <c r="Q10" s="1371" t="str">
        <f t="shared" si="6"/>
        <v>土地使用年限（年）</v>
      </c>
      <c r="R10" s="1367" t="s">
        <v>1031</v>
      </c>
      <c r="S10" s="1368">
        <f t="shared" si="0"/>
        <v>100</v>
      </c>
      <c r="T10" s="1367" t="s">
        <v>1031</v>
      </c>
      <c r="U10" s="1368">
        <f t="shared" si="1"/>
        <v>100</v>
      </c>
      <c r="V10" s="1367" t="s">
        <v>1031</v>
      </c>
      <c r="W10" s="1368">
        <f t="shared" si="2"/>
        <v>100</v>
      </c>
      <c r="X10" s="1369"/>
      <c r="Y10" s="1371"/>
      <c r="Z10" s="1387" t="str">
        <f t="shared" si="7"/>
        <v>土地使用年限（年）</v>
      </c>
      <c r="AA10" s="1386">
        <f t="shared" si="3"/>
        <v>1</v>
      </c>
      <c r="AB10" s="1386">
        <f t="shared" si="4"/>
        <v>1</v>
      </c>
      <c r="AC10" s="1759">
        <f t="shared" si="5"/>
        <v>1</v>
      </c>
    </row>
    <row r="11" ht="15.5" spans="1:29">
      <c r="A11" s="1180"/>
      <c r="B11" s="1177" t="s">
        <v>1042</v>
      </c>
      <c r="C11" s="1182"/>
      <c r="D11" s="1179">
        <v>100</v>
      </c>
      <c r="E11" s="1182"/>
      <c r="F11" s="1179">
        <f>LOOKUP(E11,69:69,70:70)-LOOKUP(C11,69:69,70:70)+100</f>
        <v>100</v>
      </c>
      <c r="G11" s="1183"/>
      <c r="H11" s="1179">
        <f>LOOKUP(G11,69:69,70:70)-LOOKUP(C11,69:69,70:70)+100</f>
        <v>100</v>
      </c>
      <c r="I11" s="1182"/>
      <c r="J11" s="1179">
        <f>LOOKUP(I11,69:69,70:70)-LOOKUP(C11,69:69,70:70)+100</f>
        <v>100</v>
      </c>
      <c r="K11" s="1330"/>
      <c r="L11" s="1321"/>
      <c r="M11" s="1307"/>
      <c r="N11" s="1307"/>
      <c r="O11" s="1307"/>
      <c r="P11" s="1274"/>
      <c r="Q11" s="1371" t="str">
        <f t="shared" si="6"/>
        <v>容积率</v>
      </c>
      <c r="R11" s="1367" t="s">
        <v>1031</v>
      </c>
      <c r="S11" s="1368">
        <f t="shared" si="0"/>
        <v>100</v>
      </c>
      <c r="T11" s="1367" t="s">
        <v>1031</v>
      </c>
      <c r="U11" s="1368">
        <f t="shared" si="1"/>
        <v>100</v>
      </c>
      <c r="V11" s="1367" t="s">
        <v>1031</v>
      </c>
      <c r="W11" s="1368">
        <f t="shared" si="2"/>
        <v>100</v>
      </c>
      <c r="X11" s="1369"/>
      <c r="Y11" s="1371"/>
      <c r="Z11" s="1387" t="str">
        <f t="shared" si="7"/>
        <v>容积率</v>
      </c>
      <c r="AA11" s="1386">
        <f t="shared" si="3"/>
        <v>1</v>
      </c>
      <c r="AB11" s="1386">
        <f t="shared" si="4"/>
        <v>1</v>
      </c>
      <c r="AC11" s="1759">
        <f t="shared" si="5"/>
        <v>1</v>
      </c>
    </row>
    <row r="12" s="1127" customFormat="1" ht="15.5" spans="1:29">
      <c r="A12" s="1184"/>
      <c r="B12" s="1185">
        <v>111</v>
      </c>
      <c r="C12" s="1178"/>
      <c r="D12" s="1186">
        <v>100</v>
      </c>
      <c r="E12" s="1178"/>
      <c r="F12" s="1179">
        <f>SUMIF(71:71,E12,72:72)-SUMIF(71:71,C12,72:72)+100</f>
        <v>100</v>
      </c>
      <c r="G12" s="1731"/>
      <c r="H12" s="1179">
        <f>SUMIF(71:71,G12,72:72)-SUMIF(71:71,C12,72:72)+100</f>
        <v>100</v>
      </c>
      <c r="I12" s="1178"/>
      <c r="J12" s="1179">
        <f>SUMIF(71:71,I12,72:72)-SUMIF(71:71,C12,72:72)+100</f>
        <v>100</v>
      </c>
      <c r="K12" s="1329"/>
      <c r="L12" s="1312"/>
      <c r="M12" s="1313"/>
      <c r="N12" s="1313"/>
      <c r="O12" s="1313"/>
      <c r="P12" s="1274"/>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759">
        <f t="shared" si="5"/>
        <v>1</v>
      </c>
    </row>
    <row r="13" ht="15.5" spans="1:29">
      <c r="A13" s="1180"/>
      <c r="B13" s="1185">
        <v>111</v>
      </c>
      <c r="C13" s="1189"/>
      <c r="D13" s="1190">
        <v>100</v>
      </c>
      <c r="E13" s="1178"/>
      <c r="F13" s="1179">
        <f>SUMIF(73:73,E13,74:74)-SUMIF(73:73,C13,74:74)+100</f>
        <v>100</v>
      </c>
      <c r="G13" s="1731"/>
      <c r="H13" s="1190">
        <f>SUMIF(73:73,G13,74:74)-SUMIF(73:73,C13,74:74)+100</f>
        <v>100</v>
      </c>
      <c r="I13" s="1178"/>
      <c r="J13" s="1190">
        <f>SUMIF(73:73,I13,74:74)-SUMIF(73:73,C13,74:74)+100</f>
        <v>100</v>
      </c>
      <c r="K13" s="1329"/>
      <c r="L13" s="1323"/>
      <c r="M13" s="1307"/>
      <c r="N13" s="1307"/>
      <c r="O13" s="1307"/>
      <c r="P13" s="1274"/>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759">
        <f t="shared" si="5"/>
        <v>1</v>
      </c>
    </row>
    <row r="14" ht="16.25" spans="1:29">
      <c r="A14" s="1191"/>
      <c r="B14" s="1192">
        <v>111</v>
      </c>
      <c r="C14" s="1193"/>
      <c r="D14" s="1194">
        <v>100</v>
      </c>
      <c r="E14" s="1645"/>
      <c r="F14" s="1194">
        <f>SUMIF(75:75,E14,76:76)-SUMIF(75:75,C14,76:76)+100</f>
        <v>100</v>
      </c>
      <c r="G14" s="1731"/>
      <c r="H14" s="1194">
        <f>SUMIF(75:75,G14,76:76)-SUMIF(75:75,C14,76:76)+100</f>
        <v>100</v>
      </c>
      <c r="I14" s="1178"/>
      <c r="J14" s="1194">
        <f>SUMIF(75:75,I14,76:76)-SUMIF(75:75,C14,76:76)+100</f>
        <v>100</v>
      </c>
      <c r="K14" s="1329"/>
      <c r="L14" s="1323"/>
      <c r="M14" s="1307"/>
      <c r="N14" s="1307"/>
      <c r="O14" s="1307"/>
      <c r="P14" s="1274"/>
      <c r="Q14" s="1371">
        <f t="shared" si="6"/>
        <v>111</v>
      </c>
      <c r="R14" s="1367" t="s">
        <v>1031</v>
      </c>
      <c r="S14" s="1368">
        <f t="shared" si="0"/>
        <v>100</v>
      </c>
      <c r="T14" s="1367" t="s">
        <v>1031</v>
      </c>
      <c r="U14" s="1368">
        <f t="shared" si="1"/>
        <v>100</v>
      </c>
      <c r="V14" s="1367" t="s">
        <v>1031</v>
      </c>
      <c r="W14" s="1368">
        <f t="shared" si="2"/>
        <v>100</v>
      </c>
      <c r="X14" s="1369"/>
      <c r="Y14" s="1371"/>
      <c r="Z14" s="1387">
        <f t="shared" si="7"/>
        <v>111</v>
      </c>
      <c r="AA14" s="1386">
        <f t="shared" si="3"/>
        <v>1</v>
      </c>
      <c r="AB14" s="1386">
        <f t="shared" si="4"/>
        <v>1</v>
      </c>
      <c r="AC14" s="1759">
        <f t="shared" si="5"/>
        <v>1</v>
      </c>
    </row>
    <row r="15" ht="70" spans="1:29">
      <c r="A15" s="1195" t="s">
        <v>1043</v>
      </c>
      <c r="B15" s="1196" t="s">
        <v>1617</v>
      </c>
      <c r="C15" s="1732" t="str">
        <f>估价对象房地状况!C5</f>
        <v>估价对象位于XX商圈，周边办公楼项目较多，入驻率高，办公集聚程度较好</v>
      </c>
      <c r="D15" s="1198">
        <v>100</v>
      </c>
      <c r="E15" s="1324"/>
      <c r="F15" s="1198">
        <f>SUMIF(77:77,E16,78:78)-SUMIF(77:77,C16,78:78)+100</f>
        <v>100</v>
      </c>
      <c r="G15" s="1199"/>
      <c r="H15" s="1198">
        <f>SUMIF(77:77,G16,78:78)-SUMIF(77:77,C16,78:78)+100</f>
        <v>100</v>
      </c>
      <c r="I15" s="1199"/>
      <c r="J15" s="1198">
        <f>SUMIF(77:77,I16,78:78)-SUMIF(77:77,C16,78:78)+100</f>
        <v>100</v>
      </c>
      <c r="K15" s="1609"/>
      <c r="L15" s="1323"/>
      <c r="M15" s="1307"/>
      <c r="N15" s="1307"/>
      <c r="O15" s="1307"/>
      <c r="P15" s="1744" t="s">
        <v>1045</v>
      </c>
      <c r="Q15" s="712" t="str">
        <f t="shared" si="6"/>
        <v>办公集聚程度</v>
      </c>
      <c r="R15" s="1372" t="s">
        <v>1031</v>
      </c>
      <c r="S15" s="1373">
        <f t="shared" si="0"/>
        <v>100</v>
      </c>
      <c r="T15" s="1372" t="s">
        <v>1031</v>
      </c>
      <c r="U15" s="1373">
        <f t="shared" si="1"/>
        <v>100</v>
      </c>
      <c r="V15" s="1372" t="s">
        <v>1031</v>
      </c>
      <c r="W15" s="1373">
        <f t="shared" si="2"/>
        <v>100</v>
      </c>
      <c r="X15" s="1359"/>
      <c r="Y15" s="1325" t="s">
        <v>1045</v>
      </c>
      <c r="Z15" s="1346" t="str">
        <f t="shared" si="7"/>
        <v>办公集聚程度</v>
      </c>
      <c r="AA15" s="1388">
        <f t="shared" si="3"/>
        <v>1</v>
      </c>
      <c r="AB15" s="1388">
        <f t="shared" si="4"/>
        <v>1</v>
      </c>
      <c r="AC15" s="1760">
        <f t="shared" si="5"/>
        <v>1</v>
      </c>
    </row>
    <row r="16" ht="15.5" spans="1:29">
      <c r="A16" s="1180"/>
      <c r="B16" s="1200"/>
      <c r="C16" s="1215"/>
      <c r="D16" s="1202"/>
      <c r="E16" s="1201"/>
      <c r="F16" s="1202"/>
      <c r="G16" s="1215"/>
      <c r="H16" s="1203"/>
      <c r="I16" s="1201"/>
      <c r="J16" s="1202"/>
      <c r="K16" s="1610"/>
      <c r="L16" s="1323"/>
      <c r="M16" s="1307"/>
      <c r="N16" s="1307"/>
      <c r="O16" s="1307"/>
      <c r="P16" s="1745"/>
      <c r="Q16" s="712"/>
      <c r="R16" s="1372"/>
      <c r="S16" s="1373"/>
      <c r="T16" s="1372"/>
      <c r="U16" s="1373"/>
      <c r="V16" s="1372"/>
      <c r="W16" s="1373"/>
      <c r="X16" s="1359"/>
      <c r="Y16" s="1326"/>
      <c r="Z16" s="1346"/>
      <c r="AA16" s="1388">
        <v>1</v>
      </c>
      <c r="AB16" s="1388">
        <v>1</v>
      </c>
      <c r="AC16" s="1760">
        <v>1</v>
      </c>
    </row>
    <row r="17" ht="84" spans="1:29">
      <c r="A17" s="1180"/>
      <c r="B17" s="1204" t="s">
        <v>1048</v>
      </c>
      <c r="C17" s="1733" t="str">
        <f>估价对象房地状况!C6</f>
        <v>估价对象周边道路状况、公共交通通达情况、停车便捷程度，综合评价交通便捷度较好</v>
      </c>
      <c r="D17" s="1203">
        <v>100</v>
      </c>
      <c r="E17" s="1327"/>
      <c r="F17" s="1203">
        <f>SUMIF(79:79,E18,80:80)-SUMIF(79:79,C18,80:80)+100</f>
        <v>100</v>
      </c>
      <c r="G17" s="1206"/>
      <c r="H17" s="1207">
        <f>SUMIF(79:79,G18,80:80)-SUMIF(79:79,C18,80:80)+100</f>
        <v>100</v>
      </c>
      <c r="I17" s="1206"/>
      <c r="J17" s="1207">
        <f>SUMIF(79:79,I18,80:80)-SUMIF(79:79,C18,80:80)+100</f>
        <v>100</v>
      </c>
      <c r="K17" s="1609"/>
      <c r="L17" s="1323"/>
      <c r="M17" s="1307"/>
      <c r="N17" s="1307"/>
      <c r="O17" s="1307"/>
      <c r="P17" s="1745"/>
      <c r="Q17" s="712" t="str">
        <f>B17</f>
        <v>交通便捷度</v>
      </c>
      <c r="R17" s="1372" t="s">
        <v>1031</v>
      </c>
      <c r="S17" s="1373">
        <f>F17</f>
        <v>100</v>
      </c>
      <c r="T17" s="1372" t="s">
        <v>1031</v>
      </c>
      <c r="U17" s="1373">
        <f>H17</f>
        <v>100</v>
      </c>
      <c r="V17" s="1372" t="s">
        <v>1031</v>
      </c>
      <c r="W17" s="1373">
        <f>J17</f>
        <v>100</v>
      </c>
      <c r="X17" s="1359"/>
      <c r="Y17" s="1326"/>
      <c r="Z17" s="1346" t="str">
        <f>Q17</f>
        <v>交通便捷度</v>
      </c>
      <c r="AA17" s="1388">
        <f t="shared" si="3"/>
        <v>1</v>
      </c>
      <c r="AB17" s="1388">
        <f t="shared" si="4"/>
        <v>1</v>
      </c>
      <c r="AC17" s="1760">
        <f t="shared" si="5"/>
        <v>1</v>
      </c>
    </row>
    <row r="18" ht="15.5" spans="1:29">
      <c r="A18" s="1180"/>
      <c r="B18" s="1208"/>
      <c r="C18" s="1734"/>
      <c r="D18" s="1203"/>
      <c r="E18" s="1530"/>
      <c r="F18" s="1203"/>
      <c r="G18" s="1520"/>
      <c r="H18" s="1202"/>
      <c r="I18" s="1520"/>
      <c r="J18" s="1202"/>
      <c r="K18" s="1610"/>
      <c r="L18" s="1323"/>
      <c r="M18" s="1307"/>
      <c r="N18" s="1307"/>
      <c r="O18" s="1307"/>
      <c r="P18" s="1745"/>
      <c r="Q18" s="712"/>
      <c r="R18" s="1372"/>
      <c r="S18" s="1373"/>
      <c r="T18" s="1372"/>
      <c r="U18" s="1373"/>
      <c r="V18" s="1372"/>
      <c r="W18" s="1373"/>
      <c r="X18" s="1359"/>
      <c r="Y18" s="1326"/>
      <c r="Z18" s="1346"/>
      <c r="AA18" s="1388">
        <v>1</v>
      </c>
      <c r="AB18" s="1388">
        <v>1</v>
      </c>
      <c r="AC18" s="1760">
        <v>1</v>
      </c>
    </row>
    <row r="19" ht="42" spans="1:29">
      <c r="A19" s="1180"/>
      <c r="B19" s="1204" t="s">
        <v>1049</v>
      </c>
      <c r="C19" s="1733" t="str">
        <f>估价对象房地状况!C7</f>
        <v>估价对象所在区域公共配套设施齐备情况</v>
      </c>
      <c r="D19" s="1207">
        <v>100</v>
      </c>
      <c r="E19" s="1531"/>
      <c r="F19" s="1207">
        <f>SUMIF(81:81,E20,82:82)-SUMIF(81:81,C20,82:82)+100</f>
        <v>100</v>
      </c>
      <c r="G19" s="1521"/>
      <c r="H19" s="1203">
        <f>SUMIF(81:81,G20,82:82)-SUMIF(81:81,C20,82:82)+100</f>
        <v>100</v>
      </c>
      <c r="I19" s="1521"/>
      <c r="J19" s="1203">
        <f>SUMIF(81:81,I20,82:82)-SUMIF(81:81,C20,82:82)+100</f>
        <v>100</v>
      </c>
      <c r="K19" s="1609"/>
      <c r="L19" s="1323"/>
      <c r="M19" s="1307"/>
      <c r="N19" s="1307"/>
      <c r="O19" s="1307"/>
      <c r="P19" s="1745"/>
      <c r="Q19" s="712" t="str">
        <f>B19</f>
        <v>公共配套设施</v>
      </c>
      <c r="R19" s="1372" t="s">
        <v>1031</v>
      </c>
      <c r="S19" s="1373">
        <f>F19</f>
        <v>100</v>
      </c>
      <c r="T19" s="1372" t="s">
        <v>1031</v>
      </c>
      <c r="U19" s="1373">
        <f>H19</f>
        <v>100</v>
      </c>
      <c r="V19" s="1372" t="s">
        <v>1031</v>
      </c>
      <c r="W19" s="1373">
        <f>J19</f>
        <v>100</v>
      </c>
      <c r="X19" s="1359"/>
      <c r="Y19" s="1326"/>
      <c r="Z19" s="1346" t="str">
        <f>Q19</f>
        <v>公共配套设施</v>
      </c>
      <c r="AA19" s="1388">
        <f t="shared" si="3"/>
        <v>1</v>
      </c>
      <c r="AB19" s="1388">
        <f t="shared" si="4"/>
        <v>1</v>
      </c>
      <c r="AC19" s="1760">
        <f t="shared" si="5"/>
        <v>1</v>
      </c>
    </row>
    <row r="20" ht="15.5" spans="1:29">
      <c r="A20" s="1180"/>
      <c r="B20" s="1208"/>
      <c r="C20" s="1215"/>
      <c r="D20" s="1202"/>
      <c r="E20" s="1523"/>
      <c r="F20" s="1202"/>
      <c r="G20" s="1517"/>
      <c r="H20" s="1202"/>
      <c r="I20" s="1517"/>
      <c r="J20" s="1202"/>
      <c r="K20" s="1610"/>
      <c r="L20" s="1323"/>
      <c r="M20" s="1307"/>
      <c r="N20" s="1307"/>
      <c r="O20" s="1307"/>
      <c r="P20" s="1745"/>
      <c r="Q20" s="712"/>
      <c r="R20" s="1372"/>
      <c r="S20" s="1373"/>
      <c r="T20" s="1372"/>
      <c r="U20" s="1373"/>
      <c r="V20" s="1372"/>
      <c r="W20" s="1373"/>
      <c r="X20" s="1359"/>
      <c r="Y20" s="1326"/>
      <c r="Z20" s="1346"/>
      <c r="AA20" s="1388">
        <v>1</v>
      </c>
      <c r="AB20" s="1388">
        <v>1</v>
      </c>
      <c r="AC20" s="1760">
        <v>1</v>
      </c>
    </row>
    <row r="21" ht="28" spans="1:29">
      <c r="A21" s="1180"/>
      <c r="B21" s="1210" t="s">
        <v>1050</v>
      </c>
      <c r="C21" s="1733" t="str">
        <f>估价对象房地状况!C8</f>
        <v>估价对象所在区域基础设施水平</v>
      </c>
      <c r="D21" s="1203">
        <v>100</v>
      </c>
      <c r="E21" s="1531"/>
      <c r="F21" s="1207">
        <f>SUMIF(83:83,E22,84:84)-SUMIF(83:83,C22,84:84)+100</f>
        <v>100</v>
      </c>
      <c r="G21" s="1521"/>
      <c r="H21" s="1203">
        <f>SUMIF(83:83,G22,84:84)-SUMIF(83:83,C22,84:84)+100</f>
        <v>100</v>
      </c>
      <c r="I21" s="1521"/>
      <c r="J21" s="1203">
        <f>SUMIF(83:83,I22,84:84)-SUMIF(83:83,C22,84:84)+100</f>
        <v>100</v>
      </c>
      <c r="K21" s="1609"/>
      <c r="L21" s="1323"/>
      <c r="M21" s="1307"/>
      <c r="N21" s="1307"/>
      <c r="O21" s="1307"/>
      <c r="P21" s="1745"/>
      <c r="Q21" s="712" t="str">
        <f>B21</f>
        <v>基础设施水平</v>
      </c>
      <c r="R21" s="1372" t="s">
        <v>1031</v>
      </c>
      <c r="S21" s="1373">
        <f>F21</f>
        <v>100</v>
      </c>
      <c r="T21" s="1372" t="s">
        <v>1031</v>
      </c>
      <c r="U21" s="1373">
        <f>H21</f>
        <v>100</v>
      </c>
      <c r="V21" s="1372" t="s">
        <v>1031</v>
      </c>
      <c r="W21" s="1373">
        <f>J21</f>
        <v>100</v>
      </c>
      <c r="X21" s="1359"/>
      <c r="Y21" s="1326"/>
      <c r="Z21" s="1346" t="str">
        <f>Q21</f>
        <v>基础设施水平</v>
      </c>
      <c r="AA21" s="1388">
        <f t="shared" ref="AA21" si="8">D21/F21</f>
        <v>1</v>
      </c>
      <c r="AB21" s="1388">
        <f t="shared" ref="AB21" si="9">D21/H21</f>
        <v>1</v>
      </c>
      <c r="AC21" s="1760">
        <f t="shared" ref="AC21" si="10">D21/J21</f>
        <v>1</v>
      </c>
    </row>
    <row r="22" ht="15.5" spans="1:29">
      <c r="A22" s="1180"/>
      <c r="B22" s="1210"/>
      <c r="C22" s="1734"/>
      <c r="D22" s="1202"/>
      <c r="E22" s="1201"/>
      <c r="F22" s="1202"/>
      <c r="G22" s="1215"/>
      <c r="H22" s="1202"/>
      <c r="I22" s="1215"/>
      <c r="J22" s="1202"/>
      <c r="K22" s="1611"/>
      <c r="L22" s="1323"/>
      <c r="M22" s="1307"/>
      <c r="N22" s="1307"/>
      <c r="O22" s="1307"/>
      <c r="P22" s="1745"/>
      <c r="Q22" s="712"/>
      <c r="R22" s="1372"/>
      <c r="S22" s="1373"/>
      <c r="T22" s="1372"/>
      <c r="U22" s="1373"/>
      <c r="V22" s="1372"/>
      <c r="W22" s="1373"/>
      <c r="X22" s="1359"/>
      <c r="Y22" s="1326"/>
      <c r="Z22" s="1346"/>
      <c r="AA22" s="1388">
        <v>1</v>
      </c>
      <c r="AB22" s="1388">
        <v>1</v>
      </c>
      <c r="AC22" s="1760">
        <v>1</v>
      </c>
    </row>
    <row r="23" ht="56" spans="1:29">
      <c r="A23" s="1180"/>
      <c r="B23" s="1204" t="s">
        <v>1618</v>
      </c>
      <c r="C23" s="1733" t="str">
        <f>估价对象房地状况!C9</f>
        <v>区域自然环境：；人文环境；综合评价环境状况一般</v>
      </c>
      <c r="D23" s="1203">
        <v>100</v>
      </c>
      <c r="E23" s="1327"/>
      <c r="F23" s="1203">
        <f>SUMIF(85:85,E24,86:86)-SUMIF(85:85,C24,86:86)+100</f>
        <v>100</v>
      </c>
      <c r="G23" s="1206"/>
      <c r="H23" s="1203">
        <f>SUMIF(85:85,G24,86:86)-SUMIF(85:85,C24,86:86)+100</f>
        <v>100</v>
      </c>
      <c r="I23" s="1206"/>
      <c r="J23" s="1203">
        <f>SUMIF(85:85,I24,86:86)-SUMIF(85:85,C24,86:86)+100</f>
        <v>100</v>
      </c>
      <c r="K23" s="1609"/>
      <c r="L23" s="1323"/>
      <c r="M23" s="1307"/>
      <c r="N23" s="1307"/>
      <c r="O23" s="1307"/>
      <c r="P23" s="1745"/>
      <c r="Q23" s="712" t="str">
        <f>B23</f>
        <v>环境质量</v>
      </c>
      <c r="R23" s="1372" t="s">
        <v>1031</v>
      </c>
      <c r="S23" s="1373">
        <f>F23</f>
        <v>100</v>
      </c>
      <c r="T23" s="1372" t="s">
        <v>1031</v>
      </c>
      <c r="U23" s="1373">
        <f>H23</f>
        <v>100</v>
      </c>
      <c r="V23" s="1372" t="s">
        <v>1031</v>
      </c>
      <c r="W23" s="1373">
        <f>J23</f>
        <v>100</v>
      </c>
      <c r="X23" s="1359"/>
      <c r="Y23" s="1326"/>
      <c r="Z23" s="1346" t="str">
        <f>Q23</f>
        <v>环境质量</v>
      </c>
      <c r="AA23" s="1388">
        <f t="shared" si="3"/>
        <v>1</v>
      </c>
      <c r="AB23" s="1388">
        <f t="shared" si="4"/>
        <v>1</v>
      </c>
      <c r="AC23" s="1760">
        <f t="shared" si="5"/>
        <v>1</v>
      </c>
    </row>
    <row r="24" ht="15.5" spans="1:29">
      <c r="A24" s="1180"/>
      <c r="B24" s="1210"/>
      <c r="C24" s="1215"/>
      <c r="D24" s="1202"/>
      <c r="E24" s="1523"/>
      <c r="F24" s="1202"/>
      <c r="G24" s="1517"/>
      <c r="H24" s="1202"/>
      <c r="I24" s="1517"/>
      <c r="J24" s="1202"/>
      <c r="K24" s="1610"/>
      <c r="L24" s="1323"/>
      <c r="M24" s="1307"/>
      <c r="N24" s="1307"/>
      <c r="O24" s="1307"/>
      <c r="P24" s="1745"/>
      <c r="Q24" s="712"/>
      <c r="R24" s="1372"/>
      <c r="S24" s="1373"/>
      <c r="T24" s="1372"/>
      <c r="U24" s="1373"/>
      <c r="V24" s="1372"/>
      <c r="W24" s="1373"/>
      <c r="X24" s="1359"/>
      <c r="Y24" s="1326"/>
      <c r="Z24" s="1346"/>
      <c r="AA24" s="1388">
        <v>1</v>
      </c>
      <c r="AB24" s="1388">
        <v>1</v>
      </c>
      <c r="AC24" s="1760">
        <v>1</v>
      </c>
    </row>
    <row r="25" ht="28" spans="1:29">
      <c r="A25" s="1152"/>
      <c r="B25" s="1204" t="s">
        <v>1619</v>
      </c>
      <c r="C25" s="1735"/>
      <c r="D25" s="1190">
        <v>100</v>
      </c>
      <c r="E25" s="1189"/>
      <c r="F25" s="1190">
        <f>SUMIF(87:87,E26,88:88)-SUMIF(87:87,C26,88:88)+100</f>
        <v>100</v>
      </c>
      <c r="G25" s="1735"/>
      <c r="H25" s="1190">
        <f>SUMIF(87:87,G26,88:88)-SUMIF(87:87,C26,88:88)+100</f>
        <v>100</v>
      </c>
      <c r="I25" s="1189"/>
      <c r="J25" s="1190">
        <f>SUMIF(87:87,I26,88:88)-SUMIF(87:87,C26,88:88)+100</f>
        <v>100</v>
      </c>
      <c r="K25" s="1609"/>
      <c r="L25" s="1323"/>
      <c r="M25" s="1307"/>
      <c r="N25" s="1307"/>
      <c r="O25" s="1307"/>
      <c r="P25" s="1745"/>
      <c r="Q25" s="712" t="str">
        <f>B25</f>
        <v>毗邻道路的类型与等级</v>
      </c>
      <c r="R25" s="1372" t="s">
        <v>1031</v>
      </c>
      <c r="S25" s="1373">
        <f>F25</f>
        <v>100</v>
      </c>
      <c r="T25" s="1372" t="s">
        <v>1031</v>
      </c>
      <c r="U25" s="1373">
        <f>H25</f>
        <v>100</v>
      </c>
      <c r="V25" s="1372" t="s">
        <v>1031</v>
      </c>
      <c r="W25" s="1373">
        <f>J25</f>
        <v>100</v>
      </c>
      <c r="X25" s="1359"/>
      <c r="Y25" s="1326"/>
      <c r="Z25" s="1346" t="str">
        <f>Q25</f>
        <v>毗邻道路的类型与等级</v>
      </c>
      <c r="AA25" s="1388">
        <f t="shared" si="3"/>
        <v>1</v>
      </c>
      <c r="AB25" s="1388">
        <f t="shared" si="4"/>
        <v>1</v>
      </c>
      <c r="AC25" s="1760">
        <f t="shared" si="5"/>
        <v>1</v>
      </c>
    </row>
    <row r="26" ht="15.5" spans="1:29">
      <c r="A26" s="1152"/>
      <c r="B26" s="1208"/>
      <c r="C26" s="1213"/>
      <c r="D26" s="1190"/>
      <c r="E26" s="1212"/>
      <c r="F26" s="1190"/>
      <c r="G26" s="1213"/>
      <c r="H26" s="1190"/>
      <c r="I26" s="1212"/>
      <c r="J26" s="1190"/>
      <c r="K26" s="1610"/>
      <c r="L26" s="1323"/>
      <c r="M26" s="1307"/>
      <c r="N26" s="1307"/>
      <c r="O26" s="1307"/>
      <c r="P26" s="1745"/>
      <c r="Q26" s="712"/>
      <c r="R26" s="1372"/>
      <c r="S26" s="1373"/>
      <c r="T26" s="1372"/>
      <c r="U26" s="1373"/>
      <c r="V26" s="1372"/>
      <c r="W26" s="1373"/>
      <c r="X26" s="1359"/>
      <c r="Y26" s="1326"/>
      <c r="Z26" s="1346"/>
      <c r="AA26" s="1388">
        <v>1</v>
      </c>
      <c r="AB26" s="1388">
        <v>1</v>
      </c>
      <c r="AC26" s="1760">
        <v>1</v>
      </c>
    </row>
    <row r="27" ht="15.5" spans="1:29">
      <c r="A27" s="1180"/>
      <c r="B27" s="1208" t="s">
        <v>1055</v>
      </c>
      <c r="C27" s="1213"/>
      <c r="D27" s="1190">
        <v>100</v>
      </c>
      <c r="E27" s="1212"/>
      <c r="F27" s="1190">
        <f>SUMIF(89:89,E27,90:90)-SUMIF(89:89,C27,90:90)+100</f>
        <v>100</v>
      </c>
      <c r="G27" s="1213"/>
      <c r="H27" s="1190">
        <f>SUMIF(89:89,G27,90:90)-SUMIF(89:89,C27,90:90)+100</f>
        <v>100</v>
      </c>
      <c r="I27" s="1212"/>
      <c r="J27" s="1190">
        <f>SUMIF(89:89,I27,90:90)-SUMIF(89:89,C27,90:90)+100</f>
        <v>100</v>
      </c>
      <c r="K27" s="1330"/>
      <c r="L27" s="1323"/>
      <c r="M27" s="1307"/>
      <c r="N27" s="1307"/>
      <c r="O27" s="1307"/>
      <c r="P27" s="1745"/>
      <c r="Q27" s="712" t="str">
        <f t="shared" ref="Q27:Q47" si="11">B27</f>
        <v>楼层</v>
      </c>
      <c r="R27" s="1372" t="s">
        <v>1031</v>
      </c>
      <c r="S27" s="1373">
        <f>F27</f>
        <v>100</v>
      </c>
      <c r="T27" s="1372" t="s">
        <v>1031</v>
      </c>
      <c r="U27" s="1373">
        <f>H27</f>
        <v>100</v>
      </c>
      <c r="V27" s="1372" t="s">
        <v>1031</v>
      </c>
      <c r="W27" s="1373">
        <f>J27</f>
        <v>100</v>
      </c>
      <c r="X27" s="1359"/>
      <c r="Y27" s="1326"/>
      <c r="Z27" s="1346" t="str">
        <f>Q27</f>
        <v>楼层</v>
      </c>
      <c r="AA27" s="1388">
        <f t="shared" si="3"/>
        <v>1</v>
      </c>
      <c r="AB27" s="1388">
        <f t="shared" si="4"/>
        <v>1</v>
      </c>
      <c r="AC27" s="1760">
        <f t="shared" si="5"/>
        <v>1</v>
      </c>
    </row>
    <row r="28" s="1127" customFormat="1" ht="15.5" spans="1:29">
      <c r="A28" s="1184"/>
      <c r="B28" s="1204" t="s">
        <v>1590</v>
      </c>
      <c r="C28" s="1736"/>
      <c r="D28" s="1687">
        <v>100</v>
      </c>
      <c r="E28" s="1737"/>
      <c r="F28" s="1687">
        <f>SUMIF(91:91,E28,92:92)-SUMIF(91:91,C28,92:92)+100</f>
        <v>100</v>
      </c>
      <c r="G28" s="1736"/>
      <c r="H28" s="1687">
        <f>SUMIF(91:91,G28,92:92)-SUMIF(91:91,C28,92:92)+100</f>
        <v>100</v>
      </c>
      <c r="I28" s="1737"/>
      <c r="J28" s="1687">
        <f>SUMIF(91:91,I28,92:92)-SUMIF(91:91,C28,92:92)+100</f>
        <v>100</v>
      </c>
      <c r="K28" s="1330"/>
      <c r="L28" s="1312"/>
      <c r="M28" s="1313"/>
      <c r="N28" s="1313"/>
      <c r="O28" s="1313"/>
      <c r="P28" s="1745"/>
      <c r="Q28" s="1371" t="str">
        <f t="shared" si="11"/>
        <v>朝向</v>
      </c>
      <c r="R28" s="1367" t="s">
        <v>1031</v>
      </c>
      <c r="S28" s="1368">
        <f>F28</f>
        <v>100</v>
      </c>
      <c r="T28" s="1367" t="s">
        <v>1031</v>
      </c>
      <c r="U28" s="1368">
        <f>H28</f>
        <v>100</v>
      </c>
      <c r="V28" s="1367" t="s">
        <v>1031</v>
      </c>
      <c r="W28" s="1368">
        <f>J28</f>
        <v>100</v>
      </c>
      <c r="X28" s="1369"/>
      <c r="Y28" s="1326"/>
      <c r="Z28" s="1387" t="str">
        <f>Q28</f>
        <v>朝向</v>
      </c>
      <c r="AA28" s="1388">
        <f t="shared" si="3"/>
        <v>1</v>
      </c>
      <c r="AB28" s="1388">
        <f t="shared" si="4"/>
        <v>1</v>
      </c>
      <c r="AC28" s="1760">
        <f t="shared" si="5"/>
        <v>1</v>
      </c>
    </row>
    <row r="29" ht="15.5" spans="1:29">
      <c r="A29" s="1180"/>
      <c r="B29" s="1218">
        <v>111</v>
      </c>
      <c r="C29" s="1735"/>
      <c r="D29" s="1190">
        <v>100</v>
      </c>
      <c r="E29" s="1178"/>
      <c r="F29" s="1190">
        <f>SUMIF(93:93,E29,94:94)-SUMIF(93:93,C29,94:94)+100</f>
        <v>100</v>
      </c>
      <c r="G29" s="1731"/>
      <c r="H29" s="1190">
        <f>SUMIF(93:93,G29,94:94)-SUMIF(93:93,C29,94:94)+100</f>
        <v>100</v>
      </c>
      <c r="I29" s="1178"/>
      <c r="J29" s="1190">
        <f>SUMIF(93:93,I29,94:94)-SUMIF(93:93,C29,94:94)+100</f>
        <v>100</v>
      </c>
      <c r="K29" s="1329"/>
      <c r="L29" s="1323"/>
      <c r="M29" s="1307"/>
      <c r="N29" s="1307"/>
      <c r="O29" s="1307"/>
      <c r="P29" s="1745"/>
      <c r="Q29" s="712">
        <f t="shared" si="11"/>
        <v>111</v>
      </c>
      <c r="R29" s="1372" t="s">
        <v>1031</v>
      </c>
      <c r="S29" s="1373">
        <f t="shared" ref="S29:S47" si="12">F29</f>
        <v>100</v>
      </c>
      <c r="T29" s="1372" t="s">
        <v>1031</v>
      </c>
      <c r="U29" s="1373">
        <f t="shared" ref="U29:U47" si="13">H29</f>
        <v>100</v>
      </c>
      <c r="V29" s="1372" t="s">
        <v>1031</v>
      </c>
      <c r="W29" s="1373">
        <f t="shared" ref="W29:W47" si="14">J29</f>
        <v>100</v>
      </c>
      <c r="X29" s="1359"/>
      <c r="Y29" s="1326"/>
      <c r="Z29" s="1346">
        <f t="shared" ref="Z29:Z47" si="15">Q29</f>
        <v>111</v>
      </c>
      <c r="AA29" s="1388">
        <f t="shared" si="3"/>
        <v>1</v>
      </c>
      <c r="AB29" s="1388">
        <f t="shared" si="4"/>
        <v>1</v>
      </c>
      <c r="AC29" s="1760">
        <f t="shared" si="5"/>
        <v>1</v>
      </c>
    </row>
    <row r="30" ht="15.5" spans="1:29">
      <c r="A30" s="1180"/>
      <c r="B30" s="1218">
        <v>111</v>
      </c>
      <c r="C30" s="1735"/>
      <c r="D30" s="1190">
        <v>100</v>
      </c>
      <c r="E30" s="1178"/>
      <c r="F30" s="1190">
        <f>SUMIF(95:95,E30,96:96)-SUMIF(95:95,C30,96:96)+100</f>
        <v>100</v>
      </c>
      <c r="G30" s="1731"/>
      <c r="H30" s="1190">
        <f>SUMIF(95:95,G30,96:96)-SUMIF(95:95,C30,96:96)+100</f>
        <v>100</v>
      </c>
      <c r="I30" s="1178"/>
      <c r="J30" s="1190">
        <f>SUMIF(95:95,I30,96:96)-SUMIF(95:95,C30,96:96)+100</f>
        <v>100</v>
      </c>
      <c r="K30" s="1329"/>
      <c r="L30" s="1323"/>
      <c r="M30" s="1307"/>
      <c r="N30" s="1307"/>
      <c r="O30" s="1307"/>
      <c r="P30" s="1745"/>
      <c r="Q30" s="712">
        <f t="shared" si="11"/>
        <v>111</v>
      </c>
      <c r="R30" s="1372" t="s">
        <v>1031</v>
      </c>
      <c r="S30" s="1373">
        <f t="shared" si="12"/>
        <v>100</v>
      </c>
      <c r="T30" s="1372" t="s">
        <v>1031</v>
      </c>
      <c r="U30" s="1373">
        <f t="shared" si="13"/>
        <v>100</v>
      </c>
      <c r="V30" s="1372" t="s">
        <v>1031</v>
      </c>
      <c r="W30" s="1373">
        <f t="shared" si="14"/>
        <v>100</v>
      </c>
      <c r="X30" s="1359"/>
      <c r="Y30" s="1326"/>
      <c r="Z30" s="1346">
        <f t="shared" si="15"/>
        <v>111</v>
      </c>
      <c r="AA30" s="1388">
        <f t="shared" si="3"/>
        <v>1</v>
      </c>
      <c r="AB30" s="1388">
        <f t="shared" si="4"/>
        <v>1</v>
      </c>
      <c r="AC30" s="1760">
        <f t="shared" si="5"/>
        <v>1</v>
      </c>
    </row>
    <row r="31" ht="15.5" spans="1:29">
      <c r="A31" s="1180"/>
      <c r="B31" s="1218">
        <v>111</v>
      </c>
      <c r="C31" s="1735"/>
      <c r="D31" s="1190">
        <v>100</v>
      </c>
      <c r="E31" s="1178"/>
      <c r="F31" s="1190">
        <f>SUMIF(97:97,E31,98:98)-SUMIF(97:97,C31,98:98)+100</f>
        <v>100</v>
      </c>
      <c r="G31" s="1731"/>
      <c r="H31" s="1190">
        <f>SUMIF(97:97,G31,98:98)-SUMIF(97:97,C31,98:98)+100</f>
        <v>100</v>
      </c>
      <c r="I31" s="1178"/>
      <c r="J31" s="1190">
        <f>SUMIF(97:97,I31,98:98)-SUMIF(97:97,C31,98:98)+100</f>
        <v>100</v>
      </c>
      <c r="K31" s="1329"/>
      <c r="L31" s="1323"/>
      <c r="M31" s="1307"/>
      <c r="N31" s="1307"/>
      <c r="O31" s="1307"/>
      <c r="P31" s="1745"/>
      <c r="Q31" s="712">
        <f t="shared" si="11"/>
        <v>111</v>
      </c>
      <c r="R31" s="1372" t="s">
        <v>1031</v>
      </c>
      <c r="S31" s="1373">
        <f t="shared" si="12"/>
        <v>100</v>
      </c>
      <c r="T31" s="1372" t="s">
        <v>1031</v>
      </c>
      <c r="U31" s="1373">
        <f t="shared" si="13"/>
        <v>100</v>
      </c>
      <c r="V31" s="1372" t="s">
        <v>1031</v>
      </c>
      <c r="W31" s="1373">
        <f t="shared" si="14"/>
        <v>100</v>
      </c>
      <c r="X31" s="1359"/>
      <c r="Y31" s="1326"/>
      <c r="Z31" s="1346">
        <f t="shared" si="15"/>
        <v>111</v>
      </c>
      <c r="AA31" s="1388">
        <f t="shared" si="3"/>
        <v>1</v>
      </c>
      <c r="AB31" s="1388">
        <f t="shared" si="4"/>
        <v>1</v>
      </c>
      <c r="AC31" s="1760">
        <f t="shared" si="5"/>
        <v>1</v>
      </c>
    </row>
    <row r="32" ht="16.25" spans="1:29">
      <c r="A32" s="1191"/>
      <c r="B32" s="1643">
        <v>111</v>
      </c>
      <c r="C32" s="1738"/>
      <c r="D32" s="1194">
        <v>100</v>
      </c>
      <c r="E32" s="1645"/>
      <c r="F32" s="1194">
        <f>SUMIF(99:99,E32,100:100)-SUMIF(99:99,C32,100:100)+100</f>
        <v>100</v>
      </c>
      <c r="G32" s="1731"/>
      <c r="H32" s="1194">
        <f>SUMIF(99:99,G32,100:100)-SUMIF(99:99,C32,100:100)+100</f>
        <v>100</v>
      </c>
      <c r="I32" s="1178"/>
      <c r="J32" s="1194">
        <f>SUMIF(99:99,I32,100:100)-SUMIF(99:99,C32,100:100)+100</f>
        <v>100</v>
      </c>
      <c r="K32" s="1329"/>
      <c r="L32" s="1323"/>
      <c r="M32" s="1307"/>
      <c r="N32" s="1307"/>
      <c r="O32" s="1307"/>
      <c r="P32" s="1745"/>
      <c r="Q32" s="712">
        <f t="shared" si="11"/>
        <v>111</v>
      </c>
      <c r="R32" s="1372" t="s">
        <v>1031</v>
      </c>
      <c r="S32" s="1373">
        <f t="shared" si="12"/>
        <v>100</v>
      </c>
      <c r="T32" s="1372" t="s">
        <v>1031</v>
      </c>
      <c r="U32" s="1373">
        <f t="shared" si="13"/>
        <v>100</v>
      </c>
      <c r="V32" s="1372" t="s">
        <v>1031</v>
      </c>
      <c r="W32" s="1373">
        <f t="shared" si="14"/>
        <v>100</v>
      </c>
      <c r="X32" s="1359"/>
      <c r="Y32" s="1326"/>
      <c r="Z32" s="1346">
        <f t="shared" si="15"/>
        <v>111</v>
      </c>
      <c r="AA32" s="1388">
        <f t="shared" si="3"/>
        <v>1</v>
      </c>
      <c r="AB32" s="1388">
        <f t="shared" si="4"/>
        <v>1</v>
      </c>
      <c r="AC32" s="1760">
        <f t="shared" si="5"/>
        <v>1</v>
      </c>
    </row>
    <row r="33" ht="15.5" spans="1:29">
      <c r="A33" s="1195" t="s">
        <v>1056</v>
      </c>
      <c r="B33" s="1173" t="s">
        <v>1591</v>
      </c>
      <c r="C33" s="1579"/>
      <c r="D33" s="1229">
        <v>100</v>
      </c>
      <c r="E33" s="1579"/>
      <c r="F33" s="1574">
        <f>SUMIF(101:101,E33,102:102)-SUMIF(101:101,C33,102:102)+100</f>
        <v>100</v>
      </c>
      <c r="G33" s="1579"/>
      <c r="H33" s="1190">
        <f>SUMIF(101:101,G33,102:102)-SUMIF(101:101,C33,102:102)+100</f>
        <v>100</v>
      </c>
      <c r="I33" s="1579"/>
      <c r="J33" s="1229">
        <f>SUMIF(101:101,I33,102:102)-SUMIF(101:101,C33,102:102)+100</f>
        <v>100</v>
      </c>
      <c r="K33" s="1330"/>
      <c r="L33" s="1323"/>
      <c r="M33" s="1307"/>
      <c r="N33" s="1307"/>
      <c r="O33" s="1307"/>
      <c r="P33" s="1746" t="s">
        <v>1058</v>
      </c>
      <c r="Q33" s="712" t="str">
        <f t="shared" si="11"/>
        <v>建筑类型</v>
      </c>
      <c r="R33" s="1372" t="s">
        <v>1031</v>
      </c>
      <c r="S33" s="1373">
        <f t="shared" si="12"/>
        <v>100</v>
      </c>
      <c r="T33" s="1372" t="s">
        <v>1031</v>
      </c>
      <c r="U33" s="1373">
        <f t="shared" si="13"/>
        <v>100</v>
      </c>
      <c r="V33" s="1372" t="s">
        <v>1031</v>
      </c>
      <c r="W33" s="1373">
        <f t="shared" si="14"/>
        <v>100</v>
      </c>
      <c r="X33" s="1359"/>
      <c r="Y33" s="1334" t="s">
        <v>1058</v>
      </c>
      <c r="Z33" s="1346" t="str">
        <f t="shared" si="15"/>
        <v>建筑类型</v>
      </c>
      <c r="AA33" s="1388">
        <f t="shared" si="3"/>
        <v>1</v>
      </c>
      <c r="AB33" s="1388">
        <f t="shared" si="4"/>
        <v>1</v>
      </c>
      <c r="AC33" s="1760">
        <f t="shared" si="5"/>
        <v>1</v>
      </c>
    </row>
    <row r="34" s="1129" customFormat="1" ht="15.5" spans="1:29">
      <c r="A34" s="1235"/>
      <c r="B34" s="1177" t="s">
        <v>1059</v>
      </c>
      <c r="C34" s="1568"/>
      <c r="D34" s="1179">
        <v>100</v>
      </c>
      <c r="E34" s="1183"/>
      <c r="F34" s="1567" t="e">
        <f>LOOKUP(E34,104:104,105:105)-LOOKUP(C34,104:104,105:105)+100</f>
        <v>#N/A</v>
      </c>
      <c r="G34" s="1182"/>
      <c r="H34" s="1179" t="e">
        <f>LOOKUP(G34,104:104,105:105)-LOOKUP(C34,104:104,105:105)+100</f>
        <v>#N/A</v>
      </c>
      <c r="I34" s="1182"/>
      <c r="J34" s="1179" t="e">
        <f>LOOKUP(I34,104:104,105:105)-LOOKUP(C34,104:104,105:105)+100</f>
        <v>#N/A</v>
      </c>
      <c r="K34" s="1329"/>
      <c r="L34" s="1321"/>
      <c r="M34" s="1332"/>
      <c r="N34" s="1332"/>
      <c r="O34" s="1332"/>
      <c r="P34" s="1747"/>
      <c r="Q34" s="1613" t="str">
        <f t="shared" si="11"/>
        <v>项目建筑规模</v>
      </c>
      <c r="R34" s="1374" t="s">
        <v>1031</v>
      </c>
      <c r="S34" s="1375" t="e">
        <f t="shared" si="12"/>
        <v>#N/A</v>
      </c>
      <c r="T34" s="1374" t="s">
        <v>1031</v>
      </c>
      <c r="U34" s="1375" t="e">
        <f t="shared" si="13"/>
        <v>#N/A</v>
      </c>
      <c r="V34" s="1374" t="s">
        <v>1031</v>
      </c>
      <c r="W34" s="1375" t="e">
        <f t="shared" si="14"/>
        <v>#N/A</v>
      </c>
      <c r="X34" s="1376"/>
      <c r="Y34" s="1334"/>
      <c r="Z34" s="1389" t="str">
        <f t="shared" si="15"/>
        <v>项目建筑规模</v>
      </c>
      <c r="AA34" s="1388" t="e">
        <f t="shared" si="3"/>
        <v>#N/A</v>
      </c>
      <c r="AB34" s="1388" t="e">
        <f t="shared" si="4"/>
        <v>#N/A</v>
      </c>
      <c r="AC34" s="1760" t="e">
        <f t="shared" si="5"/>
        <v>#N/A</v>
      </c>
    </row>
    <row r="35" ht="15.5" spans="1:29">
      <c r="A35" s="1230"/>
      <c r="B35" s="1177" t="s">
        <v>1060</v>
      </c>
      <c r="C35" s="1584"/>
      <c r="D35" s="1190">
        <v>100</v>
      </c>
      <c r="E35" s="1584"/>
      <c r="F35" s="1574">
        <f>SUMIF(106:106,E35,107:107)-SUMIF(106:106,C35,107:107)+100</f>
        <v>100</v>
      </c>
      <c r="G35" s="1584"/>
      <c r="H35" s="1190">
        <f>SUMIF(106:106,G35,107:107)-SUMIF(106:106,C35,107:107)+100</f>
        <v>100</v>
      </c>
      <c r="I35" s="1584"/>
      <c r="J35" s="1190">
        <f>SUMIF(106:106,I35,107:107)-SUMIF(106:106,C35,107:107)+100</f>
        <v>100</v>
      </c>
      <c r="K35" s="1330"/>
      <c r="L35" s="1323"/>
      <c r="M35" s="1307"/>
      <c r="N35" s="1307"/>
      <c r="O35" s="1307"/>
      <c r="P35" s="1747"/>
      <c r="Q35" s="712" t="str">
        <f t="shared" si="11"/>
        <v>建筑结构</v>
      </c>
      <c r="R35" s="1372" t="s">
        <v>1031</v>
      </c>
      <c r="S35" s="1373">
        <f t="shared" si="12"/>
        <v>100</v>
      </c>
      <c r="T35" s="1372" t="s">
        <v>1031</v>
      </c>
      <c r="U35" s="1373">
        <f t="shared" si="13"/>
        <v>100</v>
      </c>
      <c r="V35" s="1372" t="s">
        <v>1031</v>
      </c>
      <c r="W35" s="1373">
        <f t="shared" si="14"/>
        <v>100</v>
      </c>
      <c r="X35" s="1359"/>
      <c r="Y35" s="1334"/>
      <c r="Z35" s="1346" t="str">
        <f t="shared" si="15"/>
        <v>建筑结构</v>
      </c>
      <c r="AA35" s="1388">
        <f t="shared" si="3"/>
        <v>1</v>
      </c>
      <c r="AB35" s="1388">
        <f t="shared" si="4"/>
        <v>1</v>
      </c>
      <c r="AC35" s="1760">
        <f t="shared" si="5"/>
        <v>1</v>
      </c>
    </row>
    <row r="36" ht="15.5" spans="1:29">
      <c r="A36" s="1230"/>
      <c r="B36" s="1177" t="s">
        <v>1061</v>
      </c>
      <c r="C36" s="1584"/>
      <c r="D36" s="1190">
        <v>100</v>
      </c>
      <c r="E36" s="1584"/>
      <c r="F36" s="1574">
        <f>SUMIF(108:108,E36,109:109)-SUMIF(108:108,C36,109:109)+100</f>
        <v>100</v>
      </c>
      <c r="G36" s="1584"/>
      <c r="H36" s="1190">
        <f>SUMIF(108:108,G36,109:109)-SUMIF(108:108,C36,109:109)+100</f>
        <v>100</v>
      </c>
      <c r="I36" s="1584"/>
      <c r="J36" s="1190">
        <f>SUMIF(108:108,I36,109:109)-SUMIF(108:108,C36,109:109)+100</f>
        <v>100</v>
      </c>
      <c r="K36" s="1330"/>
      <c r="L36" s="1323"/>
      <c r="M36" s="1307"/>
      <c r="N36" s="1307"/>
      <c r="O36" s="1307"/>
      <c r="P36" s="1747"/>
      <c r="Q36" s="712" t="str">
        <f t="shared" si="11"/>
        <v>公共部分装修</v>
      </c>
      <c r="R36" s="1372" t="s">
        <v>1031</v>
      </c>
      <c r="S36" s="1373">
        <f t="shared" si="12"/>
        <v>100</v>
      </c>
      <c r="T36" s="1372" t="s">
        <v>1031</v>
      </c>
      <c r="U36" s="1373">
        <f t="shared" si="13"/>
        <v>100</v>
      </c>
      <c r="V36" s="1372" t="s">
        <v>1031</v>
      </c>
      <c r="W36" s="1373">
        <f t="shared" si="14"/>
        <v>100</v>
      </c>
      <c r="X36" s="1359"/>
      <c r="Y36" s="1334"/>
      <c r="Z36" s="1346" t="str">
        <f t="shared" si="15"/>
        <v>公共部分装修</v>
      </c>
      <c r="AA36" s="1388">
        <f t="shared" si="3"/>
        <v>1</v>
      </c>
      <c r="AB36" s="1388">
        <f t="shared" si="4"/>
        <v>1</v>
      </c>
      <c r="AC36" s="1760">
        <f t="shared" si="5"/>
        <v>1</v>
      </c>
    </row>
    <row r="37" ht="15.5" spans="1:29">
      <c r="A37" s="1230"/>
      <c r="B37" s="1177" t="s">
        <v>646</v>
      </c>
      <c r="C37" s="1581"/>
      <c r="D37" s="1190">
        <v>100</v>
      </c>
      <c r="E37" s="1581"/>
      <c r="F37" s="1574" t="e">
        <f>LOOKUP(E37,111:111,112:112)-LOOKUP(C37,111:111,112:112)+100</f>
        <v>#N/A</v>
      </c>
      <c r="G37" s="1581"/>
      <c r="H37" s="1574" t="e">
        <f>LOOKUP(G37,111:111,112:112)-LOOKUP(C37,111:111,112:112)+100</f>
        <v>#N/A</v>
      </c>
      <c r="I37" s="1581"/>
      <c r="J37" s="1190" t="e">
        <f>LOOKUP(I37,111:111,112:112)-LOOKUP(C37,111:111,112:112)+100</f>
        <v>#N/A</v>
      </c>
      <c r="K37" s="1330"/>
      <c r="L37" s="1323"/>
      <c r="M37" s="1307"/>
      <c r="N37" s="1307"/>
      <c r="O37" s="1307"/>
      <c r="P37" s="1747"/>
      <c r="Q37" s="712" t="str">
        <f t="shared" si="11"/>
        <v>成新度</v>
      </c>
      <c r="R37" s="1372" t="s">
        <v>1031</v>
      </c>
      <c r="S37" s="1373" t="e">
        <f t="shared" si="12"/>
        <v>#N/A</v>
      </c>
      <c r="T37" s="1372" t="s">
        <v>1031</v>
      </c>
      <c r="U37" s="1373" t="e">
        <f t="shared" si="13"/>
        <v>#N/A</v>
      </c>
      <c r="V37" s="1372" t="s">
        <v>1031</v>
      </c>
      <c r="W37" s="1373" t="e">
        <f t="shared" si="14"/>
        <v>#N/A</v>
      </c>
      <c r="X37" s="1359"/>
      <c r="Y37" s="1334"/>
      <c r="Z37" s="1346" t="str">
        <f t="shared" si="15"/>
        <v>成新度</v>
      </c>
      <c r="AA37" s="1388" t="e">
        <f t="shared" si="3"/>
        <v>#N/A</v>
      </c>
      <c r="AB37" s="1388" t="e">
        <f t="shared" si="4"/>
        <v>#N/A</v>
      </c>
      <c r="AC37" s="1760" t="e">
        <f t="shared" si="5"/>
        <v>#N/A</v>
      </c>
    </row>
    <row r="38" s="1127" customFormat="1" ht="15.5" spans="1:29">
      <c r="A38" s="1232"/>
      <c r="B38" s="1177" t="s">
        <v>1620</v>
      </c>
      <c r="C38" s="1584"/>
      <c r="D38" s="1179">
        <v>100</v>
      </c>
      <c r="E38" s="1584"/>
      <c r="F38" s="1574">
        <f>SUMIF(113:113,E38,114:114)-SUMIF(113:113,C38,114:114)+100</f>
        <v>100</v>
      </c>
      <c r="G38" s="1584"/>
      <c r="H38" s="1190">
        <f>SUMIF(113:113,G38,114:114)-SUMIF(113:113,C38,114:114)+100</f>
        <v>100</v>
      </c>
      <c r="I38" s="1584"/>
      <c r="J38" s="1190">
        <f>SUMIF(113:113,I38,114:114)-SUMIF(113:113,C38,114:114)+100</f>
        <v>100</v>
      </c>
      <c r="K38" s="1330"/>
      <c r="L38" s="1312"/>
      <c r="M38" s="1313"/>
      <c r="N38" s="1313"/>
      <c r="O38" s="1313"/>
      <c r="P38" s="1747"/>
      <c r="Q38" s="1371" t="str">
        <f t="shared" si="11"/>
        <v>写字楼等级</v>
      </c>
      <c r="R38" s="1367" t="s">
        <v>1031</v>
      </c>
      <c r="S38" s="1368">
        <f t="shared" si="12"/>
        <v>100</v>
      </c>
      <c r="T38" s="1367" t="s">
        <v>1031</v>
      </c>
      <c r="U38" s="1368">
        <f t="shared" si="13"/>
        <v>100</v>
      </c>
      <c r="V38" s="1367" t="s">
        <v>1031</v>
      </c>
      <c r="W38" s="1368">
        <f t="shared" si="14"/>
        <v>100</v>
      </c>
      <c r="X38" s="1369"/>
      <c r="Y38" s="1334"/>
      <c r="Z38" s="1387" t="str">
        <f t="shared" si="15"/>
        <v>写字楼等级</v>
      </c>
      <c r="AA38" s="1386">
        <f t="shared" si="3"/>
        <v>1</v>
      </c>
      <c r="AB38" s="1386">
        <f t="shared" si="4"/>
        <v>1</v>
      </c>
      <c r="AC38" s="1759">
        <f t="shared" si="5"/>
        <v>1</v>
      </c>
    </row>
    <row r="39" ht="15.5" spans="1:29">
      <c r="A39" s="1230"/>
      <c r="B39" s="1177" t="s">
        <v>1593</v>
      </c>
      <c r="C39" s="1584"/>
      <c r="D39" s="1190">
        <v>100</v>
      </c>
      <c r="E39" s="1584"/>
      <c r="F39" s="1574">
        <f>SUMIF(115:115,E39,116:116)-SUMIF(115:115,C39,116:116)+100</f>
        <v>100</v>
      </c>
      <c r="G39" s="1584"/>
      <c r="H39" s="1190">
        <f>SUMIF(115:115,G39,116:116)-SUMIF(115:115,C39,116:116)+100</f>
        <v>100</v>
      </c>
      <c r="I39" s="1584"/>
      <c r="J39" s="1190">
        <f>SUMIF(115:115,I39,116:116)-SUMIF(115:115,C39,116:116)+100</f>
        <v>100</v>
      </c>
      <c r="K39" s="1330"/>
      <c r="L39" s="1323"/>
      <c r="M39" s="1307"/>
      <c r="N39" s="1307"/>
      <c r="O39" s="1307"/>
      <c r="P39" s="1747" t="s">
        <v>1058</v>
      </c>
      <c r="Q39" s="712" t="str">
        <f t="shared" si="11"/>
        <v>物业管理</v>
      </c>
      <c r="R39" s="1372" t="s">
        <v>1031</v>
      </c>
      <c r="S39" s="1373">
        <f t="shared" si="12"/>
        <v>100</v>
      </c>
      <c r="T39" s="1372" t="s">
        <v>1031</v>
      </c>
      <c r="U39" s="1373">
        <f t="shared" si="13"/>
        <v>100</v>
      </c>
      <c r="V39" s="1372" t="s">
        <v>1031</v>
      </c>
      <c r="W39" s="1373">
        <f t="shared" si="14"/>
        <v>100</v>
      </c>
      <c r="X39" s="1359"/>
      <c r="Y39" s="1334" t="s">
        <v>1058</v>
      </c>
      <c r="Z39" s="1346" t="str">
        <f t="shared" si="15"/>
        <v>物业管理</v>
      </c>
      <c r="AA39" s="1388">
        <f t="shared" si="3"/>
        <v>1</v>
      </c>
      <c r="AB39" s="1388">
        <f t="shared" si="4"/>
        <v>1</v>
      </c>
      <c r="AC39" s="1760">
        <f t="shared" si="5"/>
        <v>1</v>
      </c>
    </row>
    <row r="40" ht="15.5" spans="1:29">
      <c r="A40" s="1230"/>
      <c r="B40" s="1177" t="s">
        <v>1063</v>
      </c>
      <c r="C40" s="1584"/>
      <c r="D40" s="1190">
        <v>100</v>
      </c>
      <c r="E40" s="1584"/>
      <c r="F40" s="1574">
        <f>SUMIF(117:117,E40,118:118)-SUMIF(117:117,C40,118:118)+100</f>
        <v>100</v>
      </c>
      <c r="G40" s="1584"/>
      <c r="H40" s="1190">
        <f>SUMIF(117:117,G40,118:118)-SUMIF(117:117,C40,118:118)+100</f>
        <v>100</v>
      </c>
      <c r="I40" s="1584"/>
      <c r="J40" s="1190">
        <f>SUMIF(117:117,I40,118:118)-SUMIF(117:117,C40,118:118)+100</f>
        <v>100</v>
      </c>
      <c r="K40" s="1330"/>
      <c r="L40" s="1323"/>
      <c r="M40" s="1307"/>
      <c r="N40" s="1307"/>
      <c r="O40" s="1307"/>
      <c r="P40" s="1747"/>
      <c r="Q40" s="712" t="str">
        <f t="shared" si="11"/>
        <v>市政基础设施</v>
      </c>
      <c r="R40" s="1372" t="s">
        <v>1031</v>
      </c>
      <c r="S40" s="1373">
        <f t="shared" si="12"/>
        <v>100</v>
      </c>
      <c r="T40" s="1372" t="s">
        <v>1031</v>
      </c>
      <c r="U40" s="1373">
        <f t="shared" si="13"/>
        <v>100</v>
      </c>
      <c r="V40" s="1372" t="s">
        <v>1031</v>
      </c>
      <c r="W40" s="1373">
        <f t="shared" si="14"/>
        <v>100</v>
      </c>
      <c r="X40" s="1359"/>
      <c r="Y40" s="1334"/>
      <c r="Z40" s="1346" t="str">
        <f t="shared" si="15"/>
        <v>市政基础设施</v>
      </c>
      <c r="AA40" s="1388">
        <f t="shared" si="3"/>
        <v>1</v>
      </c>
      <c r="AB40" s="1388">
        <f t="shared" si="4"/>
        <v>1</v>
      </c>
      <c r="AC40" s="1760">
        <f t="shared" si="5"/>
        <v>1</v>
      </c>
    </row>
    <row r="41" ht="15.5" spans="1:29">
      <c r="A41" s="1230"/>
      <c r="B41" s="1177" t="s">
        <v>1066</v>
      </c>
      <c r="C41" s="1212"/>
      <c r="D41" s="1190">
        <v>100</v>
      </c>
      <c r="E41" s="1212"/>
      <c r="F41" s="1574">
        <f>SUMIF(119:119,E41,120:120)-SUMIF(119:119,C41,120:120)+100</f>
        <v>100</v>
      </c>
      <c r="G41" s="1212"/>
      <c r="H41" s="1190">
        <f>SUMIF(119:119,G41,120:120)-SUMIF(119:119,C41,120:120)+100</f>
        <v>100</v>
      </c>
      <c r="I41" s="1212"/>
      <c r="J41" s="1190">
        <f>SUMIF(119:119,I41,120:120)-SUMIF(119:119,C41,120:120)+100</f>
        <v>100</v>
      </c>
      <c r="K41" s="1330"/>
      <c r="L41" s="1323"/>
      <c r="M41" s="1307"/>
      <c r="N41" s="1307"/>
      <c r="O41" s="1307"/>
      <c r="P41" s="1747"/>
      <c r="Q41" s="712" t="str">
        <f t="shared" si="11"/>
        <v>层高</v>
      </c>
      <c r="R41" s="1372" t="s">
        <v>1031</v>
      </c>
      <c r="S41" s="1373">
        <f t="shared" si="12"/>
        <v>100</v>
      </c>
      <c r="T41" s="1372" t="s">
        <v>1031</v>
      </c>
      <c r="U41" s="1373">
        <f t="shared" si="13"/>
        <v>100</v>
      </c>
      <c r="V41" s="1372" t="s">
        <v>1031</v>
      </c>
      <c r="W41" s="1373">
        <f t="shared" si="14"/>
        <v>100</v>
      </c>
      <c r="X41" s="1359"/>
      <c r="Y41" s="1334"/>
      <c r="Z41" s="1346" t="str">
        <f t="shared" si="15"/>
        <v>层高</v>
      </c>
      <c r="AA41" s="1388">
        <f t="shared" si="3"/>
        <v>1</v>
      </c>
      <c r="AB41" s="1388">
        <f t="shared" si="4"/>
        <v>1</v>
      </c>
      <c r="AC41" s="1760">
        <f t="shared" si="5"/>
        <v>1</v>
      </c>
    </row>
    <row r="42" s="1129" customFormat="1" ht="15.5" spans="1:29">
      <c r="A42" s="1235"/>
      <c r="B42" s="1341" t="s">
        <v>1621</v>
      </c>
      <c r="C42" s="1189"/>
      <c r="D42" s="1190">
        <v>100</v>
      </c>
      <c r="E42" s="1189"/>
      <c r="F42" s="1574">
        <f>SUMIF(121:121,E42,122:122)-SUMIF(121:121,C42,122:122)+100</f>
        <v>100</v>
      </c>
      <c r="G42" s="1189"/>
      <c r="H42" s="1190">
        <f>SUMIF(121:121,G42,122:122)-SUMIF(121:121,C42,122:122)+100</f>
        <v>100</v>
      </c>
      <c r="I42" s="1189"/>
      <c r="J42" s="1190">
        <f>SUMIF(121:121,I42,122:122)-SUMIF(121:121,C42,122:122)+100</f>
        <v>100</v>
      </c>
      <c r="K42" s="1329"/>
      <c r="L42" s="1321"/>
      <c r="M42" s="1332"/>
      <c r="N42" s="1332"/>
      <c r="O42" s="1332"/>
      <c r="P42" s="1747"/>
      <c r="Q42" s="1613" t="str">
        <f t="shared" si="11"/>
        <v>单套建筑面积</v>
      </c>
      <c r="R42" s="1374" t="s">
        <v>1031</v>
      </c>
      <c r="S42" s="1375">
        <f t="shared" si="12"/>
        <v>100</v>
      </c>
      <c r="T42" s="1374" t="s">
        <v>1031</v>
      </c>
      <c r="U42" s="1375">
        <f t="shared" si="13"/>
        <v>100</v>
      </c>
      <c r="V42" s="1374" t="s">
        <v>1031</v>
      </c>
      <c r="W42" s="1375">
        <f t="shared" si="14"/>
        <v>100</v>
      </c>
      <c r="X42" s="1376"/>
      <c r="Y42" s="1334"/>
      <c r="Z42" s="1389" t="str">
        <f t="shared" si="15"/>
        <v>单套建筑面积</v>
      </c>
      <c r="AA42" s="1388">
        <f t="shared" si="3"/>
        <v>1</v>
      </c>
      <c r="AB42" s="1388">
        <f t="shared" si="4"/>
        <v>1</v>
      </c>
      <c r="AC42" s="1760">
        <f t="shared" si="5"/>
        <v>1</v>
      </c>
    </row>
    <row r="43" ht="15.5" spans="1:29">
      <c r="A43" s="1230"/>
      <c r="B43" s="1177" t="s">
        <v>1069</v>
      </c>
      <c r="C43" s="1584"/>
      <c r="D43" s="1190">
        <v>100</v>
      </c>
      <c r="E43" s="1584"/>
      <c r="F43" s="1574">
        <f>SUMIF(123:123,E43,124:124)-SUMIF(123:123,C43,124:124)+100</f>
        <v>100</v>
      </c>
      <c r="G43" s="1584"/>
      <c r="H43" s="1190">
        <f>SUMIF(123:123,G43,124:124)-SUMIF(123:123,C43,124:124)+100</f>
        <v>100</v>
      </c>
      <c r="I43" s="1584"/>
      <c r="J43" s="1190">
        <f>SUMIF(123:123,I43,124:124)-SUMIF(123:123,C43,124:124)+100</f>
        <v>100</v>
      </c>
      <c r="K43" s="1330"/>
      <c r="L43" s="1323"/>
      <c r="M43" s="1307"/>
      <c r="N43" s="1307"/>
      <c r="O43" s="1307"/>
      <c r="P43" s="1747"/>
      <c r="Q43" s="712" t="str">
        <f t="shared" si="11"/>
        <v>内部装修</v>
      </c>
      <c r="R43" s="1372" t="s">
        <v>1031</v>
      </c>
      <c r="S43" s="1373">
        <f t="shared" si="12"/>
        <v>100</v>
      </c>
      <c r="T43" s="1372" t="s">
        <v>1031</v>
      </c>
      <c r="U43" s="1373">
        <f t="shared" si="13"/>
        <v>100</v>
      </c>
      <c r="V43" s="1372" t="s">
        <v>1031</v>
      </c>
      <c r="W43" s="1373">
        <f t="shared" si="14"/>
        <v>100</v>
      </c>
      <c r="X43" s="1359"/>
      <c r="Y43" s="1334"/>
      <c r="Z43" s="1346" t="str">
        <f t="shared" si="15"/>
        <v>内部装修</v>
      </c>
      <c r="AA43" s="1388">
        <f t="shared" si="3"/>
        <v>1</v>
      </c>
      <c r="AB43" s="1388">
        <f t="shared" si="4"/>
        <v>1</v>
      </c>
      <c r="AC43" s="1760">
        <f t="shared" si="5"/>
        <v>1</v>
      </c>
    </row>
    <row r="44" ht="28" spans="1:29">
      <c r="A44" s="1230"/>
      <c r="B44" s="1177" t="s">
        <v>1071</v>
      </c>
      <c r="C44" s="1584"/>
      <c r="D44" s="1190">
        <v>100</v>
      </c>
      <c r="E44" s="1231"/>
      <c r="F44" s="1574">
        <f>SUMIF(125:125,E44,126:126)-SUMIF(125:125,C44,126:126)+100</f>
        <v>100</v>
      </c>
      <c r="G44" s="1231"/>
      <c r="H44" s="1190">
        <f>SUMIF(125:125,G44,126:126)-SUMIF(125:125,C44,126:126)+100</f>
        <v>100</v>
      </c>
      <c r="I44" s="1231"/>
      <c r="J44" s="1190">
        <f>SUMIF(125:125,I44,126:126)-SUMIF(125:125,C44,126:126)+100</f>
        <v>100</v>
      </c>
      <c r="K44" s="1330"/>
      <c r="L44" s="1323"/>
      <c r="M44" s="1307"/>
      <c r="N44" s="1307"/>
      <c r="O44" s="1307"/>
      <c r="P44" s="1747"/>
      <c r="Q44" s="712" t="str">
        <f t="shared" si="11"/>
        <v>内部装修维护情况</v>
      </c>
      <c r="R44" s="1372" t="s">
        <v>1031</v>
      </c>
      <c r="S44" s="1373">
        <f t="shared" si="12"/>
        <v>100</v>
      </c>
      <c r="T44" s="1372" t="s">
        <v>1031</v>
      </c>
      <c r="U44" s="1373">
        <f t="shared" si="13"/>
        <v>100</v>
      </c>
      <c r="V44" s="1372" t="s">
        <v>1031</v>
      </c>
      <c r="W44" s="1373">
        <f t="shared" si="14"/>
        <v>100</v>
      </c>
      <c r="X44" s="1359"/>
      <c r="Y44" s="1334"/>
      <c r="Z44" s="1346" t="str">
        <f t="shared" si="15"/>
        <v>内部装修维护情况</v>
      </c>
      <c r="AA44" s="1388">
        <f t="shared" si="3"/>
        <v>1</v>
      </c>
      <c r="AB44" s="1388">
        <f t="shared" si="4"/>
        <v>1</v>
      </c>
      <c r="AC44" s="1760">
        <f t="shared" si="5"/>
        <v>1</v>
      </c>
    </row>
    <row r="45" s="1127" customFormat="1" ht="15.5" spans="1:29">
      <c r="A45" s="1232"/>
      <c r="B45" s="1525">
        <v>111</v>
      </c>
      <c r="C45" s="1568"/>
      <c r="D45" s="1179">
        <v>100</v>
      </c>
      <c r="E45" s="1178"/>
      <c r="F45" s="1567">
        <f>SUMIF(127:127,E45,128:128)-SUMIF(127:127,C45,128:128)+100</f>
        <v>100</v>
      </c>
      <c r="G45" s="1178"/>
      <c r="H45" s="1179">
        <f>SUMIF(127:127,G45,128:128)-SUMIF(127:127,C45,128:128)+100</f>
        <v>100</v>
      </c>
      <c r="I45" s="1178"/>
      <c r="J45" s="1179">
        <f>SUMIF(127:127,I45,128:128)-SUMIF(127:127,C45,128:128)+100</f>
        <v>100</v>
      </c>
      <c r="K45" s="1329"/>
      <c r="L45" s="1312"/>
      <c r="M45" s="1313"/>
      <c r="N45" s="1313"/>
      <c r="O45" s="1313"/>
      <c r="P45" s="1747"/>
      <c r="Q45" s="1371">
        <f t="shared" si="11"/>
        <v>111</v>
      </c>
      <c r="R45" s="1367" t="s">
        <v>1031</v>
      </c>
      <c r="S45" s="1368">
        <f t="shared" si="12"/>
        <v>100</v>
      </c>
      <c r="T45" s="1367" t="s">
        <v>1031</v>
      </c>
      <c r="U45" s="1368">
        <f t="shared" si="13"/>
        <v>100</v>
      </c>
      <c r="V45" s="1367" t="s">
        <v>1031</v>
      </c>
      <c r="W45" s="1368">
        <f t="shared" si="14"/>
        <v>100</v>
      </c>
      <c r="X45" s="1369"/>
      <c r="Y45" s="1334"/>
      <c r="Z45" s="1387">
        <f t="shared" si="15"/>
        <v>111</v>
      </c>
      <c r="AA45" s="1386">
        <f t="shared" si="3"/>
        <v>1</v>
      </c>
      <c r="AB45" s="1386">
        <f t="shared" si="4"/>
        <v>1</v>
      </c>
      <c r="AC45" s="1759">
        <f t="shared" si="5"/>
        <v>1</v>
      </c>
    </row>
    <row r="46" ht="15.5" spans="1:29">
      <c r="A46" s="1230"/>
      <c r="B46" s="1525">
        <v>111</v>
      </c>
      <c r="C46" s="1189"/>
      <c r="D46" s="1190">
        <v>100</v>
      </c>
      <c r="E46" s="1178"/>
      <c r="F46" s="1574">
        <f>SUMIF(129:129,E46,130:130)-SUMIF(129:129,C46,130:130)+100</f>
        <v>100</v>
      </c>
      <c r="G46" s="1178"/>
      <c r="H46" s="1190">
        <f>SUMIF(129:129,G46,130:130)-SUMIF(129:129,C46,130:130)+100</f>
        <v>100</v>
      </c>
      <c r="I46" s="1178"/>
      <c r="J46" s="1190">
        <f>SUMIF(129:129,I46,130:130)-SUMIF(129:129,C46,130:130)+100</f>
        <v>100</v>
      </c>
      <c r="K46" s="1329"/>
      <c r="L46" s="1323"/>
      <c r="M46" s="1307"/>
      <c r="N46" s="1307"/>
      <c r="O46" s="1307"/>
      <c r="P46" s="1747"/>
      <c r="Q46" s="712">
        <f t="shared" si="11"/>
        <v>111</v>
      </c>
      <c r="R46" s="1372" t="s">
        <v>1031</v>
      </c>
      <c r="S46" s="1373">
        <f t="shared" si="12"/>
        <v>100</v>
      </c>
      <c r="T46" s="1372" t="s">
        <v>1031</v>
      </c>
      <c r="U46" s="1373">
        <f t="shared" si="13"/>
        <v>100</v>
      </c>
      <c r="V46" s="1372" t="s">
        <v>1031</v>
      </c>
      <c r="W46" s="1373">
        <f t="shared" si="14"/>
        <v>100</v>
      </c>
      <c r="X46" s="1359"/>
      <c r="Y46" s="1334"/>
      <c r="Z46" s="1346">
        <f t="shared" si="15"/>
        <v>111</v>
      </c>
      <c r="AA46" s="1388">
        <f t="shared" si="3"/>
        <v>1</v>
      </c>
      <c r="AB46" s="1388">
        <f t="shared" si="4"/>
        <v>1</v>
      </c>
      <c r="AC46" s="1760">
        <f t="shared" si="5"/>
        <v>1</v>
      </c>
    </row>
    <row r="47" ht="16.25" spans="1:29">
      <c r="A47" s="1586"/>
      <c r="B47" s="1192">
        <v>111</v>
      </c>
      <c r="C47" s="1193"/>
      <c r="D47" s="1194">
        <v>100</v>
      </c>
      <c r="E47" s="1178"/>
      <c r="F47" s="1587">
        <f>SUMIF(131:131,E47,132:132)-SUMIF(131:131,C47,132:132)+100</f>
        <v>100</v>
      </c>
      <c r="G47" s="1178"/>
      <c r="H47" s="1194">
        <f>SUMIF(131:131,G47,132:132)-SUMIF(131:131,C47,132:132)+100</f>
        <v>100</v>
      </c>
      <c r="I47" s="1178"/>
      <c r="J47" s="1194">
        <f>SUMIF(131:131,I47,132:132)-SUMIF(131:131,C47,132:132)+100</f>
        <v>100</v>
      </c>
      <c r="K47" s="1329"/>
      <c r="L47" s="1323"/>
      <c r="M47" s="1307"/>
      <c r="N47" s="1307"/>
      <c r="O47" s="1307"/>
      <c r="P47" s="1748"/>
      <c r="Q47" s="712">
        <f t="shared" si="11"/>
        <v>111</v>
      </c>
      <c r="R47" s="1372" t="s">
        <v>1031</v>
      </c>
      <c r="S47" s="1373">
        <f t="shared" si="12"/>
        <v>100</v>
      </c>
      <c r="T47" s="1372" t="s">
        <v>1031</v>
      </c>
      <c r="U47" s="1373">
        <f t="shared" si="13"/>
        <v>100</v>
      </c>
      <c r="V47" s="1372" t="s">
        <v>1031</v>
      </c>
      <c r="W47" s="1373">
        <f t="shared" si="14"/>
        <v>100</v>
      </c>
      <c r="X47" s="1359"/>
      <c r="Y47" s="1704"/>
      <c r="Z47" s="1346">
        <f t="shared" si="15"/>
        <v>111</v>
      </c>
      <c r="AA47" s="1388">
        <f t="shared" si="3"/>
        <v>1</v>
      </c>
      <c r="AB47" s="1388">
        <f t="shared" si="4"/>
        <v>1</v>
      </c>
      <c r="AC47" s="1760">
        <f t="shared" si="5"/>
        <v>1</v>
      </c>
    </row>
    <row r="48" spans="1:29">
      <c r="A48" s="1237" t="s">
        <v>1074</v>
      </c>
      <c r="B48" s="1588"/>
      <c r="C48" s="1589" t="s">
        <v>124</v>
      </c>
      <c r="D48" s="1590"/>
      <c r="E48" s="1591"/>
      <c r="F48" s="1592"/>
      <c r="G48" s="1593"/>
      <c r="H48" s="1594"/>
      <c r="I48" s="1591"/>
      <c r="J48" s="1244"/>
      <c r="K48" s="1337"/>
      <c r="L48" s="1338"/>
      <c r="M48" s="1307"/>
      <c r="N48" s="1307"/>
      <c r="O48" s="1307"/>
      <c r="P48" s="1274" t="str">
        <f>A48</f>
        <v>成交单价（元/平方米）</v>
      </c>
      <c r="Q48" s="712"/>
      <c r="R48" s="1388">
        <f>E48</f>
        <v>0</v>
      </c>
      <c r="S48" s="1388"/>
      <c r="T48" s="1388">
        <f>G48</f>
        <v>0</v>
      </c>
      <c r="U48" s="1388"/>
      <c r="V48" s="1388">
        <f>I48</f>
        <v>0</v>
      </c>
      <c r="W48" s="1388"/>
      <c r="X48" s="1516"/>
      <c r="Y48" s="1390"/>
      <c r="Z48" s="1516"/>
      <c r="AA48" s="1516"/>
      <c r="AB48" s="1516"/>
      <c r="AC48" s="1200"/>
    </row>
    <row r="49" ht="14.75" spans="1:29">
      <c r="A49" s="1245" t="s">
        <v>1075</v>
      </c>
      <c r="B49" s="1595"/>
      <c r="C49" s="1596" t="e">
        <f>R50</f>
        <v>#DIV/0!</v>
      </c>
      <c r="D49" s="1248" t="s">
        <v>1076</v>
      </c>
      <c r="E49" s="1597" t="e">
        <f>R49</f>
        <v>#DIV/0!</v>
      </c>
      <c r="F49" s="1249"/>
      <c r="G49" s="1596" t="e">
        <f>T49</f>
        <v>#DIV/0!</v>
      </c>
      <c r="H49" s="1249"/>
      <c r="I49" s="1597" t="e">
        <f>V49</f>
        <v>#DIV/0!</v>
      </c>
      <c r="J49" s="1249"/>
      <c r="K49" s="1339">
        <f>F49+H49+J49</f>
        <v>0</v>
      </c>
      <c r="L49" s="1338"/>
      <c r="M49" s="1307"/>
      <c r="N49" s="1307"/>
      <c r="O49" s="1307"/>
      <c r="P49" s="1274" t="str">
        <f>A49</f>
        <v>比较价值（元/平方米）</v>
      </c>
      <c r="Q49" s="712"/>
      <c r="R49" s="1388" t="e">
        <f>IF(F1="售价",ROUND(PRODUCT(R48,AA7:AA47),0),ROUND(PRODUCT(R48,AA7:AA47),1))</f>
        <v>#DIV/0!</v>
      </c>
      <c r="S49" s="1388"/>
      <c r="T49" s="1388" t="e">
        <f>IF(F1="售价",ROUND(PRODUCT(T48,AB7:AB47),0),ROUND(PRODUCT(T48,AB7:AB47),1))</f>
        <v>#DIV/0!</v>
      </c>
      <c r="U49" s="1388"/>
      <c r="V49" s="1388" t="e">
        <f>IF(F1="售价",ROUND(PRODUCT(V48,AC7:AC47),0),ROUND(PRODUCT(V48,AC7:AC47),1))</f>
        <v>#DIV/0!</v>
      </c>
      <c r="W49" s="1388"/>
      <c r="X49" s="1516"/>
      <c r="Y49" s="1516"/>
      <c r="Z49" s="1516"/>
      <c r="AA49" s="1516"/>
      <c r="AB49" s="1516"/>
      <c r="AC49" s="1200"/>
    </row>
    <row r="50" ht="14.75" spans="1:29">
      <c r="A50" s="1251" t="s">
        <v>1077</v>
      </c>
      <c r="B50" s="1252"/>
      <c r="C50" s="1598" t="e">
        <f>R50</f>
        <v>#DIV/0!</v>
      </c>
      <c r="D50" s="1598"/>
      <c r="E50" s="1598"/>
      <c r="F50" s="1598"/>
      <c r="G50" s="1598"/>
      <c r="H50" s="1598"/>
      <c r="I50" s="1598"/>
      <c r="J50" s="1253"/>
      <c r="K50" s="1340"/>
      <c r="L50" s="1338"/>
      <c r="M50" s="1307"/>
      <c r="N50" s="1307"/>
      <c r="O50" s="1307"/>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4"/>
      <c r="B51" s="1254"/>
      <c r="C51" s="1254"/>
      <c r="D51" s="1254"/>
      <c r="E51" s="1254"/>
      <c r="F51" s="1254"/>
      <c r="G51" s="1255"/>
      <c r="H51" s="1254"/>
      <c r="I51" s="1254"/>
      <c r="J51" s="1254"/>
      <c r="K51" s="1342"/>
      <c r="L51" s="1343"/>
      <c r="M51" s="1254"/>
      <c r="N51" s="1254"/>
      <c r="O51" s="1254"/>
      <c r="P51" s="1666"/>
      <c r="Q51" s="1254"/>
      <c r="R51" s="1254"/>
      <c r="S51" s="1254"/>
      <c r="T51" s="1254"/>
      <c r="U51" s="1254"/>
      <c r="V51" s="1254"/>
      <c r="W51" s="1254"/>
      <c r="X51" s="1254"/>
      <c r="Y51" s="1254"/>
      <c r="Z51" s="1254"/>
      <c r="AA51" s="1254"/>
      <c r="AB51" s="1254"/>
      <c r="AC51" s="1254"/>
    </row>
    <row r="52" spans="1:29">
      <c r="A52" s="1254"/>
      <c r="B52" s="1254"/>
      <c r="C52" s="1254"/>
      <c r="D52" s="1254"/>
      <c r="E52" s="1254"/>
      <c r="F52" s="1254"/>
      <c r="G52" s="1254"/>
      <c r="H52" s="1254"/>
      <c r="I52" s="1254"/>
      <c r="J52" s="1254"/>
      <c r="K52" s="1342"/>
      <c r="L52" s="1343"/>
      <c r="M52" s="1254"/>
      <c r="N52" s="1254"/>
      <c r="O52" s="1254"/>
      <c r="P52" s="1666"/>
      <c r="Q52" s="1254"/>
      <c r="R52" s="1254"/>
      <c r="S52" s="1254"/>
      <c r="T52" s="1254"/>
      <c r="U52" s="1254"/>
      <c r="V52" s="1254"/>
      <c r="W52" s="1254"/>
      <c r="X52" s="1254"/>
      <c r="Y52" s="1254"/>
      <c r="Z52" s="1254"/>
      <c r="AA52" s="1254"/>
      <c r="AB52" s="1254"/>
      <c r="AC52" s="1254"/>
    </row>
    <row r="53" ht="13.5" customHeight="1" spans="1:29">
      <c r="A53" s="1254"/>
      <c r="B53" s="1254"/>
      <c r="C53" s="1256" t="s">
        <v>1078</v>
      </c>
      <c r="D53" s="756"/>
      <c r="E53" s="1257" t="e">
        <f>IF(E48&lt;E49,E49/E48-1,E48/E49-1)</f>
        <v>#DIV/0!</v>
      </c>
      <c r="F53" s="1258" t="e">
        <f>IF(OR(E53&gt;=0.3,E53&lt;=-0.3),"超过30%","")</f>
        <v>#DIV/0!</v>
      </c>
      <c r="G53" s="1257" t="e">
        <f>IF(G48&lt;G49,G49/G48-1,G48/G49-1)</f>
        <v>#DIV/0!</v>
      </c>
      <c r="H53" s="1258" t="e">
        <f>IF(OR(G53&gt;=0.3,G53&lt;=-0.3),"超过30%","")</f>
        <v>#DIV/0!</v>
      </c>
      <c r="I53" s="1257" t="e">
        <f>IF(I48&lt;I49,I49/I48-1,I48/I49-1)</f>
        <v>#DIV/0!</v>
      </c>
      <c r="J53" s="1258" t="e">
        <f>IF(OR(I53&gt;=0.3,I53&lt;=-0.3),"超过30%","")</f>
        <v>#DIV/0!</v>
      </c>
      <c r="K53" s="1342"/>
      <c r="L53" s="1343"/>
      <c r="M53" s="1254"/>
      <c r="N53" s="1254"/>
      <c r="O53" s="1254"/>
      <c r="P53" s="1666"/>
      <c r="Q53" s="1254"/>
      <c r="R53" s="1254"/>
      <c r="S53" s="1254"/>
      <c r="T53" s="1254"/>
      <c r="U53" s="1254"/>
      <c r="V53" s="1254"/>
      <c r="W53" s="1254"/>
      <c r="X53" s="1254"/>
      <c r="Y53" s="1254"/>
      <c r="Z53" s="1254"/>
      <c r="AA53" s="1254"/>
      <c r="AB53" s="1254"/>
      <c r="AC53" s="1254"/>
    </row>
    <row r="54" ht="13.5" customHeight="1" spans="1:29">
      <c r="A54" s="1254"/>
      <c r="B54" s="1254"/>
      <c r="C54" s="1256" t="s">
        <v>1079</v>
      </c>
      <c r="D54" s="755"/>
      <c r="E54" s="1257" t="e">
        <f>IF(E49&lt;G49,G49/E49-1,E49/G49-1)</f>
        <v>#DIV/0!</v>
      </c>
      <c r="F54" s="1258" t="e">
        <f>IF(OR(E54&gt;=0.2,E54&lt;=-0.2),"超过20%","")</f>
        <v>#DIV/0!</v>
      </c>
      <c r="G54" s="1257" t="e">
        <f>IF(G49&lt;I49,I49/G49-1,G49/I49-1)</f>
        <v>#DIV/0!</v>
      </c>
      <c r="H54" s="1258" t="e">
        <f>IF(OR(G54&gt;=0.2,G54&lt;=-0.2),"超过20%","")</f>
        <v>#DIV/0!</v>
      </c>
      <c r="I54" s="1257" t="e">
        <f>IF(I49&lt;E49,E49/I49-1,I49/E49-1)</f>
        <v>#DIV/0!</v>
      </c>
      <c r="J54" s="1258" t="e">
        <f>IF(OR(I54&gt;=0.2,I54&lt;=-0.2),"超过20%","")</f>
        <v>#DIV/0!</v>
      </c>
      <c r="K54" s="1342"/>
      <c r="L54" s="1343"/>
      <c r="M54" s="1254"/>
      <c r="N54" s="1254"/>
      <c r="O54" s="1254"/>
      <c r="P54" s="1666"/>
      <c r="Q54" s="1254"/>
      <c r="R54" s="1254"/>
      <c r="S54" s="1254"/>
      <c r="T54" s="1254"/>
      <c r="U54" s="1254"/>
      <c r="V54" s="1254"/>
      <c r="W54" s="1254"/>
      <c r="X54" s="1254"/>
      <c r="Y54" s="1254"/>
      <c r="Z54" s="1254"/>
      <c r="AA54" s="1254"/>
      <c r="AB54" s="1254"/>
      <c r="AC54" s="1254"/>
    </row>
    <row r="55" s="1130" customFormat="1" ht="13.5" customHeight="1" spans="1:29">
      <c r="A55" s="1259"/>
      <c r="B55" s="1259"/>
      <c r="C55" s="1256" t="s">
        <v>1080</v>
      </c>
      <c r="D55" s="755"/>
      <c r="E55" s="1257" t="e">
        <f>IF(E48&lt;G48,G48/E48-1,E48/G48-1)</f>
        <v>#DIV/0!</v>
      </c>
      <c r="F55" s="1258" t="e">
        <f>IF(OR(E55&gt;=0.3,E55&lt;=-0.3),"超过30%","")</f>
        <v>#DIV/0!</v>
      </c>
      <c r="G55" s="1257" t="e">
        <f>IF(G48&lt;I48,I48/G48-1,G48/I48-1)</f>
        <v>#DIV/0!</v>
      </c>
      <c r="H55" s="1258" t="e">
        <f>IF(OR(G55&gt;=0.3,G55&lt;=-0.3),"超过30%","")</f>
        <v>#DIV/0!</v>
      </c>
      <c r="I55" s="1257" t="e">
        <f>IF(I48&lt;E48,E48/I48-1,I48/E48-1)</f>
        <v>#DIV/0!</v>
      </c>
      <c r="J55" s="1258" t="e">
        <f>IF(OR(I55&gt;=0.3,I55&lt;=-0.3),"超过30%","")</f>
        <v>#DIV/0!</v>
      </c>
      <c r="K55" s="1344"/>
      <c r="L55" s="1345"/>
      <c r="M55" s="1259"/>
      <c r="N55" s="1259"/>
      <c r="O55" s="1259"/>
      <c r="P55" s="1667"/>
      <c r="Q55" s="1259"/>
      <c r="R55" s="1259"/>
      <c r="S55" s="1259"/>
      <c r="T55" s="1259"/>
      <c r="U55" s="1259"/>
      <c r="V55" s="1259"/>
      <c r="W55" s="1259"/>
      <c r="X55" s="1259"/>
      <c r="Y55" s="1259"/>
      <c r="Z55" s="1259"/>
      <c r="AA55" s="1259"/>
      <c r="AB55" s="1259"/>
      <c r="AC55" s="1259"/>
    </row>
    <row r="56" s="1130" customFormat="1" spans="1:29">
      <c r="A56" s="1259"/>
      <c r="B56" s="1260"/>
      <c r="C56" s="1599"/>
      <c r="D56" s="1259"/>
      <c r="E56" s="1259"/>
      <c r="F56" s="1259"/>
      <c r="G56" s="1259"/>
      <c r="H56" s="1259"/>
      <c r="I56" s="1259"/>
      <c r="J56" s="1259"/>
      <c r="K56" s="1344"/>
      <c r="L56" s="1345"/>
      <c r="M56" s="1259"/>
      <c r="N56" s="1259"/>
      <c r="O56" s="1259"/>
      <c r="P56" s="1667"/>
      <c r="Q56" s="1259"/>
      <c r="R56" s="1259"/>
      <c r="S56" s="1259"/>
      <c r="T56" s="1259"/>
      <c r="U56" s="1259"/>
      <c r="V56" s="1259"/>
      <c r="W56" s="1259"/>
      <c r="X56" s="1259"/>
      <c r="Y56" s="1259"/>
      <c r="Z56" s="1259"/>
      <c r="AA56" s="1259"/>
      <c r="AB56" s="1259"/>
      <c r="AC56" s="1259"/>
    </row>
    <row r="57" spans="1:29">
      <c r="A57" s="1254"/>
      <c r="B57" s="1260"/>
      <c r="C57" s="1599"/>
      <c r="D57" s="1254"/>
      <c r="E57" s="1254"/>
      <c r="F57" s="1254"/>
      <c r="G57" s="1254"/>
      <c r="H57" s="1254"/>
      <c r="I57" s="1254"/>
      <c r="J57" s="1254"/>
      <c r="K57" s="1342"/>
      <c r="L57" s="1343"/>
      <c r="M57" s="1254"/>
      <c r="N57" s="1254"/>
      <c r="O57" s="1254"/>
      <c r="P57" s="1666"/>
      <c r="Q57" s="1254"/>
      <c r="R57" s="1254"/>
      <c r="S57" s="1254"/>
      <c r="T57" s="1254"/>
      <c r="U57" s="1254"/>
      <c r="V57" s="1254"/>
      <c r="W57" s="1254"/>
      <c r="X57" s="1254"/>
      <c r="Y57" s="1254"/>
      <c r="Z57" s="1254"/>
      <c r="AA57" s="1254"/>
      <c r="AB57" s="1254"/>
      <c r="AC57" s="1254"/>
    </row>
    <row r="58" ht="21.75" spans="1:29">
      <c r="A58" s="1294" t="s">
        <v>1081</v>
      </c>
      <c r="B58" s="1295"/>
      <c r="C58" s="1296"/>
      <c r="D58" s="1296"/>
      <c r="E58" s="1296"/>
      <c r="F58" s="1297"/>
      <c r="G58" s="1297"/>
      <c r="H58" s="1296"/>
      <c r="I58" s="1296"/>
      <c r="J58" s="1296"/>
      <c r="K58" s="1352"/>
      <c r="L58" s="1544"/>
      <c r="M58" s="1354"/>
      <c r="N58" s="1355"/>
      <c r="O58" s="1355"/>
      <c r="P58" s="1668"/>
      <c r="Q58" s="1380"/>
      <c r="R58" s="1254"/>
      <c r="S58" s="1254"/>
      <c r="T58" s="1254"/>
      <c r="U58" s="1254"/>
      <c r="V58" s="1254"/>
      <c r="W58" s="1254"/>
      <c r="X58" s="1254"/>
      <c r="Y58" s="1254"/>
      <c r="Z58" s="1254"/>
      <c r="AA58" s="1254"/>
      <c r="AB58" s="1254"/>
      <c r="AC58" s="1254"/>
    </row>
    <row r="59" s="1132" customFormat="1" spans="1:29">
      <c r="A59" s="1600" t="s">
        <v>1029</v>
      </c>
      <c r="B59" s="1601"/>
      <c r="C59" s="1602" t="str">
        <f>YEAR(C7)&amp;"-"&amp;MONTH(C7)</f>
        <v>2025-7</v>
      </c>
      <c r="D59" s="1603">
        <f>EDATE(C59,-1)</f>
        <v>45809</v>
      </c>
      <c r="E59" s="1603">
        <f>EDATE(D59,-1)</f>
        <v>45778</v>
      </c>
      <c r="F59" s="1603">
        <f t="shared" ref="F59:O59" si="16">EDATE(E59,-1)</f>
        <v>45748</v>
      </c>
      <c r="G59" s="1603">
        <f t="shared" si="16"/>
        <v>45717</v>
      </c>
      <c r="H59" s="1603">
        <f t="shared" si="16"/>
        <v>45689</v>
      </c>
      <c r="I59" s="1603">
        <f t="shared" si="16"/>
        <v>45658</v>
      </c>
      <c r="J59" s="1603">
        <f t="shared" si="16"/>
        <v>45627</v>
      </c>
      <c r="K59" s="1603">
        <f t="shared" si="16"/>
        <v>45597</v>
      </c>
      <c r="L59" s="1603">
        <f t="shared" si="16"/>
        <v>45566</v>
      </c>
      <c r="M59" s="1603">
        <f t="shared" si="16"/>
        <v>45536</v>
      </c>
      <c r="N59" s="1603">
        <f t="shared" si="16"/>
        <v>45505</v>
      </c>
      <c r="O59" s="1603">
        <f t="shared" si="16"/>
        <v>45474</v>
      </c>
      <c r="P59" s="1669"/>
      <c r="Q59" s="1501"/>
      <c r="R59" s="1501"/>
      <c r="S59" s="1501"/>
      <c r="T59" s="1501"/>
      <c r="U59" s="1501"/>
      <c r="V59" s="1501"/>
      <c r="W59" s="1501"/>
      <c r="X59" s="1501"/>
      <c r="Y59" s="1501"/>
      <c r="Z59" s="1501"/>
      <c r="AA59" s="1501"/>
      <c r="AB59" s="1501"/>
      <c r="AC59" s="1501"/>
    </row>
    <row r="60" s="1127" customFormat="1" spans="1:29">
      <c r="A60" s="1604"/>
      <c r="B60" s="1402"/>
      <c r="C60" s="1605">
        <v>100</v>
      </c>
      <c r="D60" s="1406"/>
      <c r="E60" s="1406"/>
      <c r="F60" s="1406"/>
      <c r="G60" s="1406"/>
      <c r="H60" s="1406"/>
      <c r="I60" s="1406"/>
      <c r="J60" s="1406"/>
      <c r="K60" s="1406"/>
      <c r="L60" s="1406"/>
      <c r="M60" s="1612"/>
      <c r="N60" s="1406"/>
      <c r="O60" s="1612"/>
      <c r="P60" s="1670"/>
      <c r="Q60" s="1502"/>
      <c r="R60" s="1502"/>
      <c r="S60" s="1502"/>
      <c r="T60" s="1502"/>
      <c r="U60" s="1502"/>
      <c r="V60" s="1502"/>
      <c r="W60" s="1502"/>
      <c r="X60" s="1502"/>
      <c r="Y60" s="1502"/>
      <c r="Z60" s="1502"/>
      <c r="AA60" s="1502"/>
      <c r="AB60" s="1502"/>
      <c r="AC60" s="1502"/>
    </row>
    <row r="61" s="1127" customFormat="1" ht="14.75" spans="1:29">
      <c r="A61" s="1397" t="s">
        <v>1082</v>
      </c>
      <c r="B61" s="1398"/>
      <c r="C61" s="1399"/>
      <c r="D61" s="1400"/>
      <c r="E61" s="1400"/>
      <c r="F61" s="1400"/>
      <c r="G61" s="1400"/>
      <c r="H61" s="1400"/>
      <c r="I61" s="1400"/>
      <c r="J61" s="1400"/>
      <c r="K61" s="1400"/>
      <c r="L61" s="1400"/>
      <c r="M61" s="1448"/>
      <c r="N61" s="1400"/>
      <c r="O61" s="1448"/>
      <c r="P61" s="1670"/>
      <c r="Q61" s="1380"/>
      <c r="R61" s="1502"/>
      <c r="S61" s="1502"/>
      <c r="T61" s="1502"/>
      <c r="U61" s="1502"/>
      <c r="V61" s="1502"/>
      <c r="W61" s="1502"/>
      <c r="X61" s="1502"/>
      <c r="Y61" s="1502"/>
      <c r="Z61" s="1502"/>
      <c r="AA61" s="1502"/>
      <c r="AB61" s="1502"/>
      <c r="AC61" s="1502"/>
    </row>
    <row r="62" s="1127" customFormat="1" spans="1:29">
      <c r="A62" s="1401" t="s">
        <v>1032</v>
      </c>
      <c r="B62" s="1402"/>
      <c r="C62" s="1403" t="s">
        <v>1083</v>
      </c>
      <c r="D62" s="1404"/>
      <c r="E62" s="1404"/>
      <c r="F62" s="1404"/>
      <c r="G62" s="1404"/>
      <c r="H62" s="1404"/>
      <c r="I62" s="1404"/>
      <c r="J62" s="1404"/>
      <c r="K62" s="1404"/>
      <c r="L62" s="1450"/>
      <c r="M62" s="1451"/>
      <c r="N62" s="1452"/>
      <c r="O62" s="1452"/>
      <c r="P62" s="1671"/>
      <c r="Q62" s="1380"/>
      <c r="R62" s="1502"/>
      <c r="S62" s="1502"/>
      <c r="T62" s="1502"/>
      <c r="U62" s="1502"/>
      <c r="V62" s="1502"/>
      <c r="W62" s="1502"/>
      <c r="X62" s="1502"/>
      <c r="Y62" s="1502"/>
      <c r="Z62" s="1502"/>
      <c r="AA62" s="1502"/>
      <c r="AB62" s="1502"/>
      <c r="AC62" s="1502"/>
    </row>
    <row r="63" s="1127" customFormat="1" ht="14.75" spans="1:29">
      <c r="A63" s="1401"/>
      <c r="B63" s="1402"/>
      <c r="C63" s="1739">
        <v>100</v>
      </c>
      <c r="D63" s="1406"/>
      <c r="E63" s="1406"/>
      <c r="F63" s="1406"/>
      <c r="G63" s="1406"/>
      <c r="H63" s="1406"/>
      <c r="I63" s="1406"/>
      <c r="J63" s="1406"/>
      <c r="K63" s="1406"/>
      <c r="L63" s="1406"/>
      <c r="M63" s="1454"/>
      <c r="N63" s="1452"/>
      <c r="O63" s="1452"/>
      <c r="P63" s="1670"/>
      <c r="Q63" s="1380"/>
      <c r="R63" s="1502"/>
      <c r="S63" s="1502"/>
      <c r="T63" s="1502"/>
      <c r="U63" s="1502"/>
      <c r="V63" s="1502"/>
      <c r="W63" s="1502"/>
      <c r="X63" s="1502"/>
      <c r="Y63" s="1502"/>
      <c r="Z63" s="1502"/>
      <c r="AA63" s="1502"/>
      <c r="AB63" s="1502"/>
      <c r="AC63" s="1502"/>
    </row>
    <row r="64" spans="1:29">
      <c r="A64" s="1407" t="s">
        <v>1084</v>
      </c>
      <c r="B64" s="1408" t="s">
        <v>1036</v>
      </c>
      <c r="C64" s="1430">
        <f>C9</f>
        <v>0</v>
      </c>
      <c r="D64" s="1335"/>
      <c r="E64" s="1335"/>
      <c r="F64" s="1335"/>
      <c r="G64" s="1335"/>
      <c r="H64" s="1335"/>
      <c r="I64" s="1335"/>
      <c r="J64" s="1335"/>
      <c r="K64" s="1455"/>
      <c r="L64" s="1456"/>
      <c r="M64" s="1457"/>
      <c r="N64" s="1458"/>
      <c r="O64" s="1458"/>
      <c r="P64" s="1672"/>
      <c r="Q64" s="1380"/>
      <c r="R64" s="1254"/>
      <c r="S64" s="1254"/>
      <c r="T64" s="1254"/>
      <c r="U64" s="1254"/>
      <c r="V64" s="1254"/>
      <c r="W64" s="1254"/>
      <c r="X64" s="1254"/>
      <c r="Y64" s="1254"/>
      <c r="Z64" s="1254"/>
      <c r="AA64" s="1254"/>
      <c r="AB64" s="1254"/>
      <c r="AC64" s="1254"/>
    </row>
    <row r="65" ht="14.75" spans="1:29">
      <c r="A65" s="1409"/>
      <c r="B65" s="1410"/>
      <c r="C65" s="1411">
        <v>100</v>
      </c>
      <c r="D65" s="1411"/>
      <c r="E65" s="1411"/>
      <c r="F65" s="1411"/>
      <c r="G65" s="1411"/>
      <c r="H65" s="1411"/>
      <c r="I65" s="1411"/>
      <c r="J65" s="1411"/>
      <c r="K65" s="1411"/>
      <c r="L65" s="1411"/>
      <c r="M65" s="1460"/>
      <c r="N65" s="1461"/>
      <c r="O65" s="1461"/>
      <c r="P65" s="1672"/>
      <c r="Q65" s="1380"/>
      <c r="R65" s="1254"/>
      <c r="S65" s="1254"/>
      <c r="T65" s="1254"/>
      <c r="U65" s="1254"/>
      <c r="V65" s="1254"/>
      <c r="W65" s="1254"/>
      <c r="X65" s="1254"/>
      <c r="Y65" s="1254"/>
      <c r="Z65" s="1254"/>
      <c r="AA65" s="1254"/>
      <c r="AB65" s="1254"/>
      <c r="AC65" s="1254"/>
    </row>
    <row r="66" ht="28.75" spans="1:29">
      <c r="A66" s="1409"/>
      <c r="B66" s="1412" t="s">
        <v>1039</v>
      </c>
      <c r="C66" s="1437"/>
      <c r="D66" s="1437"/>
      <c r="E66" s="1437"/>
      <c r="F66" s="1437"/>
      <c r="G66" s="1437"/>
      <c r="H66" s="1437"/>
      <c r="I66" s="1437"/>
      <c r="J66" s="1437"/>
      <c r="K66" s="1488"/>
      <c r="L66" s="1489"/>
      <c r="M66" s="1490"/>
      <c r="N66" s="1458"/>
      <c r="O66" s="1458"/>
      <c r="P66" s="1672"/>
      <c r="Q66" s="1380"/>
      <c r="R66" s="1254"/>
      <c r="S66" s="1254"/>
      <c r="T66" s="1254"/>
      <c r="U66" s="1254"/>
      <c r="V66" s="1254"/>
      <c r="W66" s="1254"/>
      <c r="X66" s="1254"/>
      <c r="Y66" s="1254"/>
      <c r="Z66" s="1254"/>
      <c r="AA66" s="1254"/>
      <c r="AB66" s="1254"/>
      <c r="AC66" s="1254"/>
    </row>
    <row r="67" ht="14.75" spans="1:29">
      <c r="A67" s="1409"/>
      <c r="B67" s="1414"/>
      <c r="C67" s="1411"/>
      <c r="D67" s="1411"/>
      <c r="E67" s="1411"/>
      <c r="F67" s="1411"/>
      <c r="G67" s="1411"/>
      <c r="H67" s="1411"/>
      <c r="I67" s="1411"/>
      <c r="J67" s="1411"/>
      <c r="K67" s="1411"/>
      <c r="L67" s="1411"/>
      <c r="M67" s="1460"/>
      <c r="N67" s="1461"/>
      <c r="O67" s="1461"/>
      <c r="P67" s="1672"/>
      <c r="Q67" s="1380"/>
      <c r="R67" s="1254"/>
      <c r="S67" s="1254"/>
      <c r="T67" s="1254"/>
      <c r="U67" s="1254"/>
      <c r="V67" s="1254"/>
      <c r="W67" s="1254"/>
      <c r="X67" s="1254"/>
      <c r="Y67" s="1254"/>
      <c r="Z67" s="1254"/>
      <c r="AA67" s="1254"/>
      <c r="AB67" s="1254"/>
      <c r="AC67" s="1254"/>
    </row>
    <row r="68" ht="14.75" spans="1:29">
      <c r="A68" s="1409"/>
      <c r="B68" s="1416" t="s">
        <v>1042</v>
      </c>
      <c r="C68" s="1417" t="str">
        <f>C69&amp;"（含）"&amp;"-"&amp;D69</f>
        <v>0（含）-3</v>
      </c>
      <c r="D68" s="1417" t="str">
        <f t="shared" ref="D68:L68" si="17">D69&amp;"（含）"&amp;"-"&amp;E69</f>
        <v>3（含）-</v>
      </c>
      <c r="E68" s="1417" t="str">
        <f t="shared" si="17"/>
        <v>（含）-</v>
      </c>
      <c r="F68" s="1417" t="str">
        <f t="shared" si="17"/>
        <v>（含）-</v>
      </c>
      <c r="G68" s="1417" t="str">
        <f t="shared" si="17"/>
        <v>（含）-</v>
      </c>
      <c r="H68" s="1417" t="str">
        <f t="shared" si="17"/>
        <v>（含）-</v>
      </c>
      <c r="I68" s="1417" t="str">
        <f t="shared" si="17"/>
        <v>（含）-</v>
      </c>
      <c r="J68" s="1417" t="str">
        <f t="shared" si="17"/>
        <v>（含）-</v>
      </c>
      <c r="K68" s="1417" t="str">
        <f t="shared" si="17"/>
        <v>（含）-</v>
      </c>
      <c r="L68" s="1417" t="str">
        <f t="shared" si="17"/>
        <v>（含）-</v>
      </c>
      <c r="M68" s="1202" t="str">
        <f>M69&amp;"（含）"&amp;"-"&amp;P69</f>
        <v>（含）-</v>
      </c>
      <c r="N68" s="1461"/>
      <c r="O68" s="1461"/>
      <c r="P68" s="1672"/>
      <c r="Q68" s="1380"/>
      <c r="R68" s="1254"/>
      <c r="S68" s="1254"/>
      <c r="T68" s="1254"/>
      <c r="U68" s="1254"/>
      <c r="V68" s="1254"/>
      <c r="W68" s="1254"/>
      <c r="X68" s="1254"/>
      <c r="Y68" s="1254"/>
      <c r="Z68" s="1254"/>
      <c r="AA68" s="1254"/>
      <c r="AB68" s="1254"/>
      <c r="AC68" s="1254"/>
    </row>
    <row r="69" spans="1:29">
      <c r="A69" s="1409"/>
      <c r="B69" s="1418"/>
      <c r="C69" s="1187">
        <v>0</v>
      </c>
      <c r="D69" s="1187">
        <v>3</v>
      </c>
      <c r="E69" s="1187"/>
      <c r="F69" s="1187"/>
      <c r="G69" s="1187"/>
      <c r="H69" s="1187"/>
      <c r="I69" s="1187"/>
      <c r="J69" s="1187"/>
      <c r="K69" s="1466"/>
      <c r="L69" s="1467"/>
      <c r="M69" s="1468"/>
      <c r="N69" s="1458"/>
      <c r="O69" s="1458"/>
      <c r="P69" s="1672"/>
      <c r="Q69" s="1380"/>
      <c r="R69" s="1254"/>
      <c r="S69" s="1254"/>
      <c r="T69" s="1254"/>
      <c r="U69" s="1254"/>
      <c r="V69" s="1254"/>
      <c r="W69" s="1254"/>
      <c r="X69" s="1254"/>
      <c r="Y69" s="1254"/>
      <c r="Z69" s="1254"/>
      <c r="AA69" s="1254"/>
      <c r="AB69" s="1254"/>
      <c r="AC69" s="1254"/>
    </row>
    <row r="70" ht="14.75" spans="1:29">
      <c r="A70" s="1409"/>
      <c r="B70" s="1410"/>
      <c r="C70" s="1415">
        <v>100</v>
      </c>
      <c r="D70" s="1415">
        <f t="shared" ref="D70:M70" si="18">C70-$K11</f>
        <v>100</v>
      </c>
      <c r="E70" s="1415">
        <f t="shared" si="18"/>
        <v>100</v>
      </c>
      <c r="F70" s="1415">
        <f t="shared" si="18"/>
        <v>100</v>
      </c>
      <c r="G70" s="1415">
        <f t="shared" si="18"/>
        <v>100</v>
      </c>
      <c r="H70" s="1415">
        <f t="shared" si="18"/>
        <v>100</v>
      </c>
      <c r="I70" s="1415">
        <f t="shared" si="18"/>
        <v>100</v>
      </c>
      <c r="J70" s="1415">
        <f t="shared" si="18"/>
        <v>100</v>
      </c>
      <c r="K70" s="1415">
        <f t="shared" si="18"/>
        <v>100</v>
      </c>
      <c r="L70" s="1415">
        <f t="shared" si="18"/>
        <v>100</v>
      </c>
      <c r="M70" s="1465">
        <f t="shared" si="18"/>
        <v>100</v>
      </c>
      <c r="N70" s="1461"/>
      <c r="O70" s="1461"/>
      <c r="P70" s="1672"/>
      <c r="Q70" s="1380"/>
      <c r="R70" s="1254"/>
      <c r="S70" s="1254"/>
      <c r="T70" s="1254"/>
      <c r="U70" s="1254"/>
      <c r="V70" s="1254"/>
      <c r="W70" s="1254"/>
      <c r="X70" s="1254"/>
      <c r="Y70" s="1254"/>
      <c r="Z70" s="1254"/>
      <c r="AA70" s="1254"/>
      <c r="AB70" s="1254"/>
      <c r="AC70" s="1254"/>
    </row>
    <row r="71" s="1129" customFormat="1" ht="14.75" spans="1:29">
      <c r="A71" s="1419"/>
      <c r="B71" s="1412">
        <f>B12</f>
        <v>111</v>
      </c>
      <c r="C71" s="1420"/>
      <c r="D71" s="1420"/>
      <c r="E71" s="1420"/>
      <c r="F71" s="1420"/>
      <c r="G71" s="1420"/>
      <c r="H71" s="1421"/>
      <c r="I71" s="1421"/>
      <c r="J71" s="1421"/>
      <c r="K71" s="1421"/>
      <c r="L71" s="1469"/>
      <c r="M71" s="1470"/>
      <c r="N71" s="1471"/>
      <c r="O71" s="1471"/>
      <c r="P71" s="1673"/>
      <c r="Q71" s="1503"/>
      <c r="R71" s="1504"/>
      <c r="S71" s="1504"/>
      <c r="T71" s="1504"/>
      <c r="U71" s="1504"/>
      <c r="V71" s="1504"/>
      <c r="W71" s="1504"/>
      <c r="X71" s="1504"/>
      <c r="Y71" s="1504"/>
      <c r="Z71" s="1504"/>
      <c r="AA71" s="1504"/>
      <c r="AB71" s="1504"/>
      <c r="AC71" s="1504"/>
    </row>
    <row r="72" s="1129" customFormat="1" ht="14.75" spans="1:29">
      <c r="A72" s="1419"/>
      <c r="B72" s="1414"/>
      <c r="C72" s="1422"/>
      <c r="D72" s="1411"/>
      <c r="E72" s="1411"/>
      <c r="F72" s="1411"/>
      <c r="G72" s="1411"/>
      <c r="H72" s="1411"/>
      <c r="I72" s="1411"/>
      <c r="J72" s="1411"/>
      <c r="K72" s="1411"/>
      <c r="L72" s="1411"/>
      <c r="M72" s="1460"/>
      <c r="N72" s="1461"/>
      <c r="O72" s="1461"/>
      <c r="P72" s="1673"/>
      <c r="Q72" s="1503"/>
      <c r="R72" s="1504"/>
      <c r="S72" s="1504"/>
      <c r="T72" s="1504"/>
      <c r="U72" s="1504"/>
      <c r="V72" s="1504"/>
      <c r="W72" s="1504"/>
      <c r="X72" s="1504"/>
      <c r="Y72" s="1504"/>
      <c r="Z72" s="1504"/>
      <c r="AA72" s="1504"/>
      <c r="AB72" s="1504"/>
      <c r="AC72" s="1504"/>
    </row>
    <row r="73" s="1129" customFormat="1" ht="14.75" spans="1:29">
      <c r="A73" s="1419"/>
      <c r="B73" s="1412">
        <f>B13</f>
        <v>111</v>
      </c>
      <c r="C73" s="1420"/>
      <c r="D73" s="1420"/>
      <c r="E73" s="1420"/>
      <c r="F73" s="1420"/>
      <c r="G73" s="1420"/>
      <c r="H73" s="1421"/>
      <c r="I73" s="1421"/>
      <c r="J73" s="1421"/>
      <c r="K73" s="1421"/>
      <c r="L73" s="1469"/>
      <c r="M73" s="1470"/>
      <c r="N73" s="1471"/>
      <c r="O73" s="1471"/>
      <c r="P73" s="1674"/>
      <c r="Q73" s="1505"/>
      <c r="R73" s="1504"/>
      <c r="S73" s="1504"/>
      <c r="T73" s="1504"/>
      <c r="U73" s="1504"/>
      <c r="V73" s="1504"/>
      <c r="W73" s="1504"/>
      <c r="X73" s="1504"/>
      <c r="Y73" s="1504"/>
      <c r="Z73" s="1504"/>
      <c r="AA73" s="1504"/>
      <c r="AB73" s="1504"/>
      <c r="AC73" s="1504"/>
    </row>
    <row r="74" s="1129" customFormat="1" ht="14.75" spans="1:29">
      <c r="A74" s="1419"/>
      <c r="B74" s="1414"/>
      <c r="C74" s="1422"/>
      <c r="D74" s="1422"/>
      <c r="E74" s="1422"/>
      <c r="F74" s="1422"/>
      <c r="G74" s="1422"/>
      <c r="H74" s="1423"/>
      <c r="I74" s="1423"/>
      <c r="J74" s="1423"/>
      <c r="K74" s="1423"/>
      <c r="L74" s="1423"/>
      <c r="M74" s="1473"/>
      <c r="N74" s="1471"/>
      <c r="O74" s="1471"/>
      <c r="P74" s="1673"/>
      <c r="Q74" s="1503"/>
      <c r="R74" s="1504"/>
      <c r="S74" s="1504"/>
      <c r="T74" s="1504"/>
      <c r="U74" s="1504"/>
      <c r="V74" s="1504"/>
      <c r="W74" s="1504"/>
      <c r="X74" s="1504"/>
      <c r="Y74" s="1504"/>
      <c r="Z74" s="1504"/>
      <c r="AA74" s="1504"/>
      <c r="AB74" s="1504"/>
      <c r="AC74" s="1504"/>
    </row>
    <row r="75" s="1129" customFormat="1" ht="14.75" spans="1:29">
      <c r="A75" s="1419"/>
      <c r="B75" s="1416">
        <f>B14</f>
        <v>111</v>
      </c>
      <c r="C75" s="1404"/>
      <c r="D75" s="1404"/>
      <c r="E75" s="1404"/>
      <c r="F75" s="1404"/>
      <c r="G75" s="1404"/>
      <c r="H75" s="1424"/>
      <c r="I75" s="1424"/>
      <c r="J75" s="1424"/>
      <c r="K75" s="1424"/>
      <c r="L75" s="1474"/>
      <c r="M75" s="1475"/>
      <c r="N75" s="1471"/>
      <c r="O75" s="1471"/>
      <c r="P75" s="1763"/>
      <c r="Q75" s="1503"/>
      <c r="R75" s="1504"/>
      <c r="S75" s="1504"/>
      <c r="T75" s="1504"/>
      <c r="U75" s="1504"/>
      <c r="V75" s="1504"/>
      <c r="W75" s="1504"/>
      <c r="X75" s="1504"/>
      <c r="Y75" s="1504"/>
      <c r="Z75" s="1504"/>
      <c r="AA75" s="1504"/>
      <c r="AB75" s="1504"/>
      <c r="AC75" s="1504"/>
    </row>
    <row r="76" s="1129" customFormat="1" ht="14.75" spans="1:29">
      <c r="A76" s="1425"/>
      <c r="B76" s="1426"/>
      <c r="C76" s="1427"/>
      <c r="D76" s="1427"/>
      <c r="E76" s="1427"/>
      <c r="F76" s="1427"/>
      <c r="G76" s="1427"/>
      <c r="H76" s="1428"/>
      <c r="I76" s="1428"/>
      <c r="J76" s="1428"/>
      <c r="K76" s="1428"/>
      <c r="L76" s="1428"/>
      <c r="M76" s="1477"/>
      <c r="N76" s="1471"/>
      <c r="O76" s="1471"/>
      <c r="P76" s="1673"/>
      <c r="Q76" s="1503"/>
      <c r="R76" s="1504"/>
      <c r="S76" s="1504"/>
      <c r="T76" s="1504"/>
      <c r="U76" s="1504"/>
      <c r="V76" s="1504"/>
      <c r="W76" s="1504"/>
      <c r="X76" s="1504"/>
      <c r="Y76" s="1504"/>
      <c r="Z76" s="1504"/>
      <c r="AA76" s="1504"/>
      <c r="AB76" s="1504"/>
      <c r="AC76" s="1504"/>
    </row>
    <row r="77" spans="1:29">
      <c r="A77" s="1407" t="s">
        <v>1043</v>
      </c>
      <c r="B77" s="1408" t="s">
        <v>1617</v>
      </c>
      <c r="C77" s="1429" t="s">
        <v>1087</v>
      </c>
      <c r="D77" s="1429" t="s">
        <v>1088</v>
      </c>
      <c r="E77" s="1429" t="s">
        <v>1089</v>
      </c>
      <c r="F77" s="1429" t="s">
        <v>1090</v>
      </c>
      <c r="G77" s="1429" t="s">
        <v>1091</v>
      </c>
      <c r="H77" s="1430"/>
      <c r="I77" s="1430"/>
      <c r="J77" s="1430"/>
      <c r="K77" s="1478"/>
      <c r="L77" s="1479"/>
      <c r="M77" s="1480"/>
      <c r="N77" s="1458"/>
      <c r="O77" s="1458"/>
      <c r="P77" s="1675"/>
      <c r="Q77" s="1380"/>
      <c r="R77" s="1254"/>
      <c r="S77" s="1254"/>
      <c r="T77" s="1254"/>
      <c r="U77" s="1254"/>
      <c r="V77" s="1254"/>
      <c r="W77" s="1254"/>
      <c r="X77" s="1254"/>
      <c r="Y77" s="1254"/>
      <c r="Z77" s="1254"/>
      <c r="AA77" s="1254"/>
      <c r="AB77" s="1254"/>
      <c r="AC77" s="1254"/>
    </row>
    <row r="78" ht="14.75" spans="1:29">
      <c r="A78" s="1409"/>
      <c r="B78" s="1414"/>
      <c r="C78" s="1415">
        <v>100</v>
      </c>
      <c r="D78" s="1415">
        <f>C78-$K15</f>
        <v>100</v>
      </c>
      <c r="E78" s="1415">
        <f>D78-$K15</f>
        <v>100</v>
      </c>
      <c r="F78" s="1415">
        <f>E78-$K15</f>
        <v>100</v>
      </c>
      <c r="G78" s="1415">
        <f>F78-$K15</f>
        <v>100</v>
      </c>
      <c r="H78" s="1415"/>
      <c r="I78" s="1415"/>
      <c r="J78" s="1415"/>
      <c r="K78" s="1415"/>
      <c r="L78" s="1415"/>
      <c r="M78" s="1465"/>
      <c r="N78" s="1461"/>
      <c r="O78" s="1461"/>
      <c r="P78" s="1672"/>
      <c r="Q78" s="1380"/>
      <c r="R78" s="1254"/>
      <c r="S78" s="1254"/>
      <c r="T78" s="1254"/>
      <c r="U78" s="1254"/>
      <c r="V78" s="1254"/>
      <c r="W78" s="1254"/>
      <c r="X78" s="1254"/>
      <c r="Y78" s="1254"/>
      <c r="Z78" s="1254"/>
      <c r="AA78" s="1254"/>
      <c r="AB78" s="1254"/>
      <c r="AC78" s="1254"/>
    </row>
    <row r="79" ht="14.75" spans="1:29">
      <c r="A79" s="1409"/>
      <c r="B79" s="1412" t="s">
        <v>1048</v>
      </c>
      <c r="C79" s="1431" t="s">
        <v>1087</v>
      </c>
      <c r="D79" s="1431" t="s">
        <v>1088</v>
      </c>
      <c r="E79" s="1431" t="s">
        <v>1089</v>
      </c>
      <c r="F79" s="1431" t="s">
        <v>1090</v>
      </c>
      <c r="G79" s="1431" t="s">
        <v>1091</v>
      </c>
      <c r="H79" s="1413"/>
      <c r="I79" s="1413"/>
      <c r="J79" s="1413"/>
      <c r="K79" s="1462"/>
      <c r="L79" s="1463"/>
      <c r="M79" s="1464"/>
      <c r="N79" s="1458"/>
      <c r="O79" s="1458"/>
      <c r="P79" s="1672"/>
      <c r="Q79" s="1380"/>
      <c r="R79" s="1254"/>
      <c r="S79" s="1254"/>
      <c r="T79" s="1254"/>
      <c r="U79" s="1254"/>
      <c r="V79" s="1254"/>
      <c r="W79" s="1254"/>
      <c r="X79" s="1254"/>
      <c r="Y79" s="1254"/>
      <c r="Z79" s="1254"/>
      <c r="AA79" s="1254"/>
      <c r="AB79" s="1254"/>
      <c r="AC79" s="1254"/>
    </row>
    <row r="80" ht="14.75" spans="1:29">
      <c r="A80" s="1409"/>
      <c r="B80" s="1414"/>
      <c r="C80" s="1415">
        <v>100</v>
      </c>
      <c r="D80" s="1415">
        <f>C80-$K17</f>
        <v>100</v>
      </c>
      <c r="E80" s="1415">
        <f>D80-$K17</f>
        <v>100</v>
      </c>
      <c r="F80" s="1415">
        <f>E80-$K17</f>
        <v>100</v>
      </c>
      <c r="G80" s="1415">
        <f>F80-$K17</f>
        <v>100</v>
      </c>
      <c r="H80" s="1415"/>
      <c r="I80" s="1415"/>
      <c r="J80" s="1415"/>
      <c r="K80" s="1415"/>
      <c r="L80" s="1415"/>
      <c r="M80" s="1465"/>
      <c r="N80" s="1461"/>
      <c r="O80" s="1461"/>
      <c r="P80" s="1672"/>
      <c r="Q80" s="1380"/>
      <c r="R80" s="1254"/>
      <c r="S80" s="1254"/>
      <c r="T80" s="1254"/>
      <c r="U80" s="1254"/>
      <c r="V80" s="1254"/>
      <c r="W80" s="1254"/>
      <c r="X80" s="1254"/>
      <c r="Y80" s="1254"/>
      <c r="Z80" s="1254"/>
      <c r="AA80" s="1254"/>
      <c r="AB80" s="1254"/>
      <c r="AC80" s="1254"/>
    </row>
    <row r="81" ht="14.75" spans="1:29">
      <c r="A81" s="1409"/>
      <c r="B81" s="1412" t="s">
        <v>1049</v>
      </c>
      <c r="C81" s="1431" t="s">
        <v>1087</v>
      </c>
      <c r="D81" s="1431" t="s">
        <v>1088</v>
      </c>
      <c r="E81" s="1431" t="s">
        <v>1089</v>
      </c>
      <c r="F81" s="1431" t="s">
        <v>1090</v>
      </c>
      <c r="G81" s="1431" t="s">
        <v>1091</v>
      </c>
      <c r="H81" s="1413"/>
      <c r="I81" s="1413"/>
      <c r="J81" s="1413"/>
      <c r="K81" s="1462"/>
      <c r="L81" s="1463"/>
      <c r="M81" s="1464"/>
      <c r="N81" s="1458"/>
      <c r="O81" s="1458"/>
      <c r="P81" s="1672"/>
      <c r="Q81" s="1380"/>
      <c r="R81" s="1254"/>
      <c r="S81" s="1254"/>
      <c r="T81" s="1254"/>
      <c r="U81" s="1254"/>
      <c r="V81" s="1254"/>
      <c r="W81" s="1254"/>
      <c r="X81" s="1254"/>
      <c r="Y81" s="1254"/>
      <c r="Z81" s="1254"/>
      <c r="AA81" s="1254"/>
      <c r="AB81" s="1254"/>
      <c r="AC81" s="1254"/>
    </row>
    <row r="82" ht="14.75" spans="1:29">
      <c r="A82" s="1409"/>
      <c r="B82" s="1414"/>
      <c r="C82" s="1415">
        <v>100</v>
      </c>
      <c r="D82" s="1415">
        <f>C82-$K19</f>
        <v>100</v>
      </c>
      <c r="E82" s="1415">
        <f>D82-$K19</f>
        <v>100</v>
      </c>
      <c r="F82" s="1415">
        <f>E82-$K19</f>
        <v>100</v>
      </c>
      <c r="G82" s="1415">
        <f>F82-$K19</f>
        <v>100</v>
      </c>
      <c r="H82" s="1415"/>
      <c r="I82" s="1415"/>
      <c r="J82" s="1415"/>
      <c r="K82" s="1415"/>
      <c r="L82" s="1415"/>
      <c r="M82" s="1465"/>
      <c r="N82" s="1461"/>
      <c r="O82" s="1461"/>
      <c r="P82" s="1672"/>
      <c r="Q82" s="1380"/>
      <c r="R82" s="1254"/>
      <c r="S82" s="1254"/>
      <c r="T82" s="1254"/>
      <c r="U82" s="1254"/>
      <c r="V82" s="1254"/>
      <c r="W82" s="1254"/>
      <c r="X82" s="1254"/>
      <c r="Y82" s="1254"/>
      <c r="Z82" s="1254"/>
      <c r="AA82" s="1254"/>
      <c r="AB82" s="1254"/>
      <c r="AC82" s="1254"/>
    </row>
    <row r="83" ht="14.75" spans="1:29">
      <c r="A83" s="1409"/>
      <c r="B83" s="1416" t="s">
        <v>1050</v>
      </c>
      <c r="C83" s="1436" t="s">
        <v>1092</v>
      </c>
      <c r="D83" s="1436" t="s">
        <v>1093</v>
      </c>
      <c r="E83" s="1436" t="s">
        <v>1094</v>
      </c>
      <c r="F83" s="1436" t="s">
        <v>1095</v>
      </c>
      <c r="G83" s="1436" t="s">
        <v>1096</v>
      </c>
      <c r="H83" s="1413"/>
      <c r="I83" s="1413"/>
      <c r="J83" s="1413"/>
      <c r="K83" s="1413"/>
      <c r="L83" s="1413"/>
      <c r="M83" s="1618"/>
      <c r="N83" s="1461"/>
      <c r="O83" s="1461"/>
      <c r="P83" s="1672"/>
      <c r="Q83" s="1380"/>
      <c r="R83" s="1254"/>
      <c r="S83" s="1254"/>
      <c r="T83" s="1254"/>
      <c r="U83" s="1254"/>
      <c r="V83" s="1254"/>
      <c r="W83" s="1254"/>
      <c r="X83" s="1254"/>
      <c r="Y83" s="1254"/>
      <c r="Z83" s="1254"/>
      <c r="AA83" s="1254"/>
      <c r="AB83" s="1254"/>
      <c r="AC83" s="1254"/>
    </row>
    <row r="84" ht="14.75" spans="1:29">
      <c r="A84" s="1409"/>
      <c r="B84" s="1416"/>
      <c r="C84" s="1415">
        <v>100</v>
      </c>
      <c r="D84" s="1415">
        <f>C84-$K21</f>
        <v>100</v>
      </c>
      <c r="E84" s="1415">
        <f>D84-$K21</f>
        <v>100</v>
      </c>
      <c r="F84" s="1415">
        <f>E84-$K21</f>
        <v>100</v>
      </c>
      <c r="G84" s="1415">
        <f>F84-$K21</f>
        <v>100</v>
      </c>
      <c r="H84" s="1436"/>
      <c r="I84" s="1436"/>
      <c r="J84" s="1436"/>
      <c r="K84" s="1436"/>
      <c r="L84" s="1436"/>
      <c r="M84" s="1203"/>
      <c r="N84" s="1461"/>
      <c r="O84" s="1461"/>
      <c r="P84" s="1672"/>
      <c r="Q84" s="1380"/>
      <c r="R84" s="1254"/>
      <c r="S84" s="1254"/>
      <c r="T84" s="1254"/>
      <c r="U84" s="1254"/>
      <c r="V84" s="1254"/>
      <c r="W84" s="1254"/>
      <c r="X84" s="1254"/>
      <c r="Y84" s="1254"/>
      <c r="Z84" s="1254"/>
      <c r="AA84" s="1254"/>
      <c r="AB84" s="1254"/>
      <c r="AC84" s="1254"/>
    </row>
    <row r="85" ht="14.75" spans="1:29">
      <c r="A85" s="1409"/>
      <c r="B85" s="1412" t="s">
        <v>1618</v>
      </c>
      <c r="C85" s="1431" t="s">
        <v>1087</v>
      </c>
      <c r="D85" s="1431" t="s">
        <v>1088</v>
      </c>
      <c r="E85" s="1431" t="s">
        <v>1089</v>
      </c>
      <c r="F85" s="1431" t="s">
        <v>1090</v>
      </c>
      <c r="G85" s="1431" t="s">
        <v>1091</v>
      </c>
      <c r="H85" s="1413"/>
      <c r="I85" s="1413"/>
      <c r="J85" s="1413"/>
      <c r="K85" s="1462"/>
      <c r="L85" s="1463"/>
      <c r="M85" s="1464"/>
      <c r="N85" s="1458"/>
      <c r="O85" s="1458"/>
      <c r="P85" s="1672"/>
      <c r="Q85" s="1380"/>
      <c r="R85" s="1254"/>
      <c r="S85" s="1254"/>
      <c r="T85" s="1254"/>
      <c r="U85" s="1254"/>
      <c r="V85" s="1254"/>
      <c r="W85" s="1254"/>
      <c r="X85" s="1254"/>
      <c r="Y85" s="1254"/>
      <c r="Z85" s="1254"/>
      <c r="AA85" s="1254"/>
      <c r="AB85" s="1254"/>
      <c r="AC85" s="1254"/>
    </row>
    <row r="86" ht="14.75" spans="1:29">
      <c r="A86" s="1409"/>
      <c r="B86" s="1414"/>
      <c r="C86" s="1415">
        <v>100</v>
      </c>
      <c r="D86" s="1415">
        <f>C86-$K23</f>
        <v>100</v>
      </c>
      <c r="E86" s="1415">
        <f>D86-$K23</f>
        <v>100</v>
      </c>
      <c r="F86" s="1415">
        <f>E86-$K23</f>
        <v>100</v>
      </c>
      <c r="G86" s="1415">
        <f>F86-$K23</f>
        <v>100</v>
      </c>
      <c r="H86" s="1415"/>
      <c r="I86" s="1415"/>
      <c r="J86" s="1415"/>
      <c r="K86" s="1415"/>
      <c r="L86" s="1415"/>
      <c r="M86" s="1465"/>
      <c r="N86" s="1461"/>
      <c r="O86" s="1461"/>
      <c r="P86" s="1672"/>
      <c r="Q86" s="1380"/>
      <c r="R86" s="1254"/>
      <c r="S86" s="1254"/>
      <c r="T86" s="1254"/>
      <c r="U86" s="1254"/>
      <c r="V86" s="1254"/>
      <c r="W86" s="1254"/>
      <c r="X86" s="1254"/>
      <c r="Y86" s="1254"/>
      <c r="Z86" s="1254"/>
      <c r="AA86" s="1254"/>
      <c r="AB86" s="1254"/>
      <c r="AC86" s="1254"/>
    </row>
    <row r="87" s="1127" customFormat="1" ht="28.75" spans="1:29">
      <c r="A87" s="1432"/>
      <c r="B87" s="1412" t="s">
        <v>1619</v>
      </c>
      <c r="C87" s="1420"/>
      <c r="D87" s="1420"/>
      <c r="E87" s="1420"/>
      <c r="F87" s="1420"/>
      <c r="G87" s="1420"/>
      <c r="H87" s="1420"/>
      <c r="I87" s="1420"/>
      <c r="J87" s="1420"/>
      <c r="K87" s="1420"/>
      <c r="L87" s="1619"/>
      <c r="M87" s="1620"/>
      <c r="N87" s="1452"/>
      <c r="O87" s="1452"/>
      <c r="P87" s="1672"/>
      <c r="Q87" s="1380"/>
      <c r="R87" s="1502"/>
      <c r="S87" s="1502"/>
      <c r="T87" s="1502"/>
      <c r="U87" s="1502"/>
      <c r="V87" s="1502"/>
      <c r="W87" s="1502"/>
      <c r="X87" s="1502"/>
      <c r="Y87" s="1502"/>
      <c r="Z87" s="1502"/>
      <c r="AA87" s="1502"/>
      <c r="AB87" s="1502"/>
      <c r="AC87" s="1502"/>
    </row>
    <row r="88" s="1127" customFormat="1" ht="14.75" spans="1:29">
      <c r="A88" s="1432"/>
      <c r="B88" s="1414"/>
      <c r="C88" s="1433">
        <v>100</v>
      </c>
      <c r="D88" s="1415">
        <f t="shared" ref="D88:M88" si="19">C88-$K25</f>
        <v>100</v>
      </c>
      <c r="E88" s="1415">
        <f t="shared" si="19"/>
        <v>100</v>
      </c>
      <c r="F88" s="1415">
        <f t="shared" si="19"/>
        <v>100</v>
      </c>
      <c r="G88" s="1415">
        <f t="shared" si="19"/>
        <v>100</v>
      </c>
      <c r="H88" s="1415">
        <f t="shared" si="19"/>
        <v>100</v>
      </c>
      <c r="I88" s="1415">
        <f t="shared" si="19"/>
        <v>100</v>
      </c>
      <c r="J88" s="1415">
        <f t="shared" si="19"/>
        <v>100</v>
      </c>
      <c r="K88" s="1415">
        <f t="shared" si="19"/>
        <v>100</v>
      </c>
      <c r="L88" s="1415">
        <f t="shared" si="19"/>
        <v>100</v>
      </c>
      <c r="M88" s="1415">
        <f t="shared" si="19"/>
        <v>100</v>
      </c>
      <c r="N88" s="1461"/>
      <c r="O88" s="1461"/>
      <c r="P88" s="1672"/>
      <c r="Q88" s="1380"/>
      <c r="R88" s="1502"/>
      <c r="S88" s="1502"/>
      <c r="T88" s="1502"/>
      <c r="U88" s="1502"/>
      <c r="V88" s="1502"/>
      <c r="W88" s="1502"/>
      <c r="X88" s="1502"/>
      <c r="Y88" s="1502"/>
      <c r="Z88" s="1502"/>
      <c r="AA88" s="1502"/>
      <c r="AB88" s="1502"/>
      <c r="AC88" s="1502"/>
    </row>
    <row r="89" s="1127" customFormat="1" ht="14.75" spans="1:29">
      <c r="A89" s="1432"/>
      <c r="B89" s="1412" t="str">
        <f>B27</f>
        <v>楼层</v>
      </c>
      <c r="C89" s="1420"/>
      <c r="D89" s="1420"/>
      <c r="E89" s="1420"/>
      <c r="F89" s="1762"/>
      <c r="G89" s="1420"/>
      <c r="H89" s="1420"/>
      <c r="I89" s="1420"/>
      <c r="J89" s="1420"/>
      <c r="K89" s="1420"/>
      <c r="L89" s="1420"/>
      <c r="M89" s="1620"/>
      <c r="N89" s="1452"/>
      <c r="O89" s="1452"/>
      <c r="P89" s="1672"/>
      <c r="Q89" s="1380"/>
      <c r="R89" s="1502"/>
      <c r="S89" s="1502"/>
      <c r="T89" s="1502"/>
      <c r="U89" s="1502"/>
      <c r="V89" s="1502"/>
      <c r="W89" s="1502"/>
      <c r="X89" s="1502"/>
      <c r="Y89" s="1502"/>
      <c r="Z89" s="1502"/>
      <c r="AA89" s="1502"/>
      <c r="AB89" s="1502"/>
      <c r="AC89" s="1502"/>
    </row>
    <row r="90" s="1127" customFormat="1" ht="14.75" spans="1:29">
      <c r="A90" s="1432"/>
      <c r="B90" s="1414"/>
      <c r="C90" s="1433">
        <v>100</v>
      </c>
      <c r="D90" s="1415">
        <f>C90-$K27</f>
        <v>100</v>
      </c>
      <c r="E90" s="1415">
        <f t="shared" ref="E90:M90" si="20">D90-$K27</f>
        <v>100</v>
      </c>
      <c r="F90" s="1415">
        <f t="shared" si="20"/>
        <v>100</v>
      </c>
      <c r="G90" s="1415">
        <f t="shared" si="20"/>
        <v>100</v>
      </c>
      <c r="H90" s="1415">
        <f t="shared" si="20"/>
        <v>100</v>
      </c>
      <c r="I90" s="1415">
        <f t="shared" si="20"/>
        <v>100</v>
      </c>
      <c r="J90" s="1415">
        <f t="shared" si="20"/>
        <v>100</v>
      </c>
      <c r="K90" s="1415">
        <f t="shared" si="20"/>
        <v>100</v>
      </c>
      <c r="L90" s="1415">
        <f t="shared" si="20"/>
        <v>100</v>
      </c>
      <c r="M90" s="1415">
        <f t="shared" si="20"/>
        <v>100</v>
      </c>
      <c r="N90" s="1461"/>
      <c r="O90" s="1461"/>
      <c r="P90" s="1672"/>
      <c r="Q90" s="1380"/>
      <c r="R90" s="1502"/>
      <c r="S90" s="1502"/>
      <c r="T90" s="1502"/>
      <c r="U90" s="1502"/>
      <c r="V90" s="1502"/>
      <c r="W90" s="1502"/>
      <c r="X90" s="1502"/>
      <c r="Y90" s="1502"/>
      <c r="Z90" s="1502"/>
      <c r="AA90" s="1502"/>
      <c r="AB90" s="1502"/>
      <c r="AC90" s="1502"/>
    </row>
    <row r="91" s="1129" customFormat="1" ht="14.75" spans="1:29">
      <c r="A91" s="1419"/>
      <c r="B91" s="1412" t="str">
        <f>B28</f>
        <v>朝向</v>
      </c>
      <c r="C91" s="1420"/>
      <c r="D91" s="1420"/>
      <c r="E91" s="1420"/>
      <c r="F91" s="1420"/>
      <c r="G91" s="1420"/>
      <c r="H91" s="1421"/>
      <c r="I91" s="1421"/>
      <c r="J91" s="1421"/>
      <c r="K91" s="1421"/>
      <c r="L91" s="1469"/>
      <c r="M91" s="1470"/>
      <c r="N91" s="1471"/>
      <c r="O91" s="1471"/>
      <c r="P91" s="1673"/>
      <c r="Q91" s="1503"/>
      <c r="R91" s="1504"/>
      <c r="S91" s="1504"/>
      <c r="T91" s="1504"/>
      <c r="U91" s="1504"/>
      <c r="V91" s="1504"/>
      <c r="W91" s="1504"/>
      <c r="X91" s="1504"/>
      <c r="Y91" s="1504"/>
      <c r="Z91" s="1504"/>
      <c r="AA91" s="1504"/>
      <c r="AB91" s="1504"/>
      <c r="AC91" s="1504"/>
    </row>
    <row r="92" s="1129" customFormat="1" ht="14.75" spans="1:29">
      <c r="A92" s="1419"/>
      <c r="B92" s="1414"/>
      <c r="C92" s="1433">
        <v>100</v>
      </c>
      <c r="D92" s="1415">
        <f t="shared" ref="D92:M92" si="21">C92-$K28</f>
        <v>100</v>
      </c>
      <c r="E92" s="1415">
        <f t="shared" si="21"/>
        <v>100</v>
      </c>
      <c r="F92" s="1415">
        <f t="shared" si="21"/>
        <v>100</v>
      </c>
      <c r="G92" s="1415">
        <f t="shared" si="21"/>
        <v>100</v>
      </c>
      <c r="H92" s="1415">
        <f t="shared" si="21"/>
        <v>100</v>
      </c>
      <c r="I92" s="1415">
        <f t="shared" si="21"/>
        <v>100</v>
      </c>
      <c r="J92" s="1415">
        <f t="shared" si="21"/>
        <v>100</v>
      </c>
      <c r="K92" s="1415">
        <f t="shared" si="21"/>
        <v>100</v>
      </c>
      <c r="L92" s="1415">
        <f t="shared" si="21"/>
        <v>100</v>
      </c>
      <c r="M92" s="1415">
        <f t="shared" si="21"/>
        <v>100</v>
      </c>
      <c r="N92" s="1471"/>
      <c r="O92" s="1471"/>
      <c r="P92" s="1673"/>
      <c r="Q92" s="1503"/>
      <c r="R92" s="1504"/>
      <c r="S92" s="1504"/>
      <c r="T92" s="1504"/>
      <c r="U92" s="1504"/>
      <c r="V92" s="1504"/>
      <c r="W92" s="1504"/>
      <c r="X92" s="1504"/>
      <c r="Y92" s="1504"/>
      <c r="Z92" s="1504"/>
      <c r="AA92" s="1504"/>
      <c r="AB92" s="1504"/>
      <c r="AC92" s="1504"/>
    </row>
    <row r="93" ht="14.75" spans="1:29">
      <c r="A93" s="1409"/>
      <c r="B93" s="1412">
        <f>B29</f>
        <v>111</v>
      </c>
      <c r="C93" s="1420"/>
      <c r="D93" s="1420"/>
      <c r="E93" s="1420"/>
      <c r="F93" s="1420"/>
      <c r="G93" s="1420"/>
      <c r="H93" s="1420"/>
      <c r="I93" s="1420"/>
      <c r="J93" s="1420"/>
      <c r="K93" s="1420"/>
      <c r="L93" s="1619"/>
      <c r="M93" s="1620"/>
      <c r="N93" s="1458"/>
      <c r="O93" s="1458"/>
      <c r="P93" s="1672"/>
      <c r="Q93" s="1380"/>
      <c r="R93" s="1254"/>
      <c r="S93" s="1254"/>
      <c r="T93" s="1254"/>
      <c r="U93" s="1254"/>
      <c r="V93" s="1254"/>
      <c r="W93" s="1254"/>
      <c r="X93" s="1254"/>
      <c r="Y93" s="1254"/>
      <c r="Z93" s="1254"/>
      <c r="AA93" s="1254"/>
      <c r="AB93" s="1254"/>
      <c r="AC93" s="1254"/>
    </row>
    <row r="94" ht="14.75" spans="1:29">
      <c r="A94" s="1409"/>
      <c r="B94" s="1414"/>
      <c r="C94" s="1422"/>
      <c r="D94" s="1411"/>
      <c r="E94" s="1411"/>
      <c r="F94" s="1411"/>
      <c r="G94" s="1411"/>
      <c r="H94" s="1411"/>
      <c r="I94" s="1411"/>
      <c r="J94" s="1411"/>
      <c r="K94" s="1411"/>
      <c r="L94" s="1411"/>
      <c r="M94" s="1460"/>
      <c r="N94" s="1461"/>
      <c r="O94" s="1461"/>
      <c r="P94" s="1672"/>
      <c r="Q94" s="1380"/>
      <c r="R94" s="1254"/>
      <c r="S94" s="1254"/>
      <c r="T94" s="1254"/>
      <c r="U94" s="1254"/>
      <c r="V94" s="1254"/>
      <c r="W94" s="1254"/>
      <c r="X94" s="1254"/>
      <c r="Y94" s="1254"/>
      <c r="Z94" s="1254"/>
      <c r="AA94" s="1254"/>
      <c r="AB94" s="1254"/>
      <c r="AC94" s="1254"/>
    </row>
    <row r="95" ht="14.75" spans="1:29">
      <c r="A95" s="1409"/>
      <c r="B95" s="1412">
        <f>B30</f>
        <v>111</v>
      </c>
      <c r="C95" s="1420"/>
      <c r="D95" s="1420"/>
      <c r="E95" s="1420"/>
      <c r="F95" s="1420"/>
      <c r="G95" s="1437"/>
      <c r="H95" s="1437"/>
      <c r="I95" s="1437"/>
      <c r="J95" s="1437"/>
      <c r="K95" s="1488"/>
      <c r="L95" s="1489"/>
      <c r="M95" s="1490"/>
      <c r="N95" s="1458"/>
      <c r="O95" s="1458"/>
      <c r="P95" s="1672"/>
      <c r="Q95" s="1380"/>
      <c r="R95" s="1254"/>
      <c r="S95" s="1254"/>
      <c r="T95" s="1254"/>
      <c r="U95" s="1254"/>
      <c r="V95" s="1254"/>
      <c r="W95" s="1254"/>
      <c r="X95" s="1254"/>
      <c r="Y95" s="1254"/>
      <c r="Z95" s="1254"/>
      <c r="AA95" s="1254"/>
      <c r="AB95" s="1254"/>
      <c r="AC95" s="1254"/>
    </row>
    <row r="96" ht="14.75" spans="1:29">
      <c r="A96" s="1409"/>
      <c r="B96" s="1414"/>
      <c r="C96" s="1422"/>
      <c r="D96" s="1422"/>
      <c r="E96" s="1422"/>
      <c r="F96" s="1422"/>
      <c r="G96" s="1411"/>
      <c r="H96" s="1411"/>
      <c r="I96" s="1411"/>
      <c r="J96" s="1411"/>
      <c r="K96" s="1411"/>
      <c r="L96" s="1411"/>
      <c r="M96" s="1460"/>
      <c r="N96" s="1461"/>
      <c r="O96" s="1461"/>
      <c r="P96" s="1672"/>
      <c r="Q96" s="1380"/>
      <c r="R96" s="1254"/>
      <c r="S96" s="1254"/>
      <c r="T96" s="1254"/>
      <c r="U96" s="1254"/>
      <c r="V96" s="1254"/>
      <c r="W96" s="1254"/>
      <c r="X96" s="1254"/>
      <c r="Y96" s="1254"/>
      <c r="Z96" s="1254"/>
      <c r="AA96" s="1254"/>
      <c r="AB96" s="1254"/>
      <c r="AC96" s="1254"/>
    </row>
    <row r="97" ht="14.75" spans="1:29">
      <c r="A97" s="1409"/>
      <c r="B97" s="1412">
        <f>B31</f>
        <v>111</v>
      </c>
      <c r="C97" s="1420"/>
      <c r="D97" s="1420"/>
      <c r="E97" s="1420"/>
      <c r="F97" s="1420"/>
      <c r="G97" s="1437"/>
      <c r="H97" s="1437"/>
      <c r="I97" s="1437"/>
      <c r="J97" s="1437"/>
      <c r="K97" s="1488"/>
      <c r="L97" s="1489"/>
      <c r="M97" s="1490"/>
      <c r="N97" s="1458"/>
      <c r="O97" s="1458"/>
      <c r="P97" s="1672"/>
      <c r="Q97" s="1380"/>
      <c r="R97" s="1254"/>
      <c r="S97" s="1254"/>
      <c r="T97" s="1254"/>
      <c r="U97" s="1254"/>
      <c r="V97" s="1254"/>
      <c r="W97" s="1254"/>
      <c r="X97" s="1254"/>
      <c r="Y97" s="1254"/>
      <c r="Z97" s="1254"/>
      <c r="AA97" s="1254"/>
      <c r="AB97" s="1254"/>
      <c r="AC97" s="1254"/>
    </row>
    <row r="98" ht="14.75" spans="1:29">
      <c r="A98" s="1409"/>
      <c r="B98" s="1414"/>
      <c r="C98" s="1422"/>
      <c r="D98" s="1411"/>
      <c r="E98" s="1411"/>
      <c r="F98" s="1411"/>
      <c r="G98" s="1411"/>
      <c r="H98" s="1411"/>
      <c r="I98" s="1411"/>
      <c r="J98" s="1411"/>
      <c r="K98" s="1411"/>
      <c r="L98" s="1411"/>
      <c r="M98" s="1460"/>
      <c r="N98" s="1461"/>
      <c r="O98" s="1461"/>
      <c r="P98" s="1672"/>
      <c r="Q98" s="1380"/>
      <c r="R98" s="1254"/>
      <c r="S98" s="1254"/>
      <c r="T98" s="1254"/>
      <c r="U98" s="1254"/>
      <c r="V98" s="1254"/>
      <c r="W98" s="1254"/>
      <c r="X98" s="1254"/>
      <c r="Y98" s="1254"/>
      <c r="Z98" s="1254"/>
      <c r="AA98" s="1254"/>
      <c r="AB98" s="1254"/>
      <c r="AC98" s="1254"/>
    </row>
    <row r="99" ht="14.75" spans="1:29">
      <c r="A99" s="1409"/>
      <c r="B99" s="1416">
        <f>B32</f>
        <v>111</v>
      </c>
      <c r="C99" s="1404"/>
      <c r="D99" s="1404"/>
      <c r="E99" s="1404"/>
      <c r="F99" s="1404"/>
      <c r="G99" s="1438"/>
      <c r="H99" s="1438"/>
      <c r="I99" s="1438"/>
      <c r="J99" s="1438"/>
      <c r="K99" s="1491"/>
      <c r="L99" s="1492"/>
      <c r="M99" s="1493"/>
      <c r="N99" s="1458"/>
      <c r="O99" s="1458"/>
      <c r="P99" s="1672"/>
      <c r="Q99" s="1380"/>
      <c r="R99" s="1254"/>
      <c r="S99" s="1254"/>
      <c r="T99" s="1254"/>
      <c r="U99" s="1254"/>
      <c r="V99" s="1254"/>
      <c r="W99" s="1254"/>
      <c r="X99" s="1254"/>
      <c r="Y99" s="1254"/>
      <c r="Z99" s="1254"/>
      <c r="AA99" s="1254"/>
      <c r="AB99" s="1254"/>
      <c r="AC99" s="1254"/>
    </row>
    <row r="100" ht="14.75" spans="1:29">
      <c r="A100" s="1722"/>
      <c r="B100" s="1426"/>
      <c r="C100" s="1427"/>
      <c r="D100" s="1427"/>
      <c r="E100" s="1427"/>
      <c r="F100" s="1427"/>
      <c r="G100" s="1439"/>
      <c r="H100" s="1439"/>
      <c r="I100" s="1439"/>
      <c r="J100" s="1439"/>
      <c r="K100" s="1439"/>
      <c r="L100" s="1439"/>
      <c r="M100" s="1494"/>
      <c r="N100" s="1461"/>
      <c r="O100" s="1461"/>
      <c r="P100" s="1672"/>
      <c r="Q100" s="1380"/>
      <c r="R100" s="1254"/>
      <c r="S100" s="1254"/>
      <c r="T100" s="1254"/>
      <c r="U100" s="1254"/>
      <c r="V100" s="1254"/>
      <c r="W100" s="1254"/>
      <c r="X100" s="1254"/>
      <c r="Y100" s="1254"/>
      <c r="Z100" s="1254"/>
      <c r="AA100" s="1254"/>
      <c r="AB100" s="1254"/>
      <c r="AC100" s="1254"/>
    </row>
    <row r="101" spans="1:29">
      <c r="A101" s="1407" t="s">
        <v>1056</v>
      </c>
      <c r="B101" s="1408" t="s">
        <v>1591</v>
      </c>
      <c r="C101" s="1335"/>
      <c r="D101" s="1335"/>
      <c r="E101" s="1335"/>
      <c r="F101" s="1335"/>
      <c r="G101" s="1335"/>
      <c r="H101" s="1335"/>
      <c r="I101" s="1335"/>
      <c r="J101" s="1335"/>
      <c r="K101" s="1455"/>
      <c r="L101" s="1456"/>
      <c r="M101" s="1457"/>
      <c r="N101" s="1458"/>
      <c r="O101" s="1458"/>
      <c r="P101" s="1672"/>
      <c r="Q101" s="1380"/>
      <c r="R101" s="1254"/>
      <c r="S101" s="1254"/>
      <c r="T101" s="1254"/>
      <c r="U101" s="1254"/>
      <c r="V101" s="1254"/>
      <c r="W101" s="1254"/>
      <c r="X101" s="1254"/>
      <c r="Y101" s="1254"/>
      <c r="Z101" s="1254"/>
      <c r="AA101" s="1254"/>
      <c r="AB101" s="1254"/>
      <c r="AC101" s="1254"/>
    </row>
    <row r="102" ht="14.75" spans="1:29">
      <c r="A102" s="1409"/>
      <c r="B102" s="1414"/>
      <c r="C102" s="1415">
        <v>100</v>
      </c>
      <c r="D102" s="1415">
        <f t="shared" ref="D102:M102" si="22">C102-$K33</f>
        <v>100</v>
      </c>
      <c r="E102" s="1415">
        <f t="shared" si="22"/>
        <v>100</v>
      </c>
      <c r="F102" s="1415">
        <f t="shared" si="22"/>
        <v>100</v>
      </c>
      <c r="G102" s="1415">
        <f t="shared" si="22"/>
        <v>100</v>
      </c>
      <c r="H102" s="1415">
        <f t="shared" si="22"/>
        <v>100</v>
      </c>
      <c r="I102" s="1415">
        <f t="shared" si="22"/>
        <v>100</v>
      </c>
      <c r="J102" s="1415">
        <f t="shared" si="22"/>
        <v>100</v>
      </c>
      <c r="K102" s="1415">
        <f t="shared" si="22"/>
        <v>100</v>
      </c>
      <c r="L102" s="1415">
        <f t="shared" si="22"/>
        <v>100</v>
      </c>
      <c r="M102" s="1465">
        <f t="shared" si="22"/>
        <v>100</v>
      </c>
      <c r="N102" s="1461"/>
      <c r="O102" s="1461"/>
      <c r="P102" s="1672"/>
      <c r="Q102" s="1380"/>
      <c r="R102" s="1254"/>
      <c r="S102" s="1254"/>
      <c r="T102" s="1254"/>
      <c r="U102" s="1254"/>
      <c r="V102" s="1254"/>
      <c r="W102" s="1254"/>
      <c r="X102" s="1254"/>
      <c r="Y102" s="1254"/>
      <c r="Z102" s="1254"/>
      <c r="AA102" s="1254"/>
      <c r="AB102" s="1254"/>
      <c r="AC102" s="1254"/>
    </row>
    <row r="103" ht="14.75" spans="1:29">
      <c r="A103" s="1409"/>
      <c r="B103" s="1412" t="s">
        <v>1059</v>
      </c>
      <c r="C103" s="1431" t="str">
        <f>C104&amp;"(含)"&amp;"-"&amp;D104</f>
        <v>(含)-</v>
      </c>
      <c r="D103" s="1431" t="str">
        <f t="shared" ref="D103:L103" si="23">D104&amp;"(含)"&amp;"-"&amp;E104</f>
        <v>(含)-</v>
      </c>
      <c r="E103" s="1431" t="str">
        <f t="shared" si="23"/>
        <v>(含)-</v>
      </c>
      <c r="F103" s="1431" t="str">
        <f t="shared" si="23"/>
        <v>(含)-</v>
      </c>
      <c r="G103" s="1431" t="str">
        <f t="shared" si="23"/>
        <v>(含)-</v>
      </c>
      <c r="H103" s="1431" t="str">
        <f t="shared" si="23"/>
        <v>(含)-</v>
      </c>
      <c r="I103" s="1431" t="str">
        <f t="shared" si="23"/>
        <v>(含)-</v>
      </c>
      <c r="J103" s="1431" t="str">
        <f t="shared" si="23"/>
        <v>(含)-</v>
      </c>
      <c r="K103" s="1431" t="str">
        <f t="shared" si="23"/>
        <v>(含)-</v>
      </c>
      <c r="L103" s="1431" t="str">
        <f t="shared" si="23"/>
        <v>(含)-</v>
      </c>
      <c r="M103" s="1483" t="str">
        <f>M104&amp;"(含)"&amp;"-"&amp;P104</f>
        <v>(含)-</v>
      </c>
      <c r="N103" s="1452"/>
      <c r="O103" s="1452"/>
      <c r="P103" s="1672"/>
      <c r="Q103" s="1380"/>
      <c r="R103" s="1254"/>
      <c r="S103" s="1254"/>
      <c r="T103" s="1254"/>
      <c r="U103" s="1254"/>
      <c r="V103" s="1254"/>
      <c r="W103" s="1254"/>
      <c r="X103" s="1254"/>
      <c r="Y103" s="1254"/>
      <c r="Z103" s="1254"/>
      <c r="AA103" s="1254"/>
      <c r="AB103" s="1254"/>
      <c r="AC103" s="1254"/>
    </row>
    <row r="104" s="1129" customFormat="1" spans="1:29">
      <c r="A104" s="1440"/>
      <c r="B104" s="1441"/>
      <c r="C104" s="1396"/>
      <c r="D104" s="1396"/>
      <c r="E104" s="1396"/>
      <c r="F104" s="1396"/>
      <c r="G104" s="1396"/>
      <c r="H104" s="1396"/>
      <c r="I104" s="1396"/>
      <c r="J104" s="1495"/>
      <c r="K104" s="1495"/>
      <c r="L104" s="1496"/>
      <c r="M104" s="1497"/>
      <c r="N104" s="1471"/>
      <c r="O104" s="1471"/>
      <c r="P104" s="1673"/>
      <c r="Q104" s="1503"/>
      <c r="R104" s="1504"/>
      <c r="S104" s="1504"/>
      <c r="T104" s="1504"/>
      <c r="U104" s="1504"/>
      <c r="V104" s="1504"/>
      <c r="W104" s="1504"/>
      <c r="X104" s="1504"/>
      <c r="Y104" s="1504"/>
      <c r="Z104" s="1504"/>
      <c r="AA104" s="1504"/>
      <c r="AB104" s="1504"/>
      <c r="AC104" s="1504"/>
    </row>
    <row r="105" s="1129" customFormat="1" ht="14.75" spans="1:29">
      <c r="A105" s="1419"/>
      <c r="B105" s="1414"/>
      <c r="C105" s="1422"/>
      <c r="D105" s="1411"/>
      <c r="E105" s="1411"/>
      <c r="F105" s="1411"/>
      <c r="G105" s="1411"/>
      <c r="H105" s="1411"/>
      <c r="I105" s="1411"/>
      <c r="J105" s="1411"/>
      <c r="K105" s="1411"/>
      <c r="L105" s="1411"/>
      <c r="M105" s="1460"/>
      <c r="N105" s="1461"/>
      <c r="O105" s="1461"/>
      <c r="P105" s="1673"/>
      <c r="Q105" s="1503"/>
      <c r="R105" s="1504"/>
      <c r="S105" s="1504"/>
      <c r="T105" s="1504"/>
      <c r="U105" s="1504"/>
      <c r="V105" s="1504"/>
      <c r="W105" s="1504"/>
      <c r="X105" s="1504"/>
      <c r="Y105" s="1504"/>
      <c r="Z105" s="1504"/>
      <c r="AA105" s="1504"/>
      <c r="AB105" s="1504"/>
      <c r="AC105" s="1504"/>
    </row>
    <row r="106" ht="14.75" spans="1:29">
      <c r="A106" s="1443"/>
      <c r="B106" s="1412" t="s">
        <v>1060</v>
      </c>
      <c r="C106" s="1420"/>
      <c r="D106" s="1420"/>
      <c r="E106" s="1437"/>
      <c r="F106" s="1437"/>
      <c r="G106" s="1437"/>
      <c r="H106" s="1437"/>
      <c r="I106" s="1437"/>
      <c r="J106" s="1437"/>
      <c r="K106" s="1488"/>
      <c r="L106" s="1489"/>
      <c r="M106" s="1490"/>
      <c r="N106" s="1458"/>
      <c r="O106" s="1458"/>
      <c r="P106" s="1672"/>
      <c r="Q106" s="1380"/>
      <c r="R106" s="1254"/>
      <c r="S106" s="1254"/>
      <c r="T106" s="1254"/>
      <c r="U106" s="1254"/>
      <c r="V106" s="1254"/>
      <c r="W106" s="1254"/>
      <c r="X106" s="1254"/>
      <c r="Y106" s="1254"/>
      <c r="Z106" s="1254"/>
      <c r="AA106" s="1254"/>
      <c r="AB106" s="1254"/>
      <c r="AC106" s="1254"/>
    </row>
    <row r="107" ht="14.75" spans="1:29">
      <c r="A107" s="1409"/>
      <c r="B107" s="1414"/>
      <c r="C107" s="1415">
        <v>100</v>
      </c>
      <c r="D107" s="1415">
        <f t="shared" ref="D107:M107" si="24">C107-$K35</f>
        <v>100</v>
      </c>
      <c r="E107" s="1415">
        <f t="shared" si="24"/>
        <v>100</v>
      </c>
      <c r="F107" s="1415">
        <f t="shared" si="24"/>
        <v>100</v>
      </c>
      <c r="G107" s="1415">
        <f t="shared" si="24"/>
        <v>100</v>
      </c>
      <c r="H107" s="1415">
        <f t="shared" si="24"/>
        <v>100</v>
      </c>
      <c r="I107" s="1415">
        <f t="shared" si="24"/>
        <v>100</v>
      </c>
      <c r="J107" s="1415">
        <f t="shared" si="24"/>
        <v>100</v>
      </c>
      <c r="K107" s="1415">
        <f t="shared" si="24"/>
        <v>100</v>
      </c>
      <c r="L107" s="1415">
        <f t="shared" si="24"/>
        <v>100</v>
      </c>
      <c r="M107" s="1465">
        <f t="shared" si="24"/>
        <v>100</v>
      </c>
      <c r="N107" s="1461"/>
      <c r="O107" s="1461"/>
      <c r="P107" s="1672"/>
      <c r="Q107" s="1380"/>
      <c r="R107" s="1254"/>
      <c r="S107" s="1254"/>
      <c r="T107" s="1254"/>
      <c r="U107" s="1254"/>
      <c r="V107" s="1254"/>
      <c r="W107" s="1254"/>
      <c r="X107" s="1254"/>
      <c r="Y107" s="1254"/>
      <c r="Z107" s="1254"/>
      <c r="AA107" s="1254"/>
      <c r="AB107" s="1254"/>
      <c r="AC107" s="1254"/>
    </row>
    <row r="108" ht="14.75" spans="1:29">
      <c r="A108" s="1443"/>
      <c r="B108" s="1412" t="s">
        <v>1061</v>
      </c>
      <c r="C108" s="1420"/>
      <c r="D108" s="1420"/>
      <c r="E108" s="1420"/>
      <c r="F108" s="1437"/>
      <c r="G108" s="1437"/>
      <c r="H108" s="1437"/>
      <c r="I108" s="1437"/>
      <c r="J108" s="1437"/>
      <c r="K108" s="1488"/>
      <c r="L108" s="1489"/>
      <c r="M108" s="1490"/>
      <c r="N108" s="1458"/>
      <c r="O108" s="1458"/>
      <c r="P108" s="1672"/>
      <c r="Q108" s="1380"/>
      <c r="R108" s="1254"/>
      <c r="S108" s="1254"/>
      <c r="T108" s="1254"/>
      <c r="U108" s="1254"/>
      <c r="V108" s="1254"/>
      <c r="W108" s="1254"/>
      <c r="X108" s="1254"/>
      <c r="Y108" s="1254"/>
      <c r="Z108" s="1254"/>
      <c r="AA108" s="1254"/>
      <c r="AB108" s="1254"/>
      <c r="AC108" s="1254"/>
    </row>
    <row r="109" ht="14.75" spans="1:29">
      <c r="A109" s="1409"/>
      <c r="B109" s="1414"/>
      <c r="C109" s="1415">
        <v>100</v>
      </c>
      <c r="D109" s="1415">
        <f t="shared" ref="D109:M109" si="25">C109-$K36</f>
        <v>100</v>
      </c>
      <c r="E109" s="1415">
        <f t="shared" si="25"/>
        <v>100</v>
      </c>
      <c r="F109" s="1415">
        <f t="shared" si="25"/>
        <v>100</v>
      </c>
      <c r="G109" s="1415">
        <f t="shared" si="25"/>
        <v>100</v>
      </c>
      <c r="H109" s="1415">
        <f t="shared" si="25"/>
        <v>100</v>
      </c>
      <c r="I109" s="1415">
        <f t="shared" si="25"/>
        <v>100</v>
      </c>
      <c r="J109" s="1415">
        <f t="shared" si="25"/>
        <v>100</v>
      </c>
      <c r="K109" s="1415">
        <f t="shared" si="25"/>
        <v>100</v>
      </c>
      <c r="L109" s="1415">
        <f t="shared" si="25"/>
        <v>100</v>
      </c>
      <c r="M109" s="1465">
        <f t="shared" si="25"/>
        <v>100</v>
      </c>
      <c r="N109" s="1461"/>
      <c r="O109" s="1461"/>
      <c r="P109" s="1672"/>
      <c r="Q109" s="1380"/>
      <c r="R109" s="1254"/>
      <c r="S109" s="1254"/>
      <c r="T109" s="1254"/>
      <c r="U109" s="1254"/>
      <c r="V109" s="1254"/>
      <c r="W109" s="1254"/>
      <c r="X109" s="1254"/>
      <c r="Y109" s="1254"/>
      <c r="Z109" s="1254"/>
      <c r="AA109" s="1254"/>
      <c r="AB109" s="1254"/>
      <c r="AC109" s="1254"/>
    </row>
    <row r="110" ht="14.75" spans="1:29">
      <c r="A110" s="1443"/>
      <c r="B110" s="1412" t="s">
        <v>646</v>
      </c>
      <c r="C110" s="1431" t="str">
        <f>C111&amp;"(含)"&amp;"-"&amp;D111</f>
        <v>0.5(含)-0.6</v>
      </c>
      <c r="D110" s="1431" t="str">
        <f>D111&amp;"(含)"&amp;"-"&amp;E111</f>
        <v>0.6(含)-0.7</v>
      </c>
      <c r="E110" s="1431" t="str">
        <f>E111&amp;"(含)"&amp;"-"&amp;F111</f>
        <v>0.7(含)-0.8</v>
      </c>
      <c r="F110" s="1431" t="str">
        <f>F111&amp;"(含)"&amp;"-"&amp;G111</f>
        <v>0.8(含)-0.9</v>
      </c>
      <c r="G110" s="1431" t="str">
        <f>G111&amp;"(含)"&amp;"-"&amp;ROUND(H111,0)&amp;"(含)"</f>
        <v>0.9(含)-1(含)</v>
      </c>
      <c r="H110" s="1431"/>
      <c r="I110" s="1437"/>
      <c r="J110" s="1437"/>
      <c r="K110" s="1488"/>
      <c r="L110" s="1489"/>
      <c r="M110" s="1490"/>
      <c r="N110" s="1458"/>
      <c r="O110" s="1458"/>
      <c r="P110" s="1672"/>
      <c r="Q110" s="1380"/>
      <c r="R110" s="1254"/>
      <c r="S110" s="1254"/>
      <c r="T110" s="1254"/>
      <c r="U110" s="1254"/>
      <c r="V110" s="1254"/>
      <c r="W110" s="1254"/>
      <c r="X110" s="1254"/>
      <c r="Y110" s="1254"/>
      <c r="Z110" s="1254"/>
      <c r="AA110" s="1254"/>
      <c r="AB110" s="1254"/>
      <c r="AC110" s="1254"/>
    </row>
    <row r="111" spans="1:29">
      <c r="A111" s="1443"/>
      <c r="B111" s="1416"/>
      <c r="C111" s="891">
        <v>0.5</v>
      </c>
      <c r="D111" s="891">
        <v>0.6</v>
      </c>
      <c r="E111" s="891">
        <v>0.7</v>
      </c>
      <c r="F111" s="891">
        <v>0.8</v>
      </c>
      <c r="G111" s="891">
        <v>0.9</v>
      </c>
      <c r="H111" s="891">
        <v>1.0001</v>
      </c>
      <c r="I111" s="1680"/>
      <c r="J111" s="1680"/>
      <c r="K111" s="1681"/>
      <c r="L111" s="1682"/>
      <c r="M111" s="1683"/>
      <c r="N111" s="1458"/>
      <c r="O111" s="1458"/>
      <c r="P111" s="1672"/>
      <c r="Q111" s="1380"/>
      <c r="R111" s="1254"/>
      <c r="S111" s="1254"/>
      <c r="T111" s="1254"/>
      <c r="U111" s="1254"/>
      <c r="V111" s="1254"/>
      <c r="W111" s="1254"/>
      <c r="X111" s="1254"/>
      <c r="Y111" s="1254"/>
      <c r="Z111" s="1254"/>
      <c r="AA111" s="1254"/>
      <c r="AB111" s="1254"/>
      <c r="AC111" s="1254"/>
    </row>
    <row r="112" ht="14.75" spans="1:29">
      <c r="A112" s="1409"/>
      <c r="B112" s="1414"/>
      <c r="C112" s="1433">
        <v>100</v>
      </c>
      <c r="D112" s="1415">
        <f>C112+$K37</f>
        <v>100</v>
      </c>
      <c r="E112" s="1415">
        <f t="shared" ref="E112:M112" si="26">D112+$K37</f>
        <v>100</v>
      </c>
      <c r="F112" s="1415">
        <f t="shared" si="26"/>
        <v>100</v>
      </c>
      <c r="G112" s="1415">
        <f t="shared" si="26"/>
        <v>100</v>
      </c>
      <c r="H112" s="1415">
        <f t="shared" si="26"/>
        <v>100</v>
      </c>
      <c r="I112" s="1415">
        <f t="shared" si="26"/>
        <v>100</v>
      </c>
      <c r="J112" s="1415">
        <f t="shared" si="26"/>
        <v>100</v>
      </c>
      <c r="K112" s="1415">
        <f t="shared" si="26"/>
        <v>100</v>
      </c>
      <c r="L112" s="1415">
        <f t="shared" si="26"/>
        <v>100</v>
      </c>
      <c r="M112" s="1415">
        <f t="shared" si="26"/>
        <v>100</v>
      </c>
      <c r="N112" s="1461"/>
      <c r="O112" s="1461"/>
      <c r="P112" s="1672"/>
      <c r="Q112" s="1380"/>
      <c r="R112" s="1254"/>
      <c r="S112" s="1254"/>
      <c r="T112" s="1254"/>
      <c r="U112" s="1254"/>
      <c r="V112" s="1254"/>
      <c r="W112" s="1254"/>
      <c r="X112" s="1254"/>
      <c r="Y112" s="1254"/>
      <c r="Z112" s="1254"/>
      <c r="AA112" s="1254"/>
      <c r="AB112" s="1254"/>
      <c r="AC112" s="1254"/>
    </row>
    <row r="113" s="1129" customFormat="1" ht="14.75" spans="1:29">
      <c r="A113" s="1440"/>
      <c r="B113" s="1412" t="s">
        <v>1620</v>
      </c>
      <c r="C113" s="1420"/>
      <c r="D113" s="1420"/>
      <c r="E113" s="1420"/>
      <c r="F113" s="1420"/>
      <c r="G113" s="1420"/>
      <c r="H113" s="1437"/>
      <c r="I113" s="1437"/>
      <c r="J113" s="1437"/>
      <c r="K113" s="1488"/>
      <c r="L113" s="1489"/>
      <c r="M113" s="1490"/>
      <c r="N113" s="1471"/>
      <c r="O113" s="1471"/>
      <c r="P113" s="1673"/>
      <c r="Q113" s="1503"/>
      <c r="R113" s="1504"/>
      <c r="S113" s="1504"/>
      <c r="T113" s="1504"/>
      <c r="U113" s="1504"/>
      <c r="V113" s="1504"/>
      <c r="W113" s="1504"/>
      <c r="X113" s="1504"/>
      <c r="Y113" s="1504"/>
      <c r="Z113" s="1504"/>
      <c r="AA113" s="1504"/>
      <c r="AB113" s="1504"/>
      <c r="AC113" s="1504"/>
    </row>
    <row r="114" s="1129" customFormat="1" ht="14.75" spans="1:29">
      <c r="A114" s="1419"/>
      <c r="B114" s="1414"/>
      <c r="C114" s="1415">
        <v>100</v>
      </c>
      <c r="D114" s="1415">
        <f>C114-$K38</f>
        <v>100</v>
      </c>
      <c r="E114" s="1415">
        <f t="shared" ref="E114:M114" si="27">D114-$K38</f>
        <v>100</v>
      </c>
      <c r="F114" s="1415">
        <f t="shared" si="27"/>
        <v>100</v>
      </c>
      <c r="G114" s="1415">
        <f t="shared" si="27"/>
        <v>100</v>
      </c>
      <c r="H114" s="1415">
        <f t="shared" si="27"/>
        <v>100</v>
      </c>
      <c r="I114" s="1415">
        <f t="shared" si="27"/>
        <v>100</v>
      </c>
      <c r="J114" s="1415">
        <f t="shared" si="27"/>
        <v>100</v>
      </c>
      <c r="K114" s="1415">
        <f t="shared" si="27"/>
        <v>100</v>
      </c>
      <c r="L114" s="1415">
        <f t="shared" si="27"/>
        <v>100</v>
      </c>
      <c r="M114" s="1415">
        <f t="shared" si="27"/>
        <v>100</v>
      </c>
      <c r="N114" s="1471"/>
      <c r="O114" s="1471"/>
      <c r="P114" s="1673"/>
      <c r="Q114" s="1503"/>
      <c r="R114" s="1504"/>
      <c r="S114" s="1504"/>
      <c r="T114" s="1504"/>
      <c r="U114" s="1504"/>
      <c r="V114" s="1504"/>
      <c r="W114" s="1504"/>
      <c r="X114" s="1504"/>
      <c r="Y114" s="1504"/>
      <c r="Z114" s="1504"/>
      <c r="AA114" s="1504"/>
      <c r="AB114" s="1504"/>
      <c r="AC114" s="1504"/>
    </row>
    <row r="115" ht="14.75" spans="1:29">
      <c r="A115" s="1443"/>
      <c r="B115" s="1412" t="s">
        <v>1593</v>
      </c>
      <c r="C115" s="1420"/>
      <c r="D115" s="1420"/>
      <c r="E115" s="1437"/>
      <c r="F115" s="1437"/>
      <c r="G115" s="1437"/>
      <c r="H115" s="1437"/>
      <c r="I115" s="1437"/>
      <c r="J115" s="1437"/>
      <c r="K115" s="1488"/>
      <c r="L115" s="1489"/>
      <c r="M115" s="1490"/>
      <c r="N115" s="1458"/>
      <c r="O115" s="1458"/>
      <c r="P115" s="1672"/>
      <c r="Q115" s="1380"/>
      <c r="R115" s="1254"/>
      <c r="S115" s="1254"/>
      <c r="T115" s="1254"/>
      <c r="U115" s="1254"/>
      <c r="V115" s="1254"/>
      <c r="W115" s="1254"/>
      <c r="X115" s="1254"/>
      <c r="Y115" s="1254"/>
      <c r="Z115" s="1254"/>
      <c r="AA115" s="1254"/>
      <c r="AB115" s="1254"/>
      <c r="AC115" s="1254"/>
    </row>
    <row r="116" ht="14.75" spans="1:29">
      <c r="A116" s="1409"/>
      <c r="B116" s="1414"/>
      <c r="C116" s="1415">
        <v>100</v>
      </c>
      <c r="D116" s="1415">
        <f t="shared" ref="D116:M116" si="28">C116-$K39</f>
        <v>100</v>
      </c>
      <c r="E116" s="1415">
        <f t="shared" si="28"/>
        <v>100</v>
      </c>
      <c r="F116" s="1415">
        <f t="shared" si="28"/>
        <v>100</v>
      </c>
      <c r="G116" s="1415">
        <f t="shared" si="28"/>
        <v>100</v>
      </c>
      <c r="H116" s="1415">
        <f t="shared" si="28"/>
        <v>100</v>
      </c>
      <c r="I116" s="1415">
        <f t="shared" si="28"/>
        <v>100</v>
      </c>
      <c r="J116" s="1415">
        <f t="shared" si="28"/>
        <v>100</v>
      </c>
      <c r="K116" s="1415">
        <f t="shared" si="28"/>
        <v>100</v>
      </c>
      <c r="L116" s="1415">
        <f t="shared" si="28"/>
        <v>100</v>
      </c>
      <c r="M116" s="1465">
        <f t="shared" si="28"/>
        <v>100</v>
      </c>
      <c r="N116" s="1461"/>
      <c r="O116" s="1461"/>
      <c r="P116" s="1672"/>
      <c r="Q116" s="1380"/>
      <c r="R116" s="1254"/>
      <c r="S116" s="1254"/>
      <c r="T116" s="1254"/>
      <c r="U116" s="1254"/>
      <c r="V116" s="1254"/>
      <c r="W116" s="1254"/>
      <c r="X116" s="1254"/>
      <c r="Y116" s="1254"/>
      <c r="Z116" s="1254"/>
      <c r="AA116" s="1254"/>
      <c r="AB116" s="1254"/>
      <c r="AC116" s="1254"/>
    </row>
    <row r="117" ht="14.75" spans="1:29">
      <c r="A117" s="1443"/>
      <c r="B117" s="1412" t="s">
        <v>1063</v>
      </c>
      <c r="C117" s="1420"/>
      <c r="D117" s="1420"/>
      <c r="E117" s="1420"/>
      <c r="F117" s="1420"/>
      <c r="G117" s="1420"/>
      <c r="H117" s="1437"/>
      <c r="I117" s="1437"/>
      <c r="J117" s="1437"/>
      <c r="K117" s="1488"/>
      <c r="L117" s="1489"/>
      <c r="M117" s="1490"/>
      <c r="N117" s="1458"/>
      <c r="O117" s="1458"/>
      <c r="P117" s="1672"/>
      <c r="Q117" s="1380"/>
      <c r="R117" s="1254"/>
      <c r="S117" s="1254"/>
      <c r="T117" s="1254"/>
      <c r="U117" s="1254"/>
      <c r="V117" s="1254"/>
      <c r="W117" s="1254"/>
      <c r="X117" s="1254"/>
      <c r="Y117" s="1254"/>
      <c r="Z117" s="1254"/>
      <c r="AA117" s="1254"/>
      <c r="AB117" s="1254"/>
      <c r="AC117" s="1254"/>
    </row>
    <row r="118" ht="14.75" spans="1:29">
      <c r="A118" s="1409"/>
      <c r="B118" s="1414"/>
      <c r="C118" s="1415">
        <v>100</v>
      </c>
      <c r="D118" s="1415">
        <f>C118-$K40</f>
        <v>100</v>
      </c>
      <c r="E118" s="1415">
        <f>D118-$K40</f>
        <v>100</v>
      </c>
      <c r="F118" s="1415">
        <f>E118-$K40</f>
        <v>100</v>
      </c>
      <c r="G118" s="1415">
        <f>F118-$K40</f>
        <v>100</v>
      </c>
      <c r="H118" s="1415"/>
      <c r="I118" s="1415"/>
      <c r="J118" s="1415"/>
      <c r="K118" s="1415"/>
      <c r="L118" s="1415"/>
      <c r="M118" s="1465"/>
      <c r="N118" s="1461"/>
      <c r="O118" s="1461"/>
      <c r="P118" s="1672"/>
      <c r="Q118" s="1380"/>
      <c r="R118" s="1254"/>
      <c r="S118" s="1254"/>
      <c r="T118" s="1254"/>
      <c r="U118" s="1254"/>
      <c r="V118" s="1254"/>
      <c r="W118" s="1254"/>
      <c r="X118" s="1254"/>
      <c r="Y118" s="1254"/>
      <c r="Z118" s="1254"/>
      <c r="AA118" s="1254"/>
      <c r="AB118" s="1254"/>
      <c r="AC118" s="1254"/>
    </row>
    <row r="119" ht="14.75" spans="1:29">
      <c r="A119" s="1443"/>
      <c r="B119" s="1616" t="s">
        <v>1622</v>
      </c>
      <c r="C119" s="1437"/>
      <c r="D119" s="1437"/>
      <c r="E119" s="1437"/>
      <c r="F119" s="1437"/>
      <c r="G119" s="1437"/>
      <c r="H119" s="1437"/>
      <c r="I119" s="1437"/>
      <c r="J119" s="1437"/>
      <c r="K119" s="1437"/>
      <c r="L119" s="1764"/>
      <c r="M119" s="1765"/>
      <c r="N119" s="1461"/>
      <c r="O119" s="1461"/>
      <c r="P119" s="1684"/>
      <c r="Q119" s="1627"/>
      <c r="R119" s="1254"/>
      <c r="S119" s="1254"/>
      <c r="T119" s="1254"/>
      <c r="U119" s="1254"/>
      <c r="V119" s="1254"/>
      <c r="W119" s="1254"/>
      <c r="X119" s="1254"/>
      <c r="Y119" s="1254"/>
      <c r="Z119" s="1254"/>
      <c r="AA119" s="1254"/>
      <c r="AB119" s="1254"/>
      <c r="AC119" s="1254"/>
    </row>
    <row r="120" ht="14.75" spans="1:29">
      <c r="A120" s="1409"/>
      <c r="B120" s="1414"/>
      <c r="C120" s="1433">
        <v>100</v>
      </c>
      <c r="D120" s="1415">
        <f>C120-$K41</f>
        <v>100</v>
      </c>
      <c r="E120" s="1415">
        <f t="shared" ref="E120:M120" si="29">D120-$K41</f>
        <v>100</v>
      </c>
      <c r="F120" s="1415">
        <f t="shared" si="29"/>
        <v>100</v>
      </c>
      <c r="G120" s="1415">
        <f t="shared" si="29"/>
        <v>100</v>
      </c>
      <c r="H120" s="1415">
        <f t="shared" si="29"/>
        <v>100</v>
      </c>
      <c r="I120" s="1415">
        <f t="shared" si="29"/>
        <v>100</v>
      </c>
      <c r="J120" s="1415">
        <f t="shared" si="29"/>
        <v>100</v>
      </c>
      <c r="K120" s="1415">
        <f t="shared" si="29"/>
        <v>100</v>
      </c>
      <c r="L120" s="1415">
        <f t="shared" si="29"/>
        <v>100</v>
      </c>
      <c r="M120" s="1415">
        <f t="shared" si="29"/>
        <v>100</v>
      </c>
      <c r="N120" s="1461"/>
      <c r="O120" s="1461"/>
      <c r="P120" s="1672"/>
      <c r="Q120" s="1380"/>
      <c r="R120" s="1254"/>
      <c r="S120" s="1254"/>
      <c r="T120" s="1254"/>
      <c r="U120" s="1254"/>
      <c r="V120" s="1254"/>
      <c r="W120" s="1254"/>
      <c r="X120" s="1254"/>
      <c r="Y120" s="1254"/>
      <c r="Z120" s="1254"/>
      <c r="AA120" s="1254"/>
      <c r="AB120" s="1254"/>
      <c r="AC120" s="1254"/>
    </row>
    <row r="121" s="1129" customFormat="1" ht="14.75" spans="1:29">
      <c r="A121" s="1440"/>
      <c r="B121" s="1412" t="s">
        <v>1067</v>
      </c>
      <c r="C121" s="1420"/>
      <c r="D121" s="1420"/>
      <c r="E121" s="1420"/>
      <c r="F121" s="1437"/>
      <c r="G121" s="1421"/>
      <c r="H121" s="1421"/>
      <c r="I121" s="1421"/>
      <c r="J121" s="1421"/>
      <c r="K121" s="1421"/>
      <c r="L121" s="1469"/>
      <c r="M121" s="1470"/>
      <c r="N121" s="1471"/>
      <c r="O121" s="1471"/>
      <c r="P121" s="1673"/>
      <c r="Q121" s="1503"/>
      <c r="R121" s="1504"/>
      <c r="S121" s="1504"/>
      <c r="T121" s="1504"/>
      <c r="U121" s="1504"/>
      <c r="V121" s="1504"/>
      <c r="W121" s="1504"/>
      <c r="X121" s="1504"/>
      <c r="Y121" s="1504"/>
      <c r="Z121" s="1504"/>
      <c r="AA121" s="1504"/>
      <c r="AB121" s="1504"/>
      <c r="AC121" s="1504"/>
    </row>
    <row r="122" s="1129" customFormat="1" ht="14.75" spans="1:29">
      <c r="A122" s="1419"/>
      <c r="B122" s="1410"/>
      <c r="C122" s="1422"/>
      <c r="D122" s="1422"/>
      <c r="E122" s="1422"/>
      <c r="F122" s="1422"/>
      <c r="G122" s="1422"/>
      <c r="H122" s="1422"/>
      <c r="I122" s="1422"/>
      <c r="J122" s="1422"/>
      <c r="K122" s="1422"/>
      <c r="L122" s="1422"/>
      <c r="M122" s="1422"/>
      <c r="N122" s="1471"/>
      <c r="O122" s="1471"/>
      <c r="P122" s="1673"/>
      <c r="Q122" s="1503"/>
      <c r="R122" s="1504"/>
      <c r="S122" s="1504"/>
      <c r="T122" s="1504"/>
      <c r="U122" s="1504"/>
      <c r="V122" s="1504"/>
      <c r="W122" s="1504"/>
      <c r="X122" s="1504"/>
      <c r="Y122" s="1504"/>
      <c r="Z122" s="1504"/>
      <c r="AA122" s="1504"/>
      <c r="AB122" s="1504"/>
      <c r="AC122" s="1504"/>
    </row>
    <row r="123" ht="14.75" spans="1:29">
      <c r="A123" s="1443"/>
      <c r="B123" s="1412" t="s">
        <v>1069</v>
      </c>
      <c r="C123" s="1420"/>
      <c r="D123" s="1420"/>
      <c r="E123" s="1420"/>
      <c r="F123" s="1437"/>
      <c r="G123" s="1437"/>
      <c r="H123" s="1437"/>
      <c r="I123" s="1437"/>
      <c r="J123" s="1437"/>
      <c r="K123" s="1488"/>
      <c r="L123" s="1489"/>
      <c r="M123" s="1490"/>
      <c r="N123" s="1458"/>
      <c r="O123" s="1458"/>
      <c r="P123" s="1672"/>
      <c r="Q123" s="1380"/>
      <c r="R123" s="1254"/>
      <c r="S123" s="1254"/>
      <c r="T123" s="1254"/>
      <c r="U123" s="1254"/>
      <c r="V123" s="1254"/>
      <c r="W123" s="1254"/>
      <c r="X123" s="1254"/>
      <c r="Y123" s="1254"/>
      <c r="Z123" s="1254"/>
      <c r="AA123" s="1254"/>
      <c r="AB123" s="1254"/>
      <c r="AC123" s="1254"/>
    </row>
    <row r="124" ht="14.75" spans="1:29">
      <c r="A124" s="1409"/>
      <c r="B124" s="1414"/>
      <c r="C124" s="1415">
        <v>100</v>
      </c>
      <c r="D124" s="1415">
        <f t="shared" ref="D124:M124" si="30">C124-$K43</f>
        <v>100</v>
      </c>
      <c r="E124" s="1415">
        <f t="shared" si="30"/>
        <v>100</v>
      </c>
      <c r="F124" s="1415">
        <f t="shared" si="30"/>
        <v>100</v>
      </c>
      <c r="G124" s="1415">
        <f t="shared" si="30"/>
        <v>100</v>
      </c>
      <c r="H124" s="1415">
        <f t="shared" si="30"/>
        <v>100</v>
      </c>
      <c r="I124" s="1415">
        <f t="shared" si="30"/>
        <v>100</v>
      </c>
      <c r="J124" s="1415">
        <f t="shared" si="30"/>
        <v>100</v>
      </c>
      <c r="K124" s="1415">
        <f t="shared" si="30"/>
        <v>100</v>
      </c>
      <c r="L124" s="1415">
        <f t="shared" si="30"/>
        <v>100</v>
      </c>
      <c r="M124" s="1465">
        <f t="shared" si="30"/>
        <v>100</v>
      </c>
      <c r="N124" s="1461"/>
      <c r="O124" s="1461"/>
      <c r="P124" s="1672"/>
      <c r="Q124" s="1380"/>
      <c r="R124" s="1254"/>
      <c r="S124" s="1254"/>
      <c r="T124" s="1254"/>
      <c r="U124" s="1254"/>
      <c r="V124" s="1254"/>
      <c r="W124" s="1254"/>
      <c r="X124" s="1254"/>
      <c r="Y124" s="1254"/>
      <c r="Z124" s="1254"/>
      <c r="AA124" s="1254"/>
      <c r="AB124" s="1254"/>
      <c r="AC124" s="1254"/>
    </row>
    <row r="125" ht="28.75" spans="1:29">
      <c r="A125" s="1443"/>
      <c r="B125" s="1412" t="s">
        <v>1071</v>
      </c>
      <c r="C125" s="1431" t="s">
        <v>1087</v>
      </c>
      <c r="D125" s="1431" t="s">
        <v>1088</v>
      </c>
      <c r="E125" s="1431" t="s">
        <v>1089</v>
      </c>
      <c r="F125" s="1431" t="s">
        <v>1090</v>
      </c>
      <c r="G125" s="1431" t="s">
        <v>1091</v>
      </c>
      <c r="H125" s="1413"/>
      <c r="I125" s="1413"/>
      <c r="J125" s="1413"/>
      <c r="K125" s="1462"/>
      <c r="L125" s="1463"/>
      <c r="M125" s="1464"/>
      <c r="N125" s="1458"/>
      <c r="O125" s="1458"/>
      <c r="P125" s="1673"/>
      <c r="Q125" s="1380"/>
      <c r="R125" s="1254"/>
      <c r="S125" s="1254"/>
      <c r="T125" s="1254"/>
      <c r="U125" s="1254"/>
      <c r="V125" s="1254"/>
      <c r="W125" s="1254"/>
      <c r="X125" s="1254"/>
      <c r="Y125" s="1254"/>
      <c r="Z125" s="1254"/>
      <c r="AA125" s="1254"/>
      <c r="AB125" s="1254"/>
      <c r="AC125" s="1254"/>
    </row>
    <row r="126" ht="14.75" spans="1:29">
      <c r="A126" s="1409"/>
      <c r="B126" s="1414"/>
      <c r="C126" s="1415">
        <v>100</v>
      </c>
      <c r="D126" s="1415">
        <f>C126-$K44</f>
        <v>100</v>
      </c>
      <c r="E126" s="1415">
        <f>D126-$K44</f>
        <v>100</v>
      </c>
      <c r="F126" s="1415">
        <f>E126-$K44</f>
        <v>100</v>
      </c>
      <c r="G126" s="1415">
        <f>F126-$K44</f>
        <v>100</v>
      </c>
      <c r="H126" s="1415"/>
      <c r="I126" s="1415"/>
      <c r="J126" s="1415"/>
      <c r="K126" s="1415"/>
      <c r="L126" s="1415"/>
      <c r="M126" s="1465"/>
      <c r="N126" s="1461"/>
      <c r="O126" s="1461"/>
      <c r="P126" s="1672"/>
      <c r="Q126" s="1380"/>
      <c r="R126" s="1254"/>
      <c r="S126" s="1254"/>
      <c r="T126" s="1254"/>
      <c r="U126" s="1254"/>
      <c r="V126" s="1254"/>
      <c r="W126" s="1254"/>
      <c r="X126" s="1254"/>
      <c r="Y126" s="1254"/>
      <c r="Z126" s="1254"/>
      <c r="AA126" s="1254"/>
      <c r="AB126" s="1254"/>
      <c r="AC126" s="1254"/>
    </row>
    <row r="127" s="1129" customFormat="1" ht="14.75" spans="1:29">
      <c r="A127" s="1440"/>
      <c r="B127" s="1412">
        <f>B45</f>
        <v>111</v>
      </c>
      <c r="C127" s="1420"/>
      <c r="D127" s="1420"/>
      <c r="E127" s="1420"/>
      <c r="F127" s="1420"/>
      <c r="G127" s="1420"/>
      <c r="H127" s="1421"/>
      <c r="I127" s="1421"/>
      <c r="J127" s="1421"/>
      <c r="K127" s="1421"/>
      <c r="L127" s="1469"/>
      <c r="M127" s="1470"/>
      <c r="N127" s="1471"/>
      <c r="O127" s="1471"/>
      <c r="P127" s="1673"/>
      <c r="Q127" s="1503"/>
      <c r="R127" s="1504"/>
      <c r="S127" s="1504"/>
      <c r="T127" s="1504"/>
      <c r="U127" s="1504"/>
      <c r="V127" s="1504"/>
      <c r="W127" s="1504"/>
      <c r="X127" s="1504"/>
      <c r="Y127" s="1504"/>
      <c r="Z127" s="1504"/>
      <c r="AA127" s="1504"/>
      <c r="AB127" s="1504"/>
      <c r="AC127" s="1504"/>
    </row>
    <row r="128" s="1129" customFormat="1" ht="14.75" spans="1:29">
      <c r="A128" s="1419"/>
      <c r="B128" s="1414"/>
      <c r="C128" s="1422"/>
      <c r="D128" s="1411"/>
      <c r="E128" s="1411"/>
      <c r="F128" s="1411"/>
      <c r="G128" s="1422"/>
      <c r="H128" s="1423"/>
      <c r="I128" s="1423"/>
      <c r="J128" s="1423"/>
      <c r="K128" s="1423"/>
      <c r="L128" s="1423"/>
      <c r="M128" s="1473"/>
      <c r="N128" s="1471"/>
      <c r="O128" s="1471"/>
      <c r="P128" s="1673"/>
      <c r="Q128" s="1503"/>
      <c r="R128" s="1504"/>
      <c r="S128" s="1504"/>
      <c r="T128" s="1504"/>
      <c r="U128" s="1504"/>
      <c r="V128" s="1504"/>
      <c r="W128" s="1504"/>
      <c r="X128" s="1504"/>
      <c r="Y128" s="1504"/>
      <c r="Z128" s="1504"/>
      <c r="AA128" s="1504"/>
      <c r="AB128" s="1504"/>
      <c r="AC128" s="1504"/>
    </row>
    <row r="129" ht="14.75" spans="1:29">
      <c r="A129" s="1443"/>
      <c r="B129" s="1412">
        <f>B46</f>
        <v>111</v>
      </c>
      <c r="C129" s="1420"/>
      <c r="D129" s="1420"/>
      <c r="E129" s="1420"/>
      <c r="F129" s="1420"/>
      <c r="G129" s="1437"/>
      <c r="H129" s="1437"/>
      <c r="I129" s="1437"/>
      <c r="J129" s="1437"/>
      <c r="K129" s="1488"/>
      <c r="L129" s="1489"/>
      <c r="M129" s="1490"/>
      <c r="N129" s="1458"/>
      <c r="O129" s="1458"/>
      <c r="P129" s="1672"/>
      <c r="Q129" s="1380"/>
      <c r="R129" s="1254"/>
      <c r="S129" s="1254"/>
      <c r="T129" s="1254"/>
      <c r="U129" s="1254"/>
      <c r="V129" s="1254"/>
      <c r="W129" s="1254"/>
      <c r="X129" s="1254"/>
      <c r="Y129" s="1254"/>
      <c r="Z129" s="1254"/>
      <c r="AA129" s="1254"/>
      <c r="AB129" s="1254"/>
      <c r="AC129" s="1254"/>
    </row>
    <row r="130" ht="14.75" spans="1:29">
      <c r="A130" s="1409"/>
      <c r="B130" s="1414"/>
      <c r="C130" s="1422"/>
      <c r="D130" s="1422"/>
      <c r="E130" s="1422"/>
      <c r="F130" s="1422"/>
      <c r="G130" s="1411"/>
      <c r="H130" s="1411"/>
      <c r="I130" s="1411"/>
      <c r="J130" s="1411"/>
      <c r="K130" s="1411"/>
      <c r="L130" s="1411"/>
      <c r="M130" s="1460"/>
      <c r="N130" s="1461"/>
      <c r="O130" s="1461"/>
      <c r="P130" s="1672"/>
      <c r="Q130" s="1380"/>
      <c r="R130" s="1254"/>
      <c r="S130" s="1254"/>
      <c r="T130" s="1254"/>
      <c r="U130" s="1254"/>
      <c r="V130" s="1254"/>
      <c r="W130" s="1254"/>
      <c r="X130" s="1254"/>
      <c r="Y130" s="1254"/>
      <c r="Z130" s="1254"/>
      <c r="AA130" s="1254"/>
      <c r="AB130" s="1254"/>
      <c r="AC130" s="1254"/>
    </row>
    <row r="131" ht="14.75" spans="1:29">
      <c r="A131" s="1443"/>
      <c r="B131" s="1416">
        <f>B47</f>
        <v>111</v>
      </c>
      <c r="C131" s="1404"/>
      <c r="D131" s="1404"/>
      <c r="E131" s="1404"/>
      <c r="F131" s="1404"/>
      <c r="G131" s="1438"/>
      <c r="H131" s="1438"/>
      <c r="I131" s="1438"/>
      <c r="J131" s="1438"/>
      <c r="K131" s="1404"/>
      <c r="L131" s="1450"/>
      <c r="M131" s="1493"/>
      <c r="N131" s="1458"/>
      <c r="O131" s="1458"/>
      <c r="P131" s="1672"/>
      <c r="Q131" s="1380"/>
      <c r="R131" s="1254"/>
      <c r="S131" s="1254"/>
      <c r="T131" s="1254"/>
      <c r="U131" s="1254"/>
      <c r="V131" s="1254"/>
      <c r="W131" s="1254"/>
      <c r="X131" s="1254"/>
      <c r="Y131" s="1254"/>
      <c r="Z131" s="1254"/>
      <c r="AA131" s="1254"/>
      <c r="AB131" s="1254"/>
      <c r="AC131" s="1254"/>
    </row>
    <row r="132" ht="14.75" spans="1:29">
      <c r="A132" s="1722"/>
      <c r="B132" s="1426"/>
      <c r="C132" s="1427"/>
      <c r="D132" s="1427"/>
      <c r="E132" s="1427"/>
      <c r="F132" s="1427"/>
      <c r="G132" s="1439"/>
      <c r="H132" s="1439"/>
      <c r="I132" s="1439"/>
      <c r="J132" s="1439"/>
      <c r="K132" s="1439"/>
      <c r="L132" s="1439"/>
      <c r="M132" s="1494"/>
      <c r="N132" s="1461"/>
      <c r="O132" s="1461"/>
      <c r="P132" s="1672"/>
      <c r="Q132" s="1380"/>
      <c r="R132" s="1254"/>
      <c r="S132" s="1254"/>
      <c r="T132" s="1254"/>
      <c r="U132" s="1254"/>
      <c r="V132" s="1254"/>
      <c r="W132" s="1254"/>
      <c r="X132" s="1254"/>
      <c r="Y132" s="1254"/>
      <c r="Z132" s="1254"/>
      <c r="AA132" s="1254"/>
      <c r="AB132" s="1254"/>
      <c r="AC132"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1005</v>
      </c>
      <c r="B1" s="1685" t="s">
        <v>1623</v>
      </c>
      <c r="C1" s="1550" t="s">
        <v>1007</v>
      </c>
      <c r="D1" s="1551"/>
      <c r="E1" s="1552"/>
      <c r="F1" s="1553"/>
      <c r="G1" s="1554" t="s">
        <v>1011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1012</v>
      </c>
      <c r="B2" s="1557" t="b">
        <f ca="1">IF(E1="项目模式",IF(C2="——",ROUND(C43*D3/10000,0),ROUND(C43*D3/10000,0)-D2),IF(E1="单套模式",IF(C2="——",ROUND(C43*D3/10000,4),ROUND(C43*D3/10000,4)-D2)))</f>
        <v>0</v>
      </c>
      <c r="C2" s="1558"/>
      <c r="D2" s="1506" t="e">
        <f ca="1">IF(E1="项目模式",SUMIF(INDIRECT("'"&amp;F2&amp;"'"&amp;"!A:A"),"承租人权益价值",INDIRECT("'"&amp;F2&amp;"'"&amp;"!c:c")),SUMIF(INDIRECT("'"&amp;F2&amp;"'"&amp;"!A:A"),"承租人权益价值（单套）",INDIRECT("'"&amp;F2&amp;"'"&amp;"!c:c")))</f>
        <v>#REF!</v>
      </c>
      <c r="E2" s="1559" t="s">
        <v>1013</v>
      </c>
      <c r="F2" s="1560"/>
      <c r="G2" s="1142"/>
      <c r="H2" s="1142"/>
      <c r="I2" s="1142"/>
      <c r="J2" s="1142"/>
      <c r="K2" s="1142"/>
      <c r="L2" s="1689"/>
      <c r="M2" s="1690"/>
      <c r="N2" s="1690"/>
      <c r="O2" s="1690"/>
      <c r="P2" s="1301"/>
      <c r="Q2" s="1301"/>
      <c r="R2" s="1301"/>
      <c r="S2" s="1301"/>
      <c r="T2" s="1301"/>
      <c r="U2" s="1301"/>
      <c r="V2" s="1301"/>
      <c r="W2" s="1301"/>
      <c r="X2" s="1301"/>
      <c r="Y2" s="1301"/>
      <c r="Z2" s="1301"/>
      <c r="AA2" s="1301"/>
      <c r="AB2" s="1301"/>
      <c r="AC2" s="1383"/>
    </row>
    <row r="3" s="1126" customFormat="1" ht="28.5" customHeight="1" spans="1:29">
      <c r="A3" s="409" t="s">
        <v>1014</v>
      </c>
      <c r="B3" s="1144">
        <f ca="1">IF(C2="——",C43,ROUND(B2*10000/D3,0))</f>
        <v>0</v>
      </c>
      <c r="C3" s="1561" t="s">
        <v>1015</v>
      </c>
      <c r="D3" s="1562">
        <f>IF(D1="",'数据-汇总表'!E3,SUMIF('数据-汇总表'!$C19:$C33,D1,'数据-汇总表'!$E19:$E33))</f>
        <v>54377.37</v>
      </c>
      <c r="E3" s="1142"/>
      <c r="F3" s="1143"/>
      <c r="G3" s="1142"/>
      <c r="H3" s="1142"/>
      <c r="I3" s="1142"/>
      <c r="J3" s="1142"/>
      <c r="K3" s="1302"/>
      <c r="L3" s="1689"/>
      <c r="M3" s="1690"/>
      <c r="N3" s="1690"/>
      <c r="O3" s="1690"/>
      <c r="P3" s="1301"/>
      <c r="Q3" s="1301"/>
      <c r="R3" s="1301"/>
      <c r="S3" s="1301"/>
      <c r="T3" s="1301"/>
      <c r="U3" s="1301"/>
      <c r="V3" s="1301"/>
      <c r="W3" s="1301"/>
      <c r="X3" s="1301"/>
      <c r="Y3" s="1301"/>
      <c r="Z3" s="1301"/>
      <c r="AA3" s="1301"/>
      <c r="AB3" s="1382"/>
      <c r="AC3" s="1383"/>
    </row>
    <row r="4" spans="1:29">
      <c r="A4" s="1146" t="s">
        <v>1016</v>
      </c>
      <c r="B4" s="1147"/>
      <c r="C4" s="1148" t="s">
        <v>1017</v>
      </c>
      <c r="D4" s="1149"/>
      <c r="E4" s="1150" t="s">
        <v>1018</v>
      </c>
      <c r="F4" s="1151"/>
      <c r="G4" s="1148" t="s">
        <v>1019</v>
      </c>
      <c r="H4" s="1149"/>
      <c r="I4" s="1148" t="s">
        <v>1020</v>
      </c>
      <c r="J4" s="1149"/>
      <c r="K4" s="1305" t="s">
        <v>1021</v>
      </c>
      <c r="L4" s="1691"/>
      <c r="M4" s="1692"/>
      <c r="N4" s="1692"/>
      <c r="O4" s="1692"/>
      <c r="P4" s="1308" t="s">
        <v>1022</v>
      </c>
      <c r="Q4" s="1356"/>
      <c r="R4" s="1357" t="s">
        <v>1018</v>
      </c>
      <c r="S4" s="1358"/>
      <c r="T4" s="1357" t="s">
        <v>1019</v>
      </c>
      <c r="U4" s="1358"/>
      <c r="V4" s="1346" t="s">
        <v>1020</v>
      </c>
      <c r="W4" s="1346"/>
      <c r="X4" s="1359"/>
      <c r="Y4" s="1357" t="s">
        <v>1022</v>
      </c>
      <c r="Z4" s="1358"/>
      <c r="AA4" s="1384" t="s">
        <v>1018</v>
      </c>
      <c r="AB4" s="1359" t="s">
        <v>1019</v>
      </c>
      <c r="AC4" s="1384" t="s">
        <v>1020</v>
      </c>
    </row>
    <row r="5" spans="1:29">
      <c r="A5" s="1152"/>
      <c r="B5" s="1153"/>
      <c r="C5" s="1154" t="s">
        <v>1023</v>
      </c>
      <c r="D5" s="1155"/>
      <c r="E5" s="1156" t="s">
        <v>1586</v>
      </c>
      <c r="F5" s="1157"/>
      <c r="G5" s="1154" t="s">
        <v>1587</v>
      </c>
      <c r="H5" s="1155"/>
      <c r="I5" s="1154" t="s">
        <v>1588</v>
      </c>
      <c r="J5" s="1155"/>
      <c r="K5" s="1305"/>
      <c r="L5" s="1691"/>
      <c r="M5" s="1692"/>
      <c r="N5" s="1692"/>
      <c r="O5" s="1692"/>
      <c r="P5" s="1309"/>
      <c r="Q5" s="1360"/>
      <c r="R5" s="1361"/>
      <c r="S5" s="1362"/>
      <c r="T5" s="1361"/>
      <c r="U5" s="1362"/>
      <c r="V5" s="1346"/>
      <c r="W5" s="1346"/>
      <c r="X5" s="1359"/>
      <c r="Y5" s="1361"/>
      <c r="Z5" s="1362"/>
      <c r="AA5" s="1359"/>
      <c r="AB5" s="1359"/>
      <c r="AC5" s="1359"/>
    </row>
    <row r="6" ht="14.75" spans="1:29">
      <c r="A6" s="1158"/>
      <c r="B6" s="1159"/>
      <c r="C6" s="1507" t="s">
        <v>1027</v>
      </c>
      <c r="D6" s="1508"/>
      <c r="E6" s="1509" t="s">
        <v>1027</v>
      </c>
      <c r="F6" s="1510"/>
      <c r="G6" s="1507" t="s">
        <v>1027</v>
      </c>
      <c r="H6" s="1508"/>
      <c r="I6" s="1507" t="s">
        <v>1027</v>
      </c>
      <c r="J6" s="1508"/>
      <c r="K6" s="1305" t="s">
        <v>1028</v>
      </c>
      <c r="L6" s="1691"/>
      <c r="M6" s="1692"/>
      <c r="N6" s="1692"/>
      <c r="O6" s="1692"/>
      <c r="P6" s="1310"/>
      <c r="Q6" s="1363"/>
      <c r="R6" s="1361"/>
      <c r="S6" s="1362"/>
      <c r="T6" s="1364"/>
      <c r="U6" s="1365"/>
      <c r="V6" s="1346"/>
      <c r="W6" s="1346"/>
      <c r="X6" s="1359"/>
      <c r="Y6" s="1364"/>
      <c r="Z6" s="1365"/>
      <c r="AA6" s="1385"/>
      <c r="AB6" s="1385"/>
      <c r="AC6" s="1385"/>
    </row>
    <row r="7" s="1127" customFormat="1" ht="14.75" spans="1:29">
      <c r="A7" s="1164" t="s">
        <v>1029</v>
      </c>
      <c r="B7" s="1165"/>
      <c r="C7" s="1166">
        <f>'数据-取费表'!B2</f>
        <v>45861</v>
      </c>
      <c r="D7" s="1167">
        <v>100</v>
      </c>
      <c r="E7" s="1168"/>
      <c r="F7" s="1169">
        <f>SUMIF(52:52,YEAR(E7)&amp;"-"&amp;MONTH(E7),53:53)</f>
        <v>0</v>
      </c>
      <c r="G7" s="1168"/>
      <c r="H7" s="1167">
        <f>SUMIF(52:52,YEAR(G7)&amp;"-"&amp;MONTH(G7),53:53)</f>
        <v>0</v>
      </c>
      <c r="I7" s="1168"/>
      <c r="J7" s="1167">
        <f>SUMIF(52:52,YEAR(I7)&amp;"-"&amp;MONTH(I7),53:53)</f>
        <v>0</v>
      </c>
      <c r="K7" s="1311"/>
      <c r="L7" s="1693"/>
      <c r="M7" s="1694"/>
      <c r="N7" s="1694"/>
      <c r="O7" s="1694"/>
      <c r="P7" s="1314" t="s">
        <v>1030</v>
      </c>
      <c r="Q7" s="1366"/>
      <c r="R7" s="1367" t="s">
        <v>1031</v>
      </c>
      <c r="S7" s="1368">
        <f t="shared" ref="S7:S15" si="0">F7</f>
        <v>0</v>
      </c>
      <c r="T7" s="1367" t="s">
        <v>1031</v>
      </c>
      <c r="U7" s="1368">
        <f t="shared" ref="U7:U15" si="1">H7</f>
        <v>0</v>
      </c>
      <c r="V7" s="1367" t="s">
        <v>1031</v>
      </c>
      <c r="W7" s="1368">
        <f t="shared" ref="W7:W15" si="2">J7</f>
        <v>0</v>
      </c>
      <c r="X7" s="1369"/>
      <c r="Y7" s="1314" t="s">
        <v>1030</v>
      </c>
      <c r="Z7" s="1370"/>
      <c r="AA7" s="1386" t="e">
        <f>D7/F7</f>
        <v>#DIV/0!</v>
      </c>
      <c r="AB7" s="1386" t="e">
        <f>D7/H7</f>
        <v>#DIV/0!</v>
      </c>
      <c r="AC7" s="1386" t="e">
        <f>D7/J7</f>
        <v>#DIV/0!</v>
      </c>
    </row>
    <row r="8" s="1127" customFormat="1" ht="14.75" spans="1:29">
      <c r="A8" s="1164" t="s">
        <v>1032</v>
      </c>
      <c r="B8" s="1165"/>
      <c r="C8" s="1171"/>
      <c r="D8" s="1167">
        <v>100</v>
      </c>
      <c r="E8" s="1171"/>
      <c r="F8" s="1169">
        <f>SUMIF(55:55,E8,56:56)-SUMIF(55:55,C8,56:56)+100</f>
        <v>100</v>
      </c>
      <c r="G8" s="1171"/>
      <c r="H8" s="1167">
        <f>SUMIF(55:55,G8,56:56)-SUMIF(55:55,C8,56:56)+100</f>
        <v>100</v>
      </c>
      <c r="I8" s="1171"/>
      <c r="J8" s="1167">
        <f>SUMIF(55:55,I8,56:56)-SUMIF(55:55,C8,56:56)+100</f>
        <v>100</v>
      </c>
      <c r="K8" s="1311"/>
      <c r="L8" s="1693"/>
      <c r="M8" s="1694"/>
      <c r="N8" s="1694"/>
      <c r="O8" s="1694"/>
      <c r="P8" s="1314" t="s">
        <v>1034</v>
      </c>
      <c r="Q8" s="1370"/>
      <c r="R8" s="1367" t="s">
        <v>1031</v>
      </c>
      <c r="S8" s="1368">
        <f t="shared" si="0"/>
        <v>100</v>
      </c>
      <c r="T8" s="1367" t="s">
        <v>1031</v>
      </c>
      <c r="U8" s="1368">
        <f t="shared" si="1"/>
        <v>100</v>
      </c>
      <c r="V8" s="1367" t="s">
        <v>1031</v>
      </c>
      <c r="W8" s="1368">
        <f t="shared" si="2"/>
        <v>100</v>
      </c>
      <c r="X8" s="1369"/>
      <c r="Y8" s="1314" t="s">
        <v>1034</v>
      </c>
      <c r="Z8" s="1370"/>
      <c r="AA8" s="1386">
        <f t="shared" ref="AA8:AA40" si="3">D8/F8</f>
        <v>1</v>
      </c>
      <c r="AB8" s="1386">
        <f t="shared" ref="AB8:AB40" si="4">D8/H8</f>
        <v>1</v>
      </c>
      <c r="AC8" s="1386">
        <f t="shared" ref="AC8:AC40" si="5">D8/J8</f>
        <v>1</v>
      </c>
    </row>
    <row r="9" s="1127" customFormat="1" spans="1:29">
      <c r="A9" s="1172" t="s">
        <v>1035</v>
      </c>
      <c r="B9" s="1173" t="s">
        <v>1036</v>
      </c>
      <c r="C9" s="1563"/>
      <c r="D9" s="1175">
        <v>100</v>
      </c>
      <c r="E9" s="1564"/>
      <c r="F9" s="1175">
        <f>SUMIF(57:57,E9,58:58)-SUMIF(57:57,C9,58:58)+100</f>
        <v>100</v>
      </c>
      <c r="G9" s="1633"/>
      <c r="H9" s="1175">
        <f>SUMIF(57:57,G9,58:58)-SUMIF(57:57,C9,58:58)+100</f>
        <v>100</v>
      </c>
      <c r="I9" s="1633"/>
      <c r="J9" s="1175">
        <f>SUMIF(57:57,I9,58:58)-SUMIF(57:57,C9,58:58)+100</f>
        <v>100</v>
      </c>
      <c r="K9" s="1311"/>
      <c r="L9" s="1693"/>
      <c r="M9" s="1694"/>
      <c r="N9" s="1694"/>
      <c r="O9" s="1695"/>
      <c r="P9" s="712" t="s">
        <v>1037</v>
      </c>
      <c r="Q9" s="1371" t="str">
        <f t="shared" ref="Q9:Q15" si="6">B9</f>
        <v>用途</v>
      </c>
      <c r="R9" s="1367" t="s">
        <v>1031</v>
      </c>
      <c r="S9" s="1368">
        <f t="shared" si="0"/>
        <v>100</v>
      </c>
      <c r="T9" s="1367" t="s">
        <v>1031</v>
      </c>
      <c r="U9" s="1368">
        <f t="shared" si="1"/>
        <v>100</v>
      </c>
      <c r="V9" s="1367" t="s">
        <v>1031</v>
      </c>
      <c r="W9" s="1368">
        <f t="shared" si="2"/>
        <v>100</v>
      </c>
      <c r="X9" s="1369"/>
      <c r="Y9" s="1371" t="s">
        <v>1038</v>
      </c>
      <c r="Z9" s="1387" t="str">
        <f t="shared" ref="Z9:Z15" si="7">Q9</f>
        <v>用途</v>
      </c>
      <c r="AA9" s="1386">
        <f t="shared" si="3"/>
        <v>1</v>
      </c>
      <c r="AB9" s="1386">
        <f t="shared" si="4"/>
        <v>1</v>
      </c>
      <c r="AC9" s="1386">
        <f t="shared" si="5"/>
        <v>1</v>
      </c>
    </row>
    <row r="10" s="1128" customFormat="1" ht="28" spans="1:29">
      <c r="A10" s="1176"/>
      <c r="B10" s="1177" t="s">
        <v>1039</v>
      </c>
      <c r="C10" s="1566"/>
      <c r="D10" s="1179">
        <v>100</v>
      </c>
      <c r="E10" s="1566"/>
      <c r="F10" s="1179">
        <f>SUMIF(59:59,E10,60:60)-SUMIF(59:59,C10,60:60)+100</f>
        <v>100</v>
      </c>
      <c r="G10" s="1636"/>
      <c r="H10" s="1179">
        <f>SUMIF(59:59,G10,60:60)-SUMIF(59:59,C10,60:60)+100</f>
        <v>100</v>
      </c>
      <c r="I10" s="1566"/>
      <c r="J10" s="1179">
        <f>SUMIF(59:59,I10,60:60)-SUMIF(59:59,C10,60:60)+100</f>
        <v>100</v>
      </c>
      <c r="K10" s="1311"/>
      <c r="L10" s="1696"/>
      <c r="M10" s="1697"/>
      <c r="N10" s="1697"/>
      <c r="O10" s="1698"/>
      <c r="P10" s="712"/>
      <c r="Q10" s="1371" t="str">
        <f t="shared" si="6"/>
        <v>土地使用年限（年）</v>
      </c>
      <c r="R10" s="1367" t="s">
        <v>1031</v>
      </c>
      <c r="S10" s="1368">
        <f t="shared" si="0"/>
        <v>100</v>
      </c>
      <c r="T10" s="1367" t="s">
        <v>1031</v>
      </c>
      <c r="U10" s="1368">
        <f t="shared" si="1"/>
        <v>100</v>
      </c>
      <c r="V10" s="1367" t="s">
        <v>1031</v>
      </c>
      <c r="W10" s="1368">
        <f t="shared" si="2"/>
        <v>100</v>
      </c>
      <c r="X10" s="1369"/>
      <c r="Y10" s="1371"/>
      <c r="Z10" s="1387" t="str">
        <f t="shared" si="7"/>
        <v>土地使用年限（年）</v>
      </c>
      <c r="AA10" s="1386">
        <f t="shared" si="3"/>
        <v>1</v>
      </c>
      <c r="AB10" s="1386">
        <f t="shared" si="4"/>
        <v>1</v>
      </c>
      <c r="AC10" s="1386">
        <f t="shared" si="5"/>
        <v>1</v>
      </c>
    </row>
    <row r="11" ht="15.5" spans="1:29">
      <c r="A11" s="1180"/>
      <c r="B11" s="1177" t="s">
        <v>1042</v>
      </c>
      <c r="C11" s="1182"/>
      <c r="D11" s="1179">
        <v>100</v>
      </c>
      <c r="E11" s="1182"/>
      <c r="F11" s="1179">
        <f>LOOKUP(E11,62:62,63:63)-LOOKUP(C11,62:62,63:63)+100</f>
        <v>100</v>
      </c>
      <c r="G11" s="1183"/>
      <c r="H11" s="1179">
        <f>LOOKUP(G11,62:62,63:63)-LOOKUP(C11,62:62,63:63)+100</f>
        <v>100</v>
      </c>
      <c r="I11" s="1182"/>
      <c r="J11" s="1179">
        <f>LOOKUP(I11,62:62,63:63)-LOOKUP(C11,62:62,63:63)+100</f>
        <v>100</v>
      </c>
      <c r="K11" s="1330"/>
      <c r="L11" s="1699"/>
      <c r="M11" s="1692"/>
      <c r="N11" s="1692"/>
      <c r="O11" s="1700"/>
      <c r="P11" s="712"/>
      <c r="Q11" s="1371" t="str">
        <f t="shared" si="6"/>
        <v>容积率</v>
      </c>
      <c r="R11" s="1367" t="s">
        <v>1031</v>
      </c>
      <c r="S11" s="1368">
        <f t="shared" si="0"/>
        <v>100</v>
      </c>
      <c r="T11" s="1367" t="s">
        <v>1031</v>
      </c>
      <c r="U11" s="1368">
        <f t="shared" si="1"/>
        <v>100</v>
      </c>
      <c r="V11" s="1367" t="s">
        <v>1031</v>
      </c>
      <c r="W11" s="1368">
        <f t="shared" si="2"/>
        <v>100</v>
      </c>
      <c r="X11" s="1369"/>
      <c r="Y11" s="1371"/>
      <c r="Z11" s="1387" t="str">
        <f t="shared" si="7"/>
        <v>容积率</v>
      </c>
      <c r="AA11" s="1386">
        <f t="shared" si="3"/>
        <v>1</v>
      </c>
      <c r="AB11" s="1386">
        <f t="shared" si="4"/>
        <v>1</v>
      </c>
      <c r="AC11" s="1386">
        <f t="shared" si="5"/>
        <v>1</v>
      </c>
    </row>
    <row r="12" s="1127" customFormat="1" ht="15.5" spans="1:29">
      <c r="A12" s="1184"/>
      <c r="B12" s="1185">
        <v>111</v>
      </c>
      <c r="C12" s="1178"/>
      <c r="D12" s="1186">
        <v>100</v>
      </c>
      <c r="E12" s="1189"/>
      <c r="F12" s="1179">
        <f>SUMIF(64:64,E12,65:65)-SUMIF(64:64,C12,65:65)+100</f>
        <v>100</v>
      </c>
      <c r="G12" s="1686"/>
      <c r="H12" s="1179">
        <f>SUMIF(64:64,G12,65:65)-SUMIF(64:64,C12,65:65)+100</f>
        <v>100</v>
      </c>
      <c r="I12" s="1568"/>
      <c r="J12" s="1179">
        <f>SUMIF(64:64,I12,65:65)-SUMIF(64:64,C12,65:65)+100</f>
        <v>100</v>
      </c>
      <c r="K12" s="1329"/>
      <c r="L12" s="1693"/>
      <c r="M12" s="1694"/>
      <c r="N12" s="1694"/>
      <c r="O12" s="1695"/>
      <c r="P12" s="712"/>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386">
        <f t="shared" si="5"/>
        <v>1</v>
      </c>
    </row>
    <row r="13" ht="15.5" spans="1:29">
      <c r="A13" s="1180"/>
      <c r="B13" s="1185">
        <v>111</v>
      </c>
      <c r="C13" s="1189"/>
      <c r="D13" s="1190">
        <v>100</v>
      </c>
      <c r="E13" s="1189"/>
      <c r="F13" s="1179">
        <f>SUMIF(66:66,E13,67:67)-SUMIF(66:66,C13,67:67)+100</f>
        <v>100</v>
      </c>
      <c r="G13" s="1686"/>
      <c r="H13" s="1190">
        <f>SUMIF(66:66,G13,67:67)-SUMIF(66:66,C13,67:67)+100</f>
        <v>100</v>
      </c>
      <c r="I13" s="1568"/>
      <c r="J13" s="1190">
        <f>SUMIF(66:66,I13,67:67)-SUMIF(66:66,C13,67:67)+100</f>
        <v>100</v>
      </c>
      <c r="K13" s="1329"/>
      <c r="L13" s="1701"/>
      <c r="M13" s="1692"/>
      <c r="N13" s="1692"/>
      <c r="O13" s="1700"/>
      <c r="P13" s="712"/>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93"/>
      <c r="F14" s="1194">
        <f>SUMIF(68:68,E14,69:69)-SUMIF(68:68,C14,69:69)+100</f>
        <v>100</v>
      </c>
      <c r="G14" s="1686"/>
      <c r="H14" s="1194">
        <f>SUMIF(68:68,G14,69:69)-SUMIF(68:68,C14,69:69)+100</f>
        <v>100</v>
      </c>
      <c r="I14" s="1568"/>
      <c r="J14" s="1194">
        <f>SUMIF(68:68,I14,69:69)-SUMIF(68:68,C14,69:69)+100</f>
        <v>100</v>
      </c>
      <c r="K14" s="1329"/>
      <c r="L14" s="1701"/>
      <c r="M14" s="1692"/>
      <c r="N14" s="1692"/>
      <c r="O14" s="1700"/>
      <c r="P14" s="712"/>
      <c r="Q14" s="1371">
        <f t="shared" si="6"/>
        <v>111</v>
      </c>
      <c r="R14" s="1367" t="s">
        <v>1031</v>
      </c>
      <c r="S14" s="1368">
        <f t="shared" si="0"/>
        <v>100</v>
      </c>
      <c r="T14" s="1367" t="s">
        <v>1031</v>
      </c>
      <c r="U14" s="1368">
        <f t="shared" si="1"/>
        <v>100</v>
      </c>
      <c r="V14" s="1367" t="s">
        <v>1031</v>
      </c>
      <c r="W14" s="1368">
        <f t="shared" si="2"/>
        <v>100</v>
      </c>
      <c r="X14" s="1369"/>
      <c r="Y14" s="1371"/>
      <c r="Z14" s="1387">
        <f t="shared" si="7"/>
        <v>111</v>
      </c>
      <c r="AA14" s="1386">
        <f t="shared" si="3"/>
        <v>1</v>
      </c>
      <c r="AB14" s="1386">
        <f t="shared" si="4"/>
        <v>1</v>
      </c>
      <c r="AC14" s="1386">
        <f t="shared" si="5"/>
        <v>1</v>
      </c>
    </row>
    <row r="15" ht="70" spans="1:29">
      <c r="A15" s="1195" t="s">
        <v>1043</v>
      </c>
      <c r="B15" s="1514" t="s">
        <v>1624</v>
      </c>
      <c r="C15" s="1197" t="str">
        <f>估价对象房地状况!G3</f>
        <v>估价对象位于XX开发区，园区建设成熟度XX，产业集聚程度XX</v>
      </c>
      <c r="D15" s="1198">
        <v>100</v>
      </c>
      <c r="E15" s="1199"/>
      <c r="F15" s="1570">
        <f>SUMIF(70:70,E16,71:71)-SUMIF(70:70,C16,71:71)+100</f>
        <v>100</v>
      </c>
      <c r="G15" s="1324"/>
      <c r="H15" s="1198">
        <f>SUMIF(70:70,G16,71:71)-SUMIF(70:70,C16,71:71)+100</f>
        <v>100</v>
      </c>
      <c r="I15" s="1199"/>
      <c r="J15" s="1198">
        <f>SUMIF(70:70,I16,71:71)-SUMIF(70:70,C16,71:71)+100</f>
        <v>100</v>
      </c>
      <c r="K15" s="1609"/>
      <c r="L15" s="1701"/>
      <c r="M15" s="1692"/>
      <c r="N15" s="1692"/>
      <c r="O15" s="1700"/>
      <c r="P15" s="1325" t="s">
        <v>1045</v>
      </c>
      <c r="Q15" s="712" t="str">
        <f t="shared" si="6"/>
        <v>产业集聚程度</v>
      </c>
      <c r="R15" s="1372" t="s">
        <v>1031</v>
      </c>
      <c r="S15" s="1373">
        <f t="shared" si="0"/>
        <v>100</v>
      </c>
      <c r="T15" s="1372" t="s">
        <v>1031</v>
      </c>
      <c r="U15" s="1373">
        <f t="shared" si="1"/>
        <v>100</v>
      </c>
      <c r="V15" s="1372" t="s">
        <v>1031</v>
      </c>
      <c r="W15" s="1373">
        <f t="shared" si="2"/>
        <v>100</v>
      </c>
      <c r="X15" s="1359"/>
      <c r="Y15" s="1325" t="s">
        <v>1045</v>
      </c>
      <c r="Z15" s="1346" t="str">
        <f t="shared" si="7"/>
        <v>产业集聚程度</v>
      </c>
      <c r="AA15" s="1388">
        <f t="shared" si="3"/>
        <v>1</v>
      </c>
      <c r="AB15" s="1388">
        <f t="shared" si="4"/>
        <v>1</v>
      </c>
      <c r="AC15" s="1388">
        <f t="shared" si="5"/>
        <v>1</v>
      </c>
    </row>
    <row r="16" ht="15.5" spans="1:29">
      <c r="A16" s="1180"/>
      <c r="B16" s="1516"/>
      <c r="C16" s="1201"/>
      <c r="D16" s="1202"/>
      <c r="E16" s="1201"/>
      <c r="F16" s="1571"/>
      <c r="G16" s="1201"/>
      <c r="H16" s="1203"/>
      <c r="I16" s="1201"/>
      <c r="J16" s="1202"/>
      <c r="K16" s="1610"/>
      <c r="L16" s="1701"/>
      <c r="M16" s="1692"/>
      <c r="N16" s="1692"/>
      <c r="O16" s="1700"/>
      <c r="P16" s="1326"/>
      <c r="Q16" s="712"/>
      <c r="R16" s="1372"/>
      <c r="S16" s="1373"/>
      <c r="T16" s="1372"/>
      <c r="U16" s="1373"/>
      <c r="V16" s="1372"/>
      <c r="W16" s="1373"/>
      <c r="X16" s="1359"/>
      <c r="Y16" s="1326"/>
      <c r="Z16" s="1346"/>
      <c r="AA16" s="1388">
        <v>1</v>
      </c>
      <c r="AB16" s="1388">
        <v>1</v>
      </c>
      <c r="AC16" s="1388">
        <v>1</v>
      </c>
    </row>
    <row r="17" ht="98" spans="1:29">
      <c r="A17" s="1180"/>
      <c r="B17" s="1518" t="s">
        <v>1048</v>
      </c>
      <c r="C17" s="1205" t="str">
        <f>估价对象房地状况!G4</f>
        <v>估价对象周边道路状况、公共交通通达情况、停车便捷程度，综合评价交通便捷度较好</v>
      </c>
      <c r="D17" s="1203">
        <v>100</v>
      </c>
      <c r="E17" s="1206"/>
      <c r="F17" s="1573">
        <f>SUMIF(72:72,E18,73:73)-SUMIF(72:72,C18,73:73)+100</f>
        <v>100</v>
      </c>
      <c r="G17" s="1327"/>
      <c r="H17" s="1207">
        <f>SUMIF(72:72,G18,73:73)-SUMIF(72:72,C18,73:73)+100</f>
        <v>100</v>
      </c>
      <c r="I17" s="1206"/>
      <c r="J17" s="1207">
        <f>SUMIF(72:72,I18,73:73)-SUMIF(72:72,C18,73:73)+100</f>
        <v>100</v>
      </c>
      <c r="K17" s="1609"/>
      <c r="L17" s="1701"/>
      <c r="M17" s="1692"/>
      <c r="N17" s="1692"/>
      <c r="O17" s="1700"/>
      <c r="P17" s="1326"/>
      <c r="Q17" s="712" t="str">
        <f>B17</f>
        <v>交通便捷度</v>
      </c>
      <c r="R17" s="1372" t="s">
        <v>1031</v>
      </c>
      <c r="S17" s="1373">
        <f>F17</f>
        <v>100</v>
      </c>
      <c r="T17" s="1372" t="s">
        <v>1031</v>
      </c>
      <c r="U17" s="1373">
        <f>H17</f>
        <v>100</v>
      </c>
      <c r="V17" s="1372" t="s">
        <v>1031</v>
      </c>
      <c r="W17" s="1373">
        <f>J17</f>
        <v>100</v>
      </c>
      <c r="X17" s="1359"/>
      <c r="Y17" s="1326"/>
      <c r="Z17" s="1346" t="str">
        <f>Q17</f>
        <v>交通便捷度</v>
      </c>
      <c r="AA17" s="1388">
        <f t="shared" si="3"/>
        <v>1</v>
      </c>
      <c r="AB17" s="1388">
        <f t="shared" si="4"/>
        <v>1</v>
      </c>
      <c r="AC17" s="1388">
        <f t="shared" si="5"/>
        <v>1</v>
      </c>
    </row>
    <row r="18" ht="15.5" spans="1:29">
      <c r="A18" s="1180"/>
      <c r="B18" s="1227"/>
      <c r="C18" s="1519"/>
      <c r="D18" s="1203"/>
      <c r="E18" s="1520"/>
      <c r="F18" s="1573"/>
      <c r="G18" s="1530"/>
      <c r="H18" s="1202"/>
      <c r="I18" s="1520"/>
      <c r="J18" s="1202"/>
      <c r="K18" s="1610"/>
      <c r="L18" s="1701"/>
      <c r="M18" s="1692"/>
      <c r="N18" s="1692"/>
      <c r="O18" s="1700"/>
      <c r="P18" s="1326"/>
      <c r="Q18" s="712"/>
      <c r="R18" s="1372"/>
      <c r="S18" s="1373"/>
      <c r="T18" s="1372"/>
      <c r="U18" s="1373"/>
      <c r="V18" s="1372"/>
      <c r="W18" s="1373"/>
      <c r="X18" s="1359"/>
      <c r="Y18" s="1326"/>
      <c r="Z18" s="1346"/>
      <c r="AA18" s="1388">
        <v>1</v>
      </c>
      <c r="AB18" s="1388">
        <v>1</v>
      </c>
      <c r="AC18" s="1388">
        <v>1</v>
      </c>
    </row>
    <row r="19" ht="42" spans="1:29">
      <c r="A19" s="1180"/>
      <c r="B19" s="1518" t="s">
        <v>1049</v>
      </c>
      <c r="C19" s="1205" t="str">
        <f>估价对象房地状况!G5</f>
        <v>估价对象所在区域公共配套设施齐备情况</v>
      </c>
      <c r="D19" s="1207">
        <v>100</v>
      </c>
      <c r="E19" s="1521"/>
      <c r="F19" s="1572">
        <f>SUMIF(74:74,E20,75:75)-SUMIF(74:74,C20,75:75)+100</f>
        <v>100</v>
      </c>
      <c r="G19" s="1531"/>
      <c r="H19" s="1203">
        <f>SUMIF(74:74,G20,75:75)-SUMIF(74:74,C20,75:75)+100</f>
        <v>100</v>
      </c>
      <c r="I19" s="1521"/>
      <c r="J19" s="1203">
        <f>SUMIF(74:74,I20,75:75)-SUMIF(74:74,C20,75:75)+100</f>
        <v>100</v>
      </c>
      <c r="K19" s="1609"/>
      <c r="L19" s="1701"/>
      <c r="M19" s="1692"/>
      <c r="N19" s="1692"/>
      <c r="O19" s="1700"/>
      <c r="P19" s="1326"/>
      <c r="Q19" s="712" t="str">
        <f>B19</f>
        <v>公共配套设施</v>
      </c>
      <c r="R19" s="1372" t="s">
        <v>1031</v>
      </c>
      <c r="S19" s="1373">
        <f>F19</f>
        <v>100</v>
      </c>
      <c r="T19" s="1372" t="s">
        <v>1031</v>
      </c>
      <c r="U19" s="1373">
        <f>H19</f>
        <v>100</v>
      </c>
      <c r="V19" s="1372" t="s">
        <v>1031</v>
      </c>
      <c r="W19" s="1373">
        <f>J19</f>
        <v>100</v>
      </c>
      <c r="X19" s="1359"/>
      <c r="Y19" s="1326"/>
      <c r="Z19" s="1346" t="str">
        <f>Q19</f>
        <v>公共配套设施</v>
      </c>
      <c r="AA19" s="1388">
        <f t="shared" si="3"/>
        <v>1</v>
      </c>
      <c r="AB19" s="1388">
        <f t="shared" si="4"/>
        <v>1</v>
      </c>
      <c r="AC19" s="1388">
        <f t="shared" si="5"/>
        <v>1</v>
      </c>
    </row>
    <row r="20" ht="15.5" spans="1:29">
      <c r="A20" s="1180"/>
      <c r="B20" s="1227"/>
      <c r="C20" s="1201"/>
      <c r="D20" s="1202"/>
      <c r="E20" s="1517"/>
      <c r="F20" s="1571"/>
      <c r="G20" s="1523"/>
      <c r="H20" s="1202"/>
      <c r="I20" s="1517"/>
      <c r="J20" s="1202"/>
      <c r="K20" s="1610"/>
      <c r="L20" s="1701"/>
      <c r="M20" s="1692"/>
      <c r="N20" s="1692"/>
      <c r="O20" s="1700"/>
      <c r="P20" s="1326"/>
      <c r="Q20" s="712"/>
      <c r="R20" s="1372"/>
      <c r="S20" s="1373"/>
      <c r="T20" s="1372"/>
      <c r="U20" s="1373"/>
      <c r="V20" s="1372"/>
      <c r="W20" s="1373"/>
      <c r="X20" s="1359"/>
      <c r="Y20" s="1326"/>
      <c r="Z20" s="1346"/>
      <c r="AA20" s="1388">
        <v>1</v>
      </c>
      <c r="AB20" s="1388">
        <v>1</v>
      </c>
      <c r="AC20" s="1388">
        <v>1</v>
      </c>
    </row>
    <row r="21" ht="42" spans="1:29">
      <c r="A21" s="1180"/>
      <c r="B21" s="1522" t="s">
        <v>1050</v>
      </c>
      <c r="C21" s="1205" t="str">
        <f>估价对象房地状况!G6</f>
        <v>估价对象所在区域基础设施水平</v>
      </c>
      <c r="D21" s="1203">
        <v>100</v>
      </c>
      <c r="E21" s="1521"/>
      <c r="F21" s="1572">
        <f>SUMIF(76:76,E22,77:77)-SUMIF(76:76,C22,77:77)+100</f>
        <v>100</v>
      </c>
      <c r="G21" s="1531"/>
      <c r="H21" s="1203">
        <f>SUMIF(76:76,G22,77:77)-SUMIF(76:76,C22,77:77)+100</f>
        <v>100</v>
      </c>
      <c r="I21" s="1521"/>
      <c r="J21" s="1203">
        <f>SUMIF(76:76,I22,77:77)-SUMIF(76:76,C22,77:77)+100</f>
        <v>100</v>
      </c>
      <c r="K21" s="1609"/>
      <c r="L21" s="1701"/>
      <c r="M21" s="1692"/>
      <c r="N21" s="1692"/>
      <c r="O21" s="1700"/>
      <c r="P21" s="1326"/>
      <c r="Q21" s="712" t="str">
        <f>B21</f>
        <v>基础设施水平</v>
      </c>
      <c r="R21" s="1372" t="s">
        <v>1031</v>
      </c>
      <c r="S21" s="1373">
        <f>F21</f>
        <v>100</v>
      </c>
      <c r="T21" s="1372" t="s">
        <v>1031</v>
      </c>
      <c r="U21" s="1373">
        <f>H21</f>
        <v>100</v>
      </c>
      <c r="V21" s="1372" t="s">
        <v>1031</v>
      </c>
      <c r="W21" s="1373">
        <f>J21</f>
        <v>100</v>
      </c>
      <c r="X21" s="1359"/>
      <c r="Y21" s="1326"/>
      <c r="Z21" s="1346" t="str">
        <f>Q21</f>
        <v>基础设施水平</v>
      </c>
      <c r="AA21" s="1388">
        <f t="shared" ref="AA21" si="8">D21/F21</f>
        <v>1</v>
      </c>
      <c r="AB21" s="1388">
        <f t="shared" ref="AB21" si="9">D21/H21</f>
        <v>1</v>
      </c>
      <c r="AC21" s="1388">
        <f t="shared" ref="AC21" si="10">D21/J21</f>
        <v>1</v>
      </c>
    </row>
    <row r="22" ht="15.5" spans="1:29">
      <c r="A22" s="1180"/>
      <c r="B22" s="1522"/>
      <c r="C22" s="1519"/>
      <c r="D22" s="1202"/>
      <c r="E22" s="1201"/>
      <c r="F22" s="1571"/>
      <c r="G22" s="1201"/>
      <c r="H22" s="1202"/>
      <c r="I22" s="1201"/>
      <c r="J22" s="1202"/>
      <c r="K22" s="1611"/>
      <c r="L22" s="1701"/>
      <c r="M22" s="1692"/>
      <c r="N22" s="1692"/>
      <c r="O22" s="1700"/>
      <c r="P22" s="1326"/>
      <c r="Q22" s="712"/>
      <c r="R22" s="1372"/>
      <c r="S22" s="1373"/>
      <c r="T22" s="1372"/>
      <c r="U22" s="1373"/>
      <c r="V22" s="1372"/>
      <c r="W22" s="1373"/>
      <c r="X22" s="1359"/>
      <c r="Y22" s="1326"/>
      <c r="Z22" s="1346"/>
      <c r="AA22" s="1388">
        <v>1</v>
      </c>
      <c r="AB22" s="1388">
        <v>1</v>
      </c>
      <c r="AC22" s="1388">
        <v>1</v>
      </c>
    </row>
    <row r="23" ht="84" spans="1:29">
      <c r="A23" s="1180"/>
      <c r="B23" s="1518" t="s">
        <v>1618</v>
      </c>
      <c r="C23" s="1205" t="str">
        <f>估价对象房地状况!G7</f>
        <v>该园区内是否有污染型企业，绿化情况，卫生条件，整体环境状况判断</v>
      </c>
      <c r="D23" s="1203">
        <v>100</v>
      </c>
      <c r="E23" s="1206"/>
      <c r="F23" s="1573">
        <f>SUMIF(78:78,E24,79:79)-SUMIF(78:78,C24,79:79)+100</f>
        <v>100</v>
      </c>
      <c r="G23" s="1327"/>
      <c r="H23" s="1203">
        <f>SUMIF(78:78,G24,79:79)-SUMIF(78:78,C24,79:79)+100</f>
        <v>100</v>
      </c>
      <c r="I23" s="1206"/>
      <c r="J23" s="1203">
        <f>SUMIF(78:78,I24,79:79)-SUMIF(78:78,C24,79:79)+100</f>
        <v>100</v>
      </c>
      <c r="K23" s="1609"/>
      <c r="L23" s="1701"/>
      <c r="M23" s="1692"/>
      <c r="N23" s="1692"/>
      <c r="O23" s="1700"/>
      <c r="P23" s="1326"/>
      <c r="Q23" s="712" t="str">
        <f>B23</f>
        <v>环境质量</v>
      </c>
      <c r="R23" s="1372" t="s">
        <v>1031</v>
      </c>
      <c r="S23" s="1373">
        <f>F23</f>
        <v>100</v>
      </c>
      <c r="T23" s="1372" t="s">
        <v>1031</v>
      </c>
      <c r="U23" s="1373">
        <f>H23</f>
        <v>100</v>
      </c>
      <c r="V23" s="1372" t="s">
        <v>1031</v>
      </c>
      <c r="W23" s="1373">
        <f>J23</f>
        <v>100</v>
      </c>
      <c r="X23" s="1359"/>
      <c r="Y23" s="1326"/>
      <c r="Z23" s="1346" t="str">
        <f>Q23</f>
        <v>环境质量</v>
      </c>
      <c r="AA23" s="1388">
        <f t="shared" si="3"/>
        <v>1</v>
      </c>
      <c r="AB23" s="1388">
        <f t="shared" si="4"/>
        <v>1</v>
      </c>
      <c r="AC23" s="1388">
        <f t="shared" si="5"/>
        <v>1</v>
      </c>
    </row>
    <row r="24" ht="15.5" spans="1:29">
      <c r="A24" s="1180"/>
      <c r="B24" s="1522"/>
      <c r="C24" s="1201"/>
      <c r="D24" s="1202"/>
      <c r="E24" s="1517"/>
      <c r="F24" s="1571"/>
      <c r="G24" s="1523"/>
      <c r="H24" s="1202"/>
      <c r="I24" s="1517"/>
      <c r="J24" s="1202"/>
      <c r="K24" s="1610"/>
      <c r="L24" s="1701"/>
      <c r="M24" s="1692"/>
      <c r="N24" s="1692"/>
      <c r="O24" s="1700"/>
      <c r="P24" s="1326"/>
      <c r="Q24" s="712"/>
      <c r="R24" s="1372"/>
      <c r="S24" s="1373"/>
      <c r="T24" s="1372"/>
      <c r="U24" s="1373"/>
      <c r="V24" s="1372"/>
      <c r="W24" s="1373"/>
      <c r="X24" s="1359"/>
      <c r="Y24" s="1326"/>
      <c r="Z24" s="1346"/>
      <c r="AA24" s="1388">
        <v>1</v>
      </c>
      <c r="AB24" s="1388">
        <v>1</v>
      </c>
      <c r="AC24" s="1388">
        <v>1</v>
      </c>
    </row>
    <row r="25" ht="15.5" spans="1:29">
      <c r="A25" s="1152"/>
      <c r="B25" s="1525">
        <v>111</v>
      </c>
      <c r="C25" s="1189">
        <v>111</v>
      </c>
      <c r="D25" s="1190">
        <v>100</v>
      </c>
      <c r="E25" s="1189"/>
      <c r="F25" s="1574">
        <f>SUMIF(80:80,E25,81:81)-SUMIF(80:80,C25,81:81)+100</f>
        <v>100</v>
      </c>
      <c r="G25" s="1189"/>
      <c r="H25" s="1190">
        <f>SUMIF(80:80,G25,81:81)-SUMIF(80:80,C25,81:81)+100</f>
        <v>100</v>
      </c>
      <c r="I25" s="1189"/>
      <c r="J25" s="1190">
        <f>SUMIF(80:80,I25,81:81)-SUMIF(80:80,C25,81:81)+100</f>
        <v>100</v>
      </c>
      <c r="K25" s="1329"/>
      <c r="L25" s="1701"/>
      <c r="M25" s="1692"/>
      <c r="N25" s="1692"/>
      <c r="O25" s="1700"/>
      <c r="P25" s="1326"/>
      <c r="Q25" s="712">
        <f>B25</f>
        <v>111</v>
      </c>
      <c r="R25" s="1372" t="s">
        <v>1031</v>
      </c>
      <c r="S25" s="1373">
        <f>F25</f>
        <v>100</v>
      </c>
      <c r="T25" s="1372" t="s">
        <v>1031</v>
      </c>
      <c r="U25" s="1373">
        <f>H25</f>
        <v>100</v>
      </c>
      <c r="V25" s="1372" t="s">
        <v>1031</v>
      </c>
      <c r="W25" s="1373">
        <f>J25</f>
        <v>100</v>
      </c>
      <c r="X25" s="1359"/>
      <c r="Y25" s="1326"/>
      <c r="Z25" s="1346">
        <f>Q25</f>
        <v>111</v>
      </c>
      <c r="AA25" s="1388">
        <f t="shared" si="3"/>
        <v>1</v>
      </c>
      <c r="AB25" s="1388">
        <f t="shared" si="4"/>
        <v>1</v>
      </c>
      <c r="AC25" s="1388">
        <f t="shared" si="5"/>
        <v>1</v>
      </c>
    </row>
    <row r="26" ht="15.5" spans="1:29">
      <c r="A26" s="1180"/>
      <c r="B26" s="1525">
        <v>111</v>
      </c>
      <c r="C26" s="1189">
        <v>111</v>
      </c>
      <c r="D26" s="1190">
        <v>100</v>
      </c>
      <c r="E26" s="1189"/>
      <c r="F26" s="1574">
        <f>SUMIF(82:82,E26,83:83)-SUMIF(82:82,C26,83:83)+100</f>
        <v>100</v>
      </c>
      <c r="G26" s="1189"/>
      <c r="H26" s="1190">
        <f>SUMIF(82:82,G26,83:83)-SUMIF(82:82,C26,83:83)+100</f>
        <v>100</v>
      </c>
      <c r="I26" s="1189"/>
      <c r="J26" s="1190">
        <f>SUMIF(82:82,I26,83:83)-SUMIF(82:82,C26,83:83)+100</f>
        <v>100</v>
      </c>
      <c r="K26" s="1329"/>
      <c r="L26" s="1701"/>
      <c r="M26" s="1692"/>
      <c r="N26" s="1692"/>
      <c r="O26" s="1700"/>
      <c r="P26" s="1326"/>
      <c r="Q26" s="712">
        <f t="shared" ref="Q26:Q40" si="11">B26</f>
        <v>111</v>
      </c>
      <c r="R26" s="1372" t="s">
        <v>1031</v>
      </c>
      <c r="S26" s="1373">
        <f>F26</f>
        <v>100</v>
      </c>
      <c r="T26" s="1372" t="s">
        <v>1031</v>
      </c>
      <c r="U26" s="1373">
        <f>H26</f>
        <v>100</v>
      </c>
      <c r="V26" s="1372" t="s">
        <v>1031</v>
      </c>
      <c r="W26" s="1373">
        <f>J26</f>
        <v>100</v>
      </c>
      <c r="X26" s="1359"/>
      <c r="Y26" s="1326"/>
      <c r="Z26" s="1346">
        <f>Q26</f>
        <v>111</v>
      </c>
      <c r="AA26" s="1388">
        <f t="shared" si="3"/>
        <v>1</v>
      </c>
      <c r="AB26" s="1388">
        <f t="shared" si="4"/>
        <v>1</v>
      </c>
      <c r="AC26" s="1388">
        <f t="shared" si="5"/>
        <v>1</v>
      </c>
    </row>
    <row r="27" s="1127" customFormat="1" ht="15.5" spans="1:29">
      <c r="A27" s="1184"/>
      <c r="B27" s="1525">
        <v>111</v>
      </c>
      <c r="C27" s="1189">
        <v>111</v>
      </c>
      <c r="D27" s="1687">
        <v>100</v>
      </c>
      <c r="E27" s="1189"/>
      <c r="F27" s="1688">
        <f>SUMIF(84:84,E27,85:85)-SUMIF(84:84,C27,85:85)+100</f>
        <v>100</v>
      </c>
      <c r="G27" s="1189"/>
      <c r="H27" s="1687">
        <f>SUMIF(84:84,G27,85:85)-SUMIF(84:84,C27,85:85)+100</f>
        <v>100</v>
      </c>
      <c r="I27" s="1189"/>
      <c r="J27" s="1687">
        <f>SUMIF(84:84,I27,85:85)-SUMIF(84:84,C27,85:85)+100</f>
        <v>100</v>
      </c>
      <c r="K27" s="1329"/>
      <c r="L27" s="1693"/>
      <c r="M27" s="1694"/>
      <c r="N27" s="1694"/>
      <c r="O27" s="1695"/>
      <c r="P27" s="1326"/>
      <c r="Q27" s="1371">
        <f t="shared" si="11"/>
        <v>111</v>
      </c>
      <c r="R27" s="1367" t="s">
        <v>1031</v>
      </c>
      <c r="S27" s="1368">
        <f>F27</f>
        <v>100</v>
      </c>
      <c r="T27" s="1367" t="s">
        <v>1031</v>
      </c>
      <c r="U27" s="1368">
        <f>H27</f>
        <v>100</v>
      </c>
      <c r="V27" s="1367" t="s">
        <v>1031</v>
      </c>
      <c r="W27" s="1368">
        <f>J27</f>
        <v>100</v>
      </c>
      <c r="X27" s="1369"/>
      <c r="Y27" s="1326"/>
      <c r="Z27" s="1387">
        <f>Q27</f>
        <v>111</v>
      </c>
      <c r="AA27" s="1388">
        <f t="shared" si="3"/>
        <v>1</v>
      </c>
      <c r="AB27" s="1388">
        <f t="shared" si="4"/>
        <v>1</v>
      </c>
      <c r="AC27" s="1388">
        <f t="shared" si="5"/>
        <v>1</v>
      </c>
    </row>
    <row r="28" ht="16.25" spans="1:29">
      <c r="A28" s="1191"/>
      <c r="B28" s="1525">
        <v>111</v>
      </c>
      <c r="C28" s="1193">
        <v>111</v>
      </c>
      <c r="D28" s="1194">
        <v>100</v>
      </c>
      <c r="E28" s="1189"/>
      <c r="F28" s="1587">
        <f>SUMIF(86:86,E28,87:87)-SUMIF(86:86,C28,87:87)+100</f>
        <v>100</v>
      </c>
      <c r="G28" s="1568"/>
      <c r="H28" s="1194">
        <f>SUMIF(86:86,G28,87:87)-SUMIF(86:86,C28,87:87)+100</f>
        <v>100</v>
      </c>
      <c r="I28" s="1568"/>
      <c r="J28" s="1194">
        <f>SUMIF(86:86,I28,87:87)-SUMIF(86:86,C28,87:87)+100</f>
        <v>100</v>
      </c>
      <c r="K28" s="1329"/>
      <c r="L28" s="1701"/>
      <c r="M28" s="1692"/>
      <c r="N28" s="1692"/>
      <c r="O28" s="1700"/>
      <c r="P28" s="1326"/>
      <c r="Q28" s="712">
        <f t="shared" si="11"/>
        <v>111</v>
      </c>
      <c r="R28" s="1372" t="s">
        <v>1031</v>
      </c>
      <c r="S28" s="1373">
        <f t="shared" ref="S28:S40" si="12">F28</f>
        <v>100</v>
      </c>
      <c r="T28" s="1372" t="s">
        <v>1031</v>
      </c>
      <c r="U28" s="1373">
        <f t="shared" ref="U28:U40" si="13">H28</f>
        <v>100</v>
      </c>
      <c r="V28" s="1372" t="s">
        <v>1031</v>
      </c>
      <c r="W28" s="1373">
        <f t="shared" ref="W28:W40" si="14">J28</f>
        <v>100</v>
      </c>
      <c r="X28" s="1359"/>
      <c r="Y28" s="1326"/>
      <c r="Z28" s="1346">
        <f t="shared" ref="Z28:Z40" si="15">Q28</f>
        <v>111</v>
      </c>
      <c r="AA28" s="1388">
        <f t="shared" si="3"/>
        <v>1</v>
      </c>
      <c r="AB28" s="1388">
        <f t="shared" si="4"/>
        <v>1</v>
      </c>
      <c r="AC28" s="1388">
        <f t="shared" si="5"/>
        <v>1</v>
      </c>
    </row>
    <row r="29" ht="15.5" spans="1:29">
      <c r="A29" s="1578" t="s">
        <v>1056</v>
      </c>
      <c r="B29" s="1173" t="s">
        <v>1591</v>
      </c>
      <c r="C29" s="1579"/>
      <c r="D29" s="1229">
        <v>100</v>
      </c>
      <c r="E29" s="1579"/>
      <c r="F29" s="1574">
        <f>SUMIF(88:88,E29,89:89)-SUMIF(88:88,C29,89:89)+100</f>
        <v>100</v>
      </c>
      <c r="G29" s="1579"/>
      <c r="H29" s="1190">
        <f>SUMIF(88:88,G29,89:89)-SUMIF(88:88,C29,89:89)+100</f>
        <v>100</v>
      </c>
      <c r="I29" s="1579"/>
      <c r="J29" s="1229">
        <f>SUMIF(88:88,I29,89:89)-SUMIF(88:88,C29,89:89)+100</f>
        <v>100</v>
      </c>
      <c r="K29" s="1330"/>
      <c r="L29" s="1701"/>
      <c r="M29" s="1692"/>
      <c r="N29" s="1692"/>
      <c r="O29" s="1700"/>
      <c r="P29" s="1331" t="s">
        <v>1058</v>
      </c>
      <c r="Q29" s="712" t="str">
        <f t="shared" si="11"/>
        <v>建筑类型</v>
      </c>
      <c r="R29" s="1372" t="s">
        <v>1031</v>
      </c>
      <c r="S29" s="1373">
        <f t="shared" si="12"/>
        <v>100</v>
      </c>
      <c r="T29" s="1372" t="s">
        <v>1031</v>
      </c>
      <c r="U29" s="1373">
        <f t="shared" si="13"/>
        <v>100</v>
      </c>
      <c r="V29" s="1372" t="s">
        <v>1031</v>
      </c>
      <c r="W29" s="1373">
        <f t="shared" si="14"/>
        <v>100</v>
      </c>
      <c r="X29" s="1359"/>
      <c r="Y29" s="1334" t="s">
        <v>1058</v>
      </c>
      <c r="Z29" s="1346" t="str">
        <f t="shared" si="15"/>
        <v>建筑类型</v>
      </c>
      <c r="AA29" s="1388">
        <f t="shared" si="3"/>
        <v>1</v>
      </c>
      <c r="AB29" s="1388">
        <f t="shared" si="4"/>
        <v>1</v>
      </c>
      <c r="AC29" s="1388">
        <f t="shared" si="5"/>
        <v>1</v>
      </c>
    </row>
    <row r="30" s="1129" customFormat="1" ht="15.5" spans="1:29">
      <c r="A30" s="1235"/>
      <c r="B30" s="1177" t="s">
        <v>1059</v>
      </c>
      <c r="C30" s="1568"/>
      <c r="D30" s="1179">
        <v>100</v>
      </c>
      <c r="E30" s="1183"/>
      <c r="F30" s="1567" t="e">
        <f>LOOKUP(E30,91:91,92:92)-LOOKUP(C30,91:91,92:92)+100</f>
        <v>#N/A</v>
      </c>
      <c r="G30" s="1182"/>
      <c r="H30" s="1179" t="e">
        <f>LOOKUP(G30,91:91,92:92)-LOOKUP(C30,91:91,92:92)+100</f>
        <v>#N/A</v>
      </c>
      <c r="I30" s="1182"/>
      <c r="J30" s="1179" t="e">
        <f>LOOKUP(I30,91:91,92:92)-LOOKUP(C30,91:91,92:92)+100</f>
        <v>#N/A</v>
      </c>
      <c r="K30" s="1329"/>
      <c r="L30" s="1699"/>
      <c r="M30" s="1702"/>
      <c r="N30" s="1702"/>
      <c r="O30" s="1703"/>
      <c r="P30" s="1334"/>
      <c r="Q30" s="1613" t="str">
        <f t="shared" si="11"/>
        <v>项目建筑规模</v>
      </c>
      <c r="R30" s="1374" t="s">
        <v>1031</v>
      </c>
      <c r="S30" s="1375" t="e">
        <f t="shared" si="12"/>
        <v>#N/A</v>
      </c>
      <c r="T30" s="1374" t="s">
        <v>1031</v>
      </c>
      <c r="U30" s="1375" t="e">
        <f t="shared" si="13"/>
        <v>#N/A</v>
      </c>
      <c r="V30" s="1374" t="s">
        <v>1031</v>
      </c>
      <c r="W30" s="1375" t="e">
        <f t="shared" si="14"/>
        <v>#N/A</v>
      </c>
      <c r="X30" s="1376"/>
      <c r="Y30" s="1334"/>
      <c r="Z30" s="1389" t="str">
        <f t="shared" si="15"/>
        <v>项目建筑规模</v>
      </c>
      <c r="AA30" s="1388" t="e">
        <f t="shared" si="3"/>
        <v>#N/A</v>
      </c>
      <c r="AB30" s="1388" t="e">
        <f t="shared" si="4"/>
        <v>#N/A</v>
      </c>
      <c r="AC30" s="1388" t="e">
        <f t="shared" si="5"/>
        <v>#N/A</v>
      </c>
    </row>
    <row r="31" ht="15.5" spans="1:29">
      <c r="A31" s="1230"/>
      <c r="B31" s="1177" t="s">
        <v>1060</v>
      </c>
      <c r="C31" s="1584"/>
      <c r="D31" s="1190">
        <v>100</v>
      </c>
      <c r="E31" s="1584"/>
      <c r="F31" s="1574">
        <f>SUMIF(93:93,E31,94:94)-SUMIF(93:93,C31,94:94)+100</f>
        <v>100</v>
      </c>
      <c r="G31" s="1584"/>
      <c r="H31" s="1190">
        <f>SUMIF(93:93,G31,94:94)-SUMIF(93:93,C31,94:94)+100</f>
        <v>100</v>
      </c>
      <c r="I31" s="1584"/>
      <c r="J31" s="1190">
        <f>SUMIF(93:93,I31,94:94)-SUMIF(93:93,C31,94:94)+100</f>
        <v>100</v>
      </c>
      <c r="K31" s="1330"/>
      <c r="L31" s="1701"/>
      <c r="M31" s="1692"/>
      <c r="N31" s="1692"/>
      <c r="O31" s="1700"/>
      <c r="P31" s="1334"/>
      <c r="Q31" s="712" t="str">
        <f t="shared" si="11"/>
        <v>建筑结构</v>
      </c>
      <c r="R31" s="1372" t="s">
        <v>1031</v>
      </c>
      <c r="S31" s="1373">
        <f t="shared" si="12"/>
        <v>100</v>
      </c>
      <c r="T31" s="1372" t="s">
        <v>1031</v>
      </c>
      <c r="U31" s="1373">
        <f t="shared" si="13"/>
        <v>100</v>
      </c>
      <c r="V31" s="1372" t="s">
        <v>1031</v>
      </c>
      <c r="W31" s="1373">
        <f t="shared" si="14"/>
        <v>100</v>
      </c>
      <c r="X31" s="1359"/>
      <c r="Y31" s="1334"/>
      <c r="Z31" s="1346" t="str">
        <f t="shared" si="15"/>
        <v>建筑结构</v>
      </c>
      <c r="AA31" s="1388">
        <f t="shared" si="3"/>
        <v>1</v>
      </c>
      <c r="AB31" s="1388">
        <f t="shared" si="4"/>
        <v>1</v>
      </c>
      <c r="AC31" s="1388">
        <f t="shared" si="5"/>
        <v>1</v>
      </c>
    </row>
    <row r="32" ht="15.5" spans="1:29">
      <c r="A32" s="1230"/>
      <c r="B32" s="1177" t="s">
        <v>1061</v>
      </c>
      <c r="C32" s="1584"/>
      <c r="D32" s="1190">
        <v>100</v>
      </c>
      <c r="E32" s="1584"/>
      <c r="F32" s="1574">
        <f>SUMIF(95:95,E32,96:96)-SUMIF(95:95,C32,96:96)+100</f>
        <v>100</v>
      </c>
      <c r="G32" s="1584"/>
      <c r="H32" s="1190">
        <f>SUMIF(95:95,G32,96:96)-SUMIF(95:95,C32,96:96)+100</f>
        <v>100</v>
      </c>
      <c r="I32" s="1584"/>
      <c r="J32" s="1190">
        <f>SUMIF(95:95,I32,96:96)-SUMIF(95:95,C32,96:96)+100</f>
        <v>100</v>
      </c>
      <c r="K32" s="1330"/>
      <c r="L32" s="1701"/>
      <c r="M32" s="1692"/>
      <c r="N32" s="1692"/>
      <c r="O32" s="1700"/>
      <c r="P32" s="1334"/>
      <c r="Q32" s="712" t="str">
        <f t="shared" si="11"/>
        <v>公共部分装修</v>
      </c>
      <c r="R32" s="1372" t="s">
        <v>1031</v>
      </c>
      <c r="S32" s="1373">
        <f t="shared" si="12"/>
        <v>100</v>
      </c>
      <c r="T32" s="1372" t="s">
        <v>1031</v>
      </c>
      <c r="U32" s="1373">
        <f t="shared" si="13"/>
        <v>100</v>
      </c>
      <c r="V32" s="1372" t="s">
        <v>1031</v>
      </c>
      <c r="W32" s="1373">
        <f t="shared" si="14"/>
        <v>100</v>
      </c>
      <c r="X32" s="1359"/>
      <c r="Y32" s="1334"/>
      <c r="Z32" s="1346" t="str">
        <f t="shared" si="15"/>
        <v>公共部分装修</v>
      </c>
      <c r="AA32" s="1388">
        <f t="shared" si="3"/>
        <v>1</v>
      </c>
      <c r="AB32" s="1388">
        <f t="shared" si="4"/>
        <v>1</v>
      </c>
      <c r="AC32" s="1388">
        <f t="shared" si="5"/>
        <v>1</v>
      </c>
    </row>
    <row r="33" ht="15.5" spans="1:29">
      <c r="A33" s="1230"/>
      <c r="B33" s="1177" t="s">
        <v>646</v>
      </c>
      <c r="C33" s="1568"/>
      <c r="D33" s="1190">
        <v>100</v>
      </c>
      <c r="E33" s="1581"/>
      <c r="F33" s="1574" t="e">
        <f>LOOKUP(E33,98:98,99:99)-LOOKUP(C33,98:98,99:99)+100</f>
        <v>#N/A</v>
      </c>
      <c r="G33" s="1581"/>
      <c r="H33" s="1574" t="e">
        <f>LOOKUP(G33,98:98,99:99)-LOOKUP(C33,98:98,99:99)+100</f>
        <v>#N/A</v>
      </c>
      <c r="I33" s="1581"/>
      <c r="J33" s="1190" t="e">
        <f>LOOKUP(I33,98:98,99:99)-LOOKUP(C33,98:98,99:99)+100</f>
        <v>#N/A</v>
      </c>
      <c r="K33" s="1330"/>
      <c r="L33" s="1701"/>
      <c r="M33" s="1692"/>
      <c r="N33" s="1692"/>
      <c r="O33" s="1700"/>
      <c r="P33" s="1334"/>
      <c r="Q33" s="712" t="str">
        <f t="shared" si="11"/>
        <v>成新度</v>
      </c>
      <c r="R33" s="1372" t="s">
        <v>1031</v>
      </c>
      <c r="S33" s="1373" t="e">
        <f t="shared" si="12"/>
        <v>#N/A</v>
      </c>
      <c r="T33" s="1372" t="s">
        <v>1031</v>
      </c>
      <c r="U33" s="1373" t="e">
        <f t="shared" si="13"/>
        <v>#N/A</v>
      </c>
      <c r="V33" s="1372" t="s">
        <v>1031</v>
      </c>
      <c r="W33" s="1373" t="e">
        <f t="shared" si="14"/>
        <v>#N/A</v>
      </c>
      <c r="X33" s="1359"/>
      <c r="Y33" s="1334"/>
      <c r="Z33" s="1346" t="str">
        <f t="shared" si="15"/>
        <v>成新度</v>
      </c>
      <c r="AA33" s="1388" t="e">
        <f t="shared" si="3"/>
        <v>#N/A</v>
      </c>
      <c r="AB33" s="1388" t="e">
        <f t="shared" si="4"/>
        <v>#N/A</v>
      </c>
      <c r="AC33" s="1388" t="e">
        <f t="shared" si="5"/>
        <v>#N/A</v>
      </c>
    </row>
    <row r="34" s="1127" customFormat="1" ht="15.5" spans="1:29">
      <c r="A34" s="1232"/>
      <c r="B34" s="1177" t="s">
        <v>1593</v>
      </c>
      <c r="C34" s="1584"/>
      <c r="D34" s="1179">
        <v>100</v>
      </c>
      <c r="E34" s="1584"/>
      <c r="F34" s="1574">
        <f>SUMIF(100:100,E34,101:101)-SUMIF(100:100,C34,101:101)+100</f>
        <v>100</v>
      </c>
      <c r="G34" s="1584"/>
      <c r="H34" s="1190">
        <f>SUMIF(100:100,G34,101:101)-SUMIF(100:100,C34,101:101)+100</f>
        <v>100</v>
      </c>
      <c r="I34" s="1584"/>
      <c r="J34" s="1190">
        <f>SUMIF(100:100,I34,101:101)-SUMIF(100:100,C34,101:101)+100</f>
        <v>100</v>
      </c>
      <c r="K34" s="1330"/>
      <c r="L34" s="1693"/>
      <c r="M34" s="1694"/>
      <c r="N34" s="1694"/>
      <c r="O34" s="1695"/>
      <c r="P34" s="1334"/>
      <c r="Q34" s="1371" t="str">
        <f t="shared" si="11"/>
        <v>物业管理</v>
      </c>
      <c r="R34" s="1367" t="s">
        <v>1031</v>
      </c>
      <c r="S34" s="1368">
        <f t="shared" si="12"/>
        <v>100</v>
      </c>
      <c r="T34" s="1367" t="s">
        <v>1031</v>
      </c>
      <c r="U34" s="1368">
        <f t="shared" si="13"/>
        <v>100</v>
      </c>
      <c r="V34" s="1367" t="s">
        <v>1031</v>
      </c>
      <c r="W34" s="1368">
        <f t="shared" si="14"/>
        <v>100</v>
      </c>
      <c r="X34" s="1369"/>
      <c r="Y34" s="1334"/>
      <c r="Z34" s="1387" t="str">
        <f t="shared" si="15"/>
        <v>物业管理</v>
      </c>
      <c r="AA34" s="1386">
        <f t="shared" si="3"/>
        <v>1</v>
      </c>
      <c r="AB34" s="1386">
        <f t="shared" si="4"/>
        <v>1</v>
      </c>
      <c r="AC34" s="1386">
        <f t="shared" si="5"/>
        <v>1</v>
      </c>
    </row>
    <row r="35" ht="15.5" spans="1:29">
      <c r="A35" s="1230"/>
      <c r="B35" s="1177" t="s">
        <v>1063</v>
      </c>
      <c r="C35" s="1584"/>
      <c r="D35" s="1190">
        <v>100</v>
      </c>
      <c r="E35" s="1584"/>
      <c r="F35" s="1574">
        <f>SUMIF(102:102,E35,103:103)-SUMIF(102:102,C35,103:103)+100</f>
        <v>100</v>
      </c>
      <c r="G35" s="1584"/>
      <c r="H35" s="1190">
        <f>SUMIF(102:102,G35,103:103)-SUMIF(102:102,C35,103:103)+100</f>
        <v>100</v>
      </c>
      <c r="I35" s="1584"/>
      <c r="J35" s="1190">
        <f>SUMIF(102:102,I35,103:103)-SUMIF(102:102,C35,103:103)+100</f>
        <v>100</v>
      </c>
      <c r="K35" s="1330"/>
      <c r="L35" s="1701"/>
      <c r="M35" s="1692"/>
      <c r="N35" s="1692"/>
      <c r="O35" s="1700"/>
      <c r="P35" s="1334" t="s">
        <v>1058</v>
      </c>
      <c r="Q35" s="712" t="str">
        <f t="shared" si="11"/>
        <v>市政基础设施</v>
      </c>
      <c r="R35" s="1372" t="s">
        <v>1031</v>
      </c>
      <c r="S35" s="1373">
        <f t="shared" si="12"/>
        <v>100</v>
      </c>
      <c r="T35" s="1372" t="s">
        <v>1031</v>
      </c>
      <c r="U35" s="1373">
        <f t="shared" si="13"/>
        <v>100</v>
      </c>
      <c r="V35" s="1372" t="s">
        <v>1031</v>
      </c>
      <c r="W35" s="1373">
        <f t="shared" si="14"/>
        <v>100</v>
      </c>
      <c r="X35" s="1359"/>
      <c r="Y35" s="1334" t="s">
        <v>1058</v>
      </c>
      <c r="Z35" s="1346" t="str">
        <f t="shared" si="15"/>
        <v>市政基础设施</v>
      </c>
      <c r="AA35" s="1388">
        <f t="shared" si="3"/>
        <v>1</v>
      </c>
      <c r="AB35" s="1388">
        <f t="shared" si="4"/>
        <v>1</v>
      </c>
      <c r="AC35" s="1388">
        <f t="shared" si="5"/>
        <v>1</v>
      </c>
    </row>
    <row r="36" ht="15.5" spans="1:29">
      <c r="A36" s="1230"/>
      <c r="B36" s="1177" t="s">
        <v>1069</v>
      </c>
      <c r="C36" s="1584"/>
      <c r="D36" s="1190">
        <v>100</v>
      </c>
      <c r="E36" s="1584"/>
      <c r="F36" s="1574">
        <f>SUMIF(104:104,E36,105:105)-SUMIF(104:104,C36,105:105)+100</f>
        <v>100</v>
      </c>
      <c r="G36" s="1584"/>
      <c r="H36" s="1190">
        <f>SUMIF(104:104,G36,105:105)-SUMIF(104:104,C36,105:105)+100</f>
        <v>100</v>
      </c>
      <c r="I36" s="1584"/>
      <c r="J36" s="1190">
        <f>SUMIF(104:104,I36,105:105)-SUMIF(104:104,C36,105:105)+100</f>
        <v>100</v>
      </c>
      <c r="K36" s="1330"/>
      <c r="L36" s="1701"/>
      <c r="M36" s="1692"/>
      <c r="N36" s="1692"/>
      <c r="O36" s="1700"/>
      <c r="P36" s="1334"/>
      <c r="Q36" s="712" t="str">
        <f t="shared" si="11"/>
        <v>内部装修</v>
      </c>
      <c r="R36" s="1372" t="s">
        <v>1031</v>
      </c>
      <c r="S36" s="1373">
        <f t="shared" si="12"/>
        <v>100</v>
      </c>
      <c r="T36" s="1372" t="s">
        <v>1031</v>
      </c>
      <c r="U36" s="1373">
        <f t="shared" si="13"/>
        <v>100</v>
      </c>
      <c r="V36" s="1372" t="s">
        <v>1031</v>
      </c>
      <c r="W36" s="1373">
        <f t="shared" si="14"/>
        <v>100</v>
      </c>
      <c r="X36" s="1359"/>
      <c r="Y36" s="1334"/>
      <c r="Z36" s="1346" t="str">
        <f t="shared" si="15"/>
        <v>内部装修</v>
      </c>
      <c r="AA36" s="1388">
        <f t="shared" si="3"/>
        <v>1</v>
      </c>
      <c r="AB36" s="1388">
        <f t="shared" si="4"/>
        <v>1</v>
      </c>
      <c r="AC36" s="1388">
        <f t="shared" si="5"/>
        <v>1</v>
      </c>
    </row>
    <row r="37" ht="15.5" spans="1:29">
      <c r="A37" s="1230"/>
      <c r="B37" s="1177" t="s">
        <v>1625</v>
      </c>
      <c r="C37" s="1212"/>
      <c r="D37" s="1190">
        <v>100</v>
      </c>
      <c r="E37" s="1212"/>
      <c r="F37" s="1574">
        <f>SUMIF(106:106,E37,107:107)-SUMIF(106:106,C37,107:107)+100</f>
        <v>100</v>
      </c>
      <c r="G37" s="1212"/>
      <c r="H37" s="1190">
        <f>SUMIF(106:106,G37,107:107)-SUMIF(106:106,C37,107:107)+100</f>
        <v>100</v>
      </c>
      <c r="I37" s="1212"/>
      <c r="J37" s="1190">
        <f>SUMIF(106:106,I37,107:107)-SUMIF(106:106,C37,107:107)+100</f>
        <v>100</v>
      </c>
      <c r="K37" s="1330"/>
      <c r="L37" s="1701"/>
      <c r="M37" s="1692"/>
      <c r="N37" s="1692"/>
      <c r="O37" s="1700"/>
      <c r="P37" s="1334"/>
      <c r="Q37" s="712" t="str">
        <f t="shared" si="11"/>
        <v>内部装修状况</v>
      </c>
      <c r="R37" s="1372" t="s">
        <v>1031</v>
      </c>
      <c r="S37" s="1373">
        <f t="shared" si="12"/>
        <v>100</v>
      </c>
      <c r="T37" s="1372" t="s">
        <v>1031</v>
      </c>
      <c r="U37" s="1373">
        <f t="shared" si="13"/>
        <v>100</v>
      </c>
      <c r="V37" s="1372" t="s">
        <v>1031</v>
      </c>
      <c r="W37" s="1373">
        <f t="shared" si="14"/>
        <v>100</v>
      </c>
      <c r="X37" s="1359"/>
      <c r="Y37" s="1334"/>
      <c r="Z37" s="1346" t="str">
        <f t="shared" si="15"/>
        <v>内部装修状况</v>
      </c>
      <c r="AA37" s="1388">
        <f t="shared" si="3"/>
        <v>1</v>
      </c>
      <c r="AB37" s="1388">
        <f t="shared" si="4"/>
        <v>1</v>
      </c>
      <c r="AC37" s="1388">
        <f t="shared" si="5"/>
        <v>1</v>
      </c>
    </row>
    <row r="38" s="1129" customFormat="1" ht="15.5" spans="1:29">
      <c r="A38" s="1235"/>
      <c r="B38" s="1525">
        <v>111</v>
      </c>
      <c r="C38" s="1568"/>
      <c r="D38" s="1190">
        <v>100</v>
      </c>
      <c r="E38" s="1189"/>
      <c r="F38" s="1574">
        <f>SUMIF(108:108,E38,109:109)-SUMIF(108:108,C38,109:109)+100</f>
        <v>100</v>
      </c>
      <c r="G38" s="1568"/>
      <c r="H38" s="1190">
        <f>SUMIF(108:108,G38,109:109)-SUMIF(108:108,C38,109:109)+100</f>
        <v>100</v>
      </c>
      <c r="I38" s="1568"/>
      <c r="J38" s="1190">
        <f>SUMIF(108:108,I38,109:1038)-SUMIF(108:108,C38,109:109)+100</f>
        <v>100</v>
      </c>
      <c r="K38" s="1329"/>
      <c r="L38" s="1699"/>
      <c r="M38" s="1702"/>
      <c r="N38" s="1702"/>
      <c r="O38" s="1703"/>
      <c r="P38" s="1334"/>
      <c r="Q38" s="1613">
        <f t="shared" si="11"/>
        <v>111</v>
      </c>
      <c r="R38" s="1374" t="s">
        <v>1031</v>
      </c>
      <c r="S38" s="1375">
        <f t="shared" si="12"/>
        <v>100</v>
      </c>
      <c r="T38" s="1374" t="s">
        <v>1031</v>
      </c>
      <c r="U38" s="1375">
        <f t="shared" si="13"/>
        <v>100</v>
      </c>
      <c r="V38" s="1374" t="s">
        <v>1031</v>
      </c>
      <c r="W38" s="1375">
        <f t="shared" si="14"/>
        <v>100</v>
      </c>
      <c r="X38" s="1376"/>
      <c r="Y38" s="1334"/>
      <c r="Z38" s="1389">
        <f t="shared" si="15"/>
        <v>111</v>
      </c>
      <c r="AA38" s="1388">
        <f t="shared" si="3"/>
        <v>1</v>
      </c>
      <c r="AB38" s="1388">
        <f t="shared" si="4"/>
        <v>1</v>
      </c>
      <c r="AC38" s="1388">
        <f t="shared" si="5"/>
        <v>1</v>
      </c>
    </row>
    <row r="39" ht="15.5" spans="1:29">
      <c r="A39" s="1230"/>
      <c r="B39" s="1525">
        <v>111</v>
      </c>
      <c r="C39" s="1568"/>
      <c r="D39" s="1190">
        <v>100</v>
      </c>
      <c r="E39" s="1189"/>
      <c r="F39" s="1574">
        <f>SUMIF(110:110,E39,111:111)-SUMIF(110:110,C39,111:111)+100</f>
        <v>100</v>
      </c>
      <c r="G39" s="1568"/>
      <c r="H39" s="1190">
        <f>SUMIF(110:110,G39,111:111)-SUMIF(110:110,C39,111:111)+100</f>
        <v>100</v>
      </c>
      <c r="I39" s="1568"/>
      <c r="J39" s="1190">
        <f>SUMIF(110:110,I39,111:111)-SUMIF(110:110,C39,111:111)+100</f>
        <v>100</v>
      </c>
      <c r="K39" s="1329"/>
      <c r="L39" s="1701"/>
      <c r="M39" s="1692"/>
      <c r="N39" s="1692"/>
      <c r="O39" s="1700"/>
      <c r="P39" s="1334"/>
      <c r="Q39" s="712">
        <f t="shared" si="11"/>
        <v>111</v>
      </c>
      <c r="R39" s="1372" t="s">
        <v>1031</v>
      </c>
      <c r="S39" s="1373">
        <f t="shared" si="12"/>
        <v>100</v>
      </c>
      <c r="T39" s="1372" t="s">
        <v>1031</v>
      </c>
      <c r="U39" s="1373">
        <f t="shared" si="13"/>
        <v>100</v>
      </c>
      <c r="V39" s="1372" t="s">
        <v>1031</v>
      </c>
      <c r="W39" s="1373">
        <f t="shared" si="14"/>
        <v>100</v>
      </c>
      <c r="X39" s="1359"/>
      <c r="Y39" s="1334"/>
      <c r="Z39" s="1346">
        <f t="shared" si="15"/>
        <v>111</v>
      </c>
      <c r="AA39" s="1388">
        <f t="shared" si="3"/>
        <v>1</v>
      </c>
      <c r="AB39" s="1388">
        <f t="shared" si="4"/>
        <v>1</v>
      </c>
      <c r="AC39" s="1388">
        <f t="shared" si="5"/>
        <v>1</v>
      </c>
    </row>
    <row r="40" ht="16.25" spans="1:29">
      <c r="A40" s="1586"/>
      <c r="B40" s="1192">
        <v>111</v>
      </c>
      <c r="C40" s="1193"/>
      <c r="D40" s="1194">
        <v>100</v>
      </c>
      <c r="E40" s="1189"/>
      <c r="F40" s="1587">
        <f>SUMIF(112:112,E40,113:113)-SUMIF(112:112,C40,113:113)+100</f>
        <v>100</v>
      </c>
      <c r="G40" s="1568"/>
      <c r="H40" s="1194">
        <f>SUMIF(112:112,G40,113:113)-SUMIF(112:112,C40,113:113)+100</f>
        <v>100</v>
      </c>
      <c r="I40" s="1568"/>
      <c r="J40" s="1194">
        <f>SUMIF(112:112,I40,113:113)-SUMIF(112:112,C40,113:113)+100</f>
        <v>100</v>
      </c>
      <c r="K40" s="1329"/>
      <c r="L40" s="1701"/>
      <c r="M40" s="1692"/>
      <c r="N40" s="1692"/>
      <c r="O40" s="1700"/>
      <c r="P40" s="1704"/>
      <c r="Q40" s="712">
        <f t="shared" si="11"/>
        <v>111</v>
      </c>
      <c r="R40" s="1372" t="s">
        <v>1031</v>
      </c>
      <c r="S40" s="1373">
        <f t="shared" si="12"/>
        <v>100</v>
      </c>
      <c r="T40" s="1372" t="s">
        <v>1031</v>
      </c>
      <c r="U40" s="1373">
        <f t="shared" si="13"/>
        <v>100</v>
      </c>
      <c r="V40" s="1372" t="s">
        <v>1031</v>
      </c>
      <c r="W40" s="1373">
        <f t="shared" si="14"/>
        <v>100</v>
      </c>
      <c r="X40" s="1359"/>
      <c r="Y40" s="1704"/>
      <c r="Z40" s="1346">
        <f t="shared" si="15"/>
        <v>111</v>
      </c>
      <c r="AA40" s="1388">
        <f t="shared" si="3"/>
        <v>1</v>
      </c>
      <c r="AB40" s="1388">
        <f t="shared" si="4"/>
        <v>1</v>
      </c>
      <c r="AC40" s="1388">
        <f t="shared" si="5"/>
        <v>1</v>
      </c>
    </row>
    <row r="41" spans="1:29">
      <c r="A41" s="1237" t="s">
        <v>1074</v>
      </c>
      <c r="B41" s="1588"/>
      <c r="C41" s="1589" t="s">
        <v>124</v>
      </c>
      <c r="D41" s="1590"/>
      <c r="E41" s="1591"/>
      <c r="F41" s="1592"/>
      <c r="G41" s="1593"/>
      <c r="H41" s="1594"/>
      <c r="I41" s="1591"/>
      <c r="J41" s="1594"/>
      <c r="K41" s="1337"/>
      <c r="L41" s="1705"/>
      <c r="M41" s="1290"/>
      <c r="N41" s="1692"/>
      <c r="O41" s="1290"/>
      <c r="P41" s="712" t="str">
        <f>A41</f>
        <v>成交单价（元/平方米）</v>
      </c>
      <c r="Q41" s="712"/>
      <c r="R41" s="1388">
        <f>E41</f>
        <v>0</v>
      </c>
      <c r="S41" s="1388"/>
      <c r="T41" s="1388">
        <f>G41</f>
        <v>0</v>
      </c>
      <c r="U41" s="1388"/>
      <c r="V41" s="1388">
        <f>I41</f>
        <v>0</v>
      </c>
      <c r="W41" s="1388"/>
      <c r="X41" s="1295"/>
      <c r="Y41" s="1390"/>
      <c r="Z41" s="1295"/>
      <c r="AA41" s="1295"/>
      <c r="AB41" s="1295"/>
      <c r="AC41" s="1295"/>
    </row>
    <row r="42" ht="14.75" spans="1:29">
      <c r="A42" s="1245" t="s">
        <v>1075</v>
      </c>
      <c r="B42" s="1595"/>
      <c r="C42" s="1596" t="e">
        <f>R43</f>
        <v>#DIV/0!</v>
      </c>
      <c r="D42" s="1248" t="s">
        <v>1076</v>
      </c>
      <c r="E42" s="1597" t="e">
        <f>R42</f>
        <v>#DIV/0!</v>
      </c>
      <c r="F42" s="1249"/>
      <c r="G42" s="1596" t="e">
        <f>T42</f>
        <v>#DIV/0!</v>
      </c>
      <c r="H42" s="1249"/>
      <c r="I42" s="1597" t="e">
        <f>V42</f>
        <v>#DIV/0!</v>
      </c>
      <c r="J42" s="1249"/>
      <c r="K42" s="1339">
        <f>F42+H42+J42</f>
        <v>0</v>
      </c>
      <c r="L42" s="1705"/>
      <c r="M42" s="1290"/>
      <c r="N42" s="1692"/>
      <c r="O42" s="1290"/>
      <c r="P42" s="712" t="str">
        <f>A42</f>
        <v>比较价值（元/平方米）</v>
      </c>
      <c r="Q42" s="712"/>
      <c r="R42" s="1388" t="e">
        <f>IF(F1="售价",ROUND(PRODUCT(R41,AA7:AA40),0),ROUND(PRODUCT(R41,AA7:AA40),1))</f>
        <v>#DIV/0!</v>
      </c>
      <c r="S42" s="1388"/>
      <c r="T42" s="1388" t="e">
        <f>IF(F1="售价",ROUND(PRODUCT(T41,AB7:AB40),0),ROUND(PRODUCT(T41,AB7:AB40),1))</f>
        <v>#DIV/0!</v>
      </c>
      <c r="U42" s="1388"/>
      <c r="V42" s="1388" t="e">
        <f>IF(F1="售价",ROUND(PRODUCT(V41,AC7:AC40),0),ROUND(PRODUCT(V41,AC7:AC40),1))</f>
        <v>#DIV/0!</v>
      </c>
      <c r="W42" s="1388"/>
      <c r="X42" s="1295"/>
      <c r="Y42" s="1295"/>
      <c r="Z42" s="1295"/>
      <c r="AA42" s="1295"/>
      <c r="AB42" s="1295"/>
      <c r="AC42" s="1295"/>
    </row>
    <row r="43" ht="14.75" spans="1:29">
      <c r="A43" s="1251" t="s">
        <v>1077</v>
      </c>
      <c r="B43" s="1252"/>
      <c r="C43" s="1598" t="e">
        <f>R43</f>
        <v>#DIV/0!</v>
      </c>
      <c r="D43" s="1598"/>
      <c r="E43" s="1598"/>
      <c r="F43" s="1598"/>
      <c r="G43" s="1598"/>
      <c r="H43" s="1598"/>
      <c r="I43" s="1598"/>
      <c r="J43" s="1598"/>
      <c r="K43" s="1340"/>
      <c r="L43" s="1705"/>
      <c r="M43" s="1290"/>
      <c r="N43" s="1290"/>
      <c r="O43" s="1290"/>
      <c r="P43" s="1341" t="str">
        <f>A43</f>
        <v>估价对象XX用房的比较价值（楼面单价，元/平方米）</v>
      </c>
      <c r="Q43" s="1378"/>
      <c r="R43" s="1720" t="e">
        <f>IF(F1="售价",ROUND(IF(D42="简单平均",AVERAGE(R42:V42),R42*F42+T42*H42+V42*J42),0),ROUND(IF(D42="简单平均",AVERAGE(R42:V42),R42*F42+T42*H42+V42*J42),1))</f>
        <v>#DIV/0!</v>
      </c>
      <c r="S43" s="1720"/>
      <c r="T43" s="1720"/>
      <c r="U43" s="1720"/>
      <c r="V43" s="1720"/>
      <c r="W43" s="1720"/>
      <c r="X43" s="1295"/>
      <c r="Y43" s="1295"/>
      <c r="Z43" s="1295"/>
      <c r="AA43" s="1295"/>
      <c r="AB43" s="1295"/>
      <c r="AC43" s="1295"/>
    </row>
    <row r="44" spans="1:15">
      <c r="A44" s="1254"/>
      <c r="B44" s="1254"/>
      <c r="C44" s="1254"/>
      <c r="D44" s="1254"/>
      <c r="E44" s="1254"/>
      <c r="F44" s="1254"/>
      <c r="G44" s="1255"/>
      <c r="H44" s="1254"/>
      <c r="I44" s="1254"/>
      <c r="J44" s="1254"/>
      <c r="K44" s="1342"/>
      <c r="L44" s="1351"/>
      <c r="M44" s="1290"/>
      <c r="N44" s="1290"/>
      <c r="O44" s="1290"/>
    </row>
    <row r="45" spans="1:15">
      <c r="A45" s="1254"/>
      <c r="B45" s="1254"/>
      <c r="C45" s="1254"/>
      <c r="D45" s="1254"/>
      <c r="E45" s="1254"/>
      <c r="F45" s="1254"/>
      <c r="G45" s="1254"/>
      <c r="H45" s="1254"/>
      <c r="I45" s="1254"/>
      <c r="J45" s="1254"/>
      <c r="K45" s="1342"/>
      <c r="L45" s="1351"/>
      <c r="M45" s="1290"/>
      <c r="N45" s="1290"/>
      <c r="O45" s="1290"/>
    </row>
    <row r="46" ht="13.5" customHeight="1" spans="1:15">
      <c r="A46" s="1254"/>
      <c r="B46" s="1254"/>
      <c r="C46" s="1256" t="s">
        <v>1078</v>
      </c>
      <c r="D46" s="756"/>
      <c r="E46" s="1257" t="e">
        <f>IF(E41&lt;E42,E42/E41-1,E41/E42-1)</f>
        <v>#DIV/0!</v>
      </c>
      <c r="F46" s="1258" t="e">
        <f>IF(OR(E46&gt;=0.3,E46&lt;=-0.3),"超过30%","")</f>
        <v>#DIV/0!</v>
      </c>
      <c r="G46" s="1257" t="e">
        <f>IF(G41&lt;G42,G42/G41-1,G41/G42-1)</f>
        <v>#DIV/0!</v>
      </c>
      <c r="H46" s="1258" t="e">
        <f>IF(OR(G46&gt;=0.3,G46&lt;=-0.3),"超过30%","")</f>
        <v>#DIV/0!</v>
      </c>
      <c r="I46" s="1257" t="e">
        <f>IF(I41&lt;I42,I42/I41-1,I41/I42-1)</f>
        <v>#DIV/0!</v>
      </c>
      <c r="J46" s="1258" t="e">
        <f>IF(OR(I46&gt;=0.3,I46&lt;=-0.3),"超过30%","")</f>
        <v>#DIV/0!</v>
      </c>
      <c r="K46" s="1342"/>
      <c r="L46" s="1351"/>
      <c r="M46" s="1290"/>
      <c r="N46" s="1290"/>
      <c r="O46" s="1290"/>
    </row>
    <row r="47" ht="13.5" customHeight="1" spans="1:15">
      <c r="A47" s="1254"/>
      <c r="B47" s="1254"/>
      <c r="C47" s="1256" t="s">
        <v>1079</v>
      </c>
      <c r="D47" s="755"/>
      <c r="E47" s="1257" t="e">
        <f>IF(E42&lt;G42,G42/E42-1,E42/G42-1)</f>
        <v>#DIV/0!</v>
      </c>
      <c r="F47" s="1258" t="e">
        <f>IF(OR(E47&gt;=0.2,E47&lt;=-0.2),"超过20%","")</f>
        <v>#DIV/0!</v>
      </c>
      <c r="G47" s="1257" t="e">
        <f>IF(G42&lt;I42,I42/G42-1,G42/I42-1)</f>
        <v>#DIV/0!</v>
      </c>
      <c r="H47" s="1258" t="e">
        <f>IF(OR(G47&gt;=0.2,G47&lt;=-0.2),"超过20%","")</f>
        <v>#DIV/0!</v>
      </c>
      <c r="I47" s="1257" t="e">
        <f>IF(I42&lt;E42,E42/I42-1,I42/E42-1)</f>
        <v>#DIV/0!</v>
      </c>
      <c r="J47" s="1258" t="e">
        <f>IF(OR(I47&gt;=0.2,I47&lt;=-0.2),"超过20%","")</f>
        <v>#DIV/0!</v>
      </c>
      <c r="K47" s="1342"/>
      <c r="L47" s="1351"/>
      <c r="M47" s="1290"/>
      <c r="N47" s="1290"/>
      <c r="O47" s="1290"/>
    </row>
    <row r="48" s="1130" customFormat="1" ht="13.5" customHeight="1" spans="1:15">
      <c r="A48" s="1259"/>
      <c r="B48" s="1259"/>
      <c r="C48" s="1256" t="s">
        <v>1080</v>
      </c>
      <c r="D48" s="755"/>
      <c r="E48" s="1257" t="e">
        <f>IF(E41&lt;G41,G41/E41-1,E41/G41-1)</f>
        <v>#DIV/0!</v>
      </c>
      <c r="F48" s="1258" t="e">
        <f>IF(OR(E48&gt;=0.3,E48&lt;=-0.3),"超过30%","")</f>
        <v>#DIV/0!</v>
      </c>
      <c r="G48" s="1257" t="e">
        <f>IF(G41&lt;I41,I41/G41-1,G41/I41-1)</f>
        <v>#DIV/0!</v>
      </c>
      <c r="H48" s="1258" t="e">
        <f>IF(OR(G48&gt;=0.3,G48&lt;=-0.3),"超过30%","")</f>
        <v>#DIV/0!</v>
      </c>
      <c r="I48" s="1257" t="e">
        <f>IF(I41&lt;E41,E41/I41-1,I41/E41-1)</f>
        <v>#DIV/0!</v>
      </c>
      <c r="J48" s="1258" t="e">
        <f>IF(OR(I48&gt;=0.3,I48&lt;=-0.3),"超过30%","")</f>
        <v>#DIV/0!</v>
      </c>
      <c r="K48" s="1344"/>
      <c r="L48" s="1706"/>
      <c r="M48" s="1707"/>
      <c r="N48" s="1707"/>
      <c r="O48" s="1707"/>
    </row>
    <row r="49" s="1130" customFormat="1" spans="1:15">
      <c r="A49" s="1259"/>
      <c r="B49" s="1260"/>
      <c r="C49" s="1599"/>
      <c r="D49" s="1259"/>
      <c r="E49" s="1259"/>
      <c r="F49" s="1259"/>
      <c r="G49" s="1259"/>
      <c r="H49" s="1259"/>
      <c r="I49" s="1259"/>
      <c r="J49" s="1259"/>
      <c r="K49" s="1344"/>
      <c r="L49" s="1706"/>
      <c r="M49" s="1707"/>
      <c r="N49" s="1707"/>
      <c r="O49" s="1707"/>
    </row>
    <row r="50" spans="1:15">
      <c r="A50" s="1254"/>
      <c r="B50" s="1260"/>
      <c r="C50" s="1599"/>
      <c r="D50" s="1254"/>
      <c r="E50" s="1254"/>
      <c r="F50" s="1254"/>
      <c r="G50" s="1254"/>
      <c r="H50" s="1254"/>
      <c r="I50" s="1254"/>
      <c r="J50" s="1254"/>
      <c r="K50" s="1342"/>
      <c r="L50" s="1351"/>
      <c r="M50" s="1290"/>
      <c r="N50" s="1290"/>
      <c r="O50" s="1290"/>
    </row>
    <row r="51" ht="21.75" spans="1:17">
      <c r="A51" s="1294" t="s">
        <v>1081</v>
      </c>
      <c r="B51" s="1295"/>
      <c r="C51" s="1296"/>
      <c r="D51" s="1296"/>
      <c r="E51" s="1296"/>
      <c r="F51" s="1297"/>
      <c r="G51" s="1297"/>
      <c r="H51" s="1296"/>
      <c r="I51" s="1296"/>
      <c r="J51" s="1296"/>
      <c r="K51" s="1543"/>
      <c r="L51" s="1544"/>
      <c r="M51" s="1354"/>
      <c r="N51" s="1354"/>
      <c r="O51" s="1354"/>
      <c r="P51" s="1708"/>
      <c r="Q51" s="1710"/>
    </row>
    <row r="52" s="1132" customFormat="1" spans="1:16">
      <c r="A52" s="1600" t="s">
        <v>1029</v>
      </c>
      <c r="B52" s="1601"/>
      <c r="C52" s="1602" t="str">
        <f>YEAR(C7)&amp;"-"&amp;MONTH(C7)</f>
        <v>2025-7</v>
      </c>
      <c r="D52" s="1603">
        <f>EDATE(C52,-1)</f>
        <v>45809</v>
      </c>
      <c r="E52" s="1603">
        <f t="shared" ref="E52:O52" si="16">EDATE(D52,-1)</f>
        <v>45778</v>
      </c>
      <c r="F52" s="1603">
        <f t="shared" si="16"/>
        <v>45748</v>
      </c>
      <c r="G52" s="1603">
        <f t="shared" si="16"/>
        <v>45717</v>
      </c>
      <c r="H52" s="1603">
        <f t="shared" si="16"/>
        <v>45689</v>
      </c>
      <c r="I52" s="1603">
        <f t="shared" si="16"/>
        <v>45658</v>
      </c>
      <c r="J52" s="1603">
        <f t="shared" si="16"/>
        <v>45627</v>
      </c>
      <c r="K52" s="1603">
        <f t="shared" si="16"/>
        <v>45597</v>
      </c>
      <c r="L52" s="1603">
        <f t="shared" si="16"/>
        <v>45566</v>
      </c>
      <c r="M52" s="1603">
        <f t="shared" si="16"/>
        <v>45536</v>
      </c>
      <c r="N52" s="1603">
        <f t="shared" si="16"/>
        <v>45505</v>
      </c>
      <c r="O52" s="1603">
        <f t="shared" si="16"/>
        <v>45474</v>
      </c>
      <c r="P52" s="1709"/>
    </row>
    <row r="53" s="1127" customFormat="1" spans="1:16">
      <c r="A53" s="1604"/>
      <c r="B53" s="1402"/>
      <c r="C53" s="1605">
        <v>100</v>
      </c>
      <c r="D53" s="1406"/>
      <c r="E53" s="1406"/>
      <c r="F53" s="1406"/>
      <c r="G53" s="1406"/>
      <c r="H53" s="1406"/>
      <c r="I53" s="1406"/>
      <c r="J53" s="1406"/>
      <c r="K53" s="1406"/>
      <c r="L53" s="1406"/>
      <c r="M53" s="1612"/>
      <c r="N53" s="1406"/>
      <c r="O53" s="1454"/>
      <c r="P53" s="1710"/>
    </row>
    <row r="54" s="1127" customFormat="1" ht="14.75" spans="1:17">
      <c r="A54" s="1397" t="s">
        <v>1082</v>
      </c>
      <c r="B54" s="1398"/>
      <c r="C54" s="1399"/>
      <c r="D54" s="1400"/>
      <c r="E54" s="1400"/>
      <c r="F54" s="1400"/>
      <c r="G54" s="1400"/>
      <c r="H54" s="1400"/>
      <c r="I54" s="1400"/>
      <c r="J54" s="1400"/>
      <c r="K54" s="1400"/>
      <c r="L54" s="1400"/>
      <c r="M54" s="1448"/>
      <c r="N54" s="1711"/>
      <c r="O54" s="1712"/>
      <c r="P54" s="1710"/>
      <c r="Q54" s="1710"/>
    </row>
    <row r="55" s="1127" customFormat="1" spans="1:17">
      <c r="A55" s="1401" t="s">
        <v>1032</v>
      </c>
      <c r="B55" s="1402"/>
      <c r="C55" s="1403" t="s">
        <v>1083</v>
      </c>
      <c r="D55" s="1404"/>
      <c r="E55" s="1404"/>
      <c r="F55" s="1404"/>
      <c r="G55" s="1404"/>
      <c r="H55" s="1404"/>
      <c r="I55" s="1404"/>
      <c r="J55" s="1404"/>
      <c r="K55" s="1404"/>
      <c r="L55" s="1450"/>
      <c r="M55" s="1451"/>
      <c r="N55" s="1713"/>
      <c r="O55" s="1713"/>
      <c r="P55" s="1714"/>
      <c r="Q55" s="1710"/>
    </row>
    <row r="56" s="1127" customFormat="1" ht="14.75" spans="1:17">
      <c r="A56" s="1401"/>
      <c r="B56" s="1402"/>
      <c r="C56" s="1405">
        <v>100</v>
      </c>
      <c r="D56" s="1406"/>
      <c r="E56" s="1406"/>
      <c r="F56" s="1406"/>
      <c r="G56" s="1406"/>
      <c r="H56" s="1406"/>
      <c r="I56" s="1406"/>
      <c r="J56" s="1406"/>
      <c r="K56" s="1406"/>
      <c r="L56" s="1406"/>
      <c r="M56" s="1454"/>
      <c r="N56" s="1713"/>
      <c r="O56" s="1713"/>
      <c r="P56" s="1710"/>
      <c r="Q56" s="1710"/>
    </row>
    <row r="57" spans="1:17">
      <c r="A57" s="1407" t="s">
        <v>1084</v>
      </c>
      <c r="B57" s="1408" t="s">
        <v>1036</v>
      </c>
      <c r="C57" s="1430">
        <f>C9</f>
        <v>0</v>
      </c>
      <c r="D57" s="1335"/>
      <c r="E57" s="1335"/>
      <c r="F57" s="1335"/>
      <c r="G57" s="1335"/>
      <c r="H57" s="1335"/>
      <c r="I57" s="1335"/>
      <c r="J57" s="1335"/>
      <c r="K57" s="1455"/>
      <c r="L57" s="1456"/>
      <c r="M57" s="1457"/>
      <c r="N57" s="1715"/>
      <c r="O57" s="1715"/>
      <c r="P57" s="1716"/>
      <c r="Q57" s="1710"/>
    </row>
    <row r="58" ht="14.75" spans="1:17">
      <c r="A58" s="1409"/>
      <c r="B58" s="1410"/>
      <c r="C58" s="1411">
        <v>100</v>
      </c>
      <c r="D58" s="1411"/>
      <c r="E58" s="1411"/>
      <c r="F58" s="1411"/>
      <c r="G58" s="1411"/>
      <c r="H58" s="1411"/>
      <c r="I58" s="1411"/>
      <c r="J58" s="1411"/>
      <c r="K58" s="1411"/>
      <c r="L58" s="1411"/>
      <c r="M58" s="1460"/>
      <c r="N58" s="1717"/>
      <c r="O58" s="1717"/>
      <c r="P58" s="1716"/>
      <c r="Q58" s="1710"/>
    </row>
    <row r="59" ht="28.75" spans="1:17">
      <c r="A59" s="1409"/>
      <c r="B59" s="1412" t="s">
        <v>1039</v>
      </c>
      <c r="C59" s="1437"/>
      <c r="D59" s="1437"/>
      <c r="E59" s="1437"/>
      <c r="F59" s="1437"/>
      <c r="G59" s="1437"/>
      <c r="H59" s="1437"/>
      <c r="I59" s="1437"/>
      <c r="J59" s="1437"/>
      <c r="K59" s="1488"/>
      <c r="L59" s="1489"/>
      <c r="M59" s="1490"/>
      <c r="N59" s="1715"/>
      <c r="O59" s="1715"/>
      <c r="P59" s="1716"/>
      <c r="Q59" s="1710"/>
    </row>
    <row r="60" ht="14.75" spans="1:17">
      <c r="A60" s="1409"/>
      <c r="B60" s="1414"/>
      <c r="C60" s="1411"/>
      <c r="D60" s="1411"/>
      <c r="E60" s="1411"/>
      <c r="F60" s="1411"/>
      <c r="G60" s="1411"/>
      <c r="H60" s="1411"/>
      <c r="I60" s="1411"/>
      <c r="J60" s="1411"/>
      <c r="K60" s="1411"/>
      <c r="L60" s="1411"/>
      <c r="M60" s="1460"/>
      <c r="N60" s="1717"/>
      <c r="O60" s="1717"/>
      <c r="P60" s="1716"/>
      <c r="Q60" s="1710"/>
    </row>
    <row r="61" ht="14.75" spans="1:17">
      <c r="A61" s="1409"/>
      <c r="B61" s="1416" t="s">
        <v>1042</v>
      </c>
      <c r="C61" s="1417" t="str">
        <f>C62&amp;"（含）"&amp;"-"&amp;D62</f>
        <v>0（含）-2</v>
      </c>
      <c r="D61" s="1417" t="str">
        <f t="shared" ref="D61:L61" si="17">D62&amp;"（含）"&amp;"-"&amp;E62</f>
        <v>2（含）-</v>
      </c>
      <c r="E61" s="1417" t="str">
        <f t="shared" si="17"/>
        <v>（含）-</v>
      </c>
      <c r="F61" s="1417" t="str">
        <f t="shared" si="17"/>
        <v>（含）-</v>
      </c>
      <c r="G61" s="1417" t="str">
        <f t="shared" si="17"/>
        <v>（含）-</v>
      </c>
      <c r="H61" s="1417" t="str">
        <f t="shared" si="17"/>
        <v>（含）-</v>
      </c>
      <c r="I61" s="1417" t="str">
        <f t="shared" si="17"/>
        <v>（含）-</v>
      </c>
      <c r="J61" s="1417" t="str">
        <f t="shared" si="17"/>
        <v>（含）-</v>
      </c>
      <c r="K61" s="1417" t="str">
        <f t="shared" si="17"/>
        <v>（含）-</v>
      </c>
      <c r="L61" s="1417" t="str">
        <f t="shared" si="17"/>
        <v>（含）-</v>
      </c>
      <c r="M61" s="1202" t="str">
        <f>M62&amp;"（含）"&amp;"-"&amp;P62</f>
        <v>（含）-</v>
      </c>
      <c r="N61" s="1717"/>
      <c r="O61" s="1717"/>
      <c r="P61" s="1716"/>
      <c r="Q61" s="1710"/>
    </row>
    <row r="62" spans="1:17">
      <c r="A62" s="1409"/>
      <c r="B62" s="1418"/>
      <c r="C62" s="1187">
        <v>0</v>
      </c>
      <c r="D62" s="1187">
        <v>2</v>
      </c>
      <c r="E62" s="1187"/>
      <c r="F62" s="1187"/>
      <c r="G62" s="1187"/>
      <c r="H62" s="1187"/>
      <c r="I62" s="1187"/>
      <c r="J62" s="1187"/>
      <c r="K62" s="1466"/>
      <c r="L62" s="1467"/>
      <c r="M62" s="1468"/>
      <c r="N62" s="1715"/>
      <c r="O62" s="1715"/>
      <c r="P62" s="1716"/>
      <c r="Q62" s="1710"/>
    </row>
    <row r="63" ht="14.75" spans="1:17">
      <c r="A63" s="1409"/>
      <c r="B63" s="1410"/>
      <c r="C63" s="1415">
        <v>100</v>
      </c>
      <c r="D63" s="1415">
        <f t="shared" ref="D63:M63" si="18">C63-$K11</f>
        <v>100</v>
      </c>
      <c r="E63" s="1415">
        <f t="shared" si="18"/>
        <v>100</v>
      </c>
      <c r="F63" s="1415">
        <f t="shared" si="18"/>
        <v>100</v>
      </c>
      <c r="G63" s="1415">
        <f t="shared" si="18"/>
        <v>100</v>
      </c>
      <c r="H63" s="1415">
        <f t="shared" si="18"/>
        <v>100</v>
      </c>
      <c r="I63" s="1415">
        <f t="shared" si="18"/>
        <v>100</v>
      </c>
      <c r="J63" s="1415">
        <f t="shared" si="18"/>
        <v>100</v>
      </c>
      <c r="K63" s="1415">
        <f t="shared" si="18"/>
        <v>100</v>
      </c>
      <c r="L63" s="1415">
        <f t="shared" si="18"/>
        <v>100</v>
      </c>
      <c r="M63" s="1465">
        <f t="shared" si="18"/>
        <v>100</v>
      </c>
      <c r="N63" s="1717"/>
      <c r="O63" s="1717"/>
      <c r="P63" s="1716"/>
      <c r="Q63" s="1710"/>
    </row>
    <row r="64" s="1129" customFormat="1" ht="14.75" spans="1:17">
      <c r="A64" s="1419"/>
      <c r="B64" s="1412">
        <f>B12</f>
        <v>111</v>
      </c>
      <c r="C64" s="1420"/>
      <c r="D64" s="1420"/>
      <c r="E64" s="1420"/>
      <c r="F64" s="1420"/>
      <c r="G64" s="1420"/>
      <c r="H64" s="1421"/>
      <c r="I64" s="1421"/>
      <c r="J64" s="1421"/>
      <c r="K64" s="1421"/>
      <c r="L64" s="1469"/>
      <c r="M64" s="1470"/>
      <c r="N64" s="1718"/>
      <c r="O64" s="1718"/>
      <c r="P64" s="1719"/>
      <c r="Q64" s="1721"/>
    </row>
    <row r="65" s="1129" customFormat="1" ht="14.75" spans="1:17">
      <c r="A65" s="1419"/>
      <c r="B65" s="1414"/>
      <c r="C65" s="1422"/>
      <c r="D65" s="1411"/>
      <c r="E65" s="1411"/>
      <c r="F65" s="1411"/>
      <c r="G65" s="1411"/>
      <c r="H65" s="1411"/>
      <c r="I65" s="1411"/>
      <c r="J65" s="1411"/>
      <c r="K65" s="1411"/>
      <c r="L65" s="1411"/>
      <c r="M65" s="1460"/>
      <c r="N65" s="1717"/>
      <c r="O65" s="1717"/>
      <c r="P65" s="1719"/>
      <c r="Q65" s="1721"/>
    </row>
    <row r="66" s="1129" customFormat="1" ht="14.75" spans="1:17">
      <c r="A66" s="1419"/>
      <c r="B66" s="1412">
        <f>B13</f>
        <v>111</v>
      </c>
      <c r="C66" s="1420"/>
      <c r="D66" s="1420"/>
      <c r="E66" s="1420"/>
      <c r="F66" s="1420"/>
      <c r="G66" s="1420"/>
      <c r="H66" s="1421"/>
      <c r="I66" s="1421"/>
      <c r="J66" s="1421"/>
      <c r="K66" s="1421"/>
      <c r="L66" s="1469"/>
      <c r="M66" s="1470"/>
      <c r="N66" s="1718"/>
      <c r="O66" s="1718"/>
      <c r="P66" s="1723"/>
      <c r="Q66" s="1727"/>
    </row>
    <row r="67" s="1129" customFormat="1" ht="14.75" spans="1:17">
      <c r="A67" s="1419"/>
      <c r="B67" s="1414"/>
      <c r="C67" s="1422"/>
      <c r="D67" s="1411"/>
      <c r="E67" s="1411"/>
      <c r="F67" s="1411"/>
      <c r="G67" s="1422"/>
      <c r="H67" s="1423"/>
      <c r="I67" s="1423"/>
      <c r="J67" s="1423"/>
      <c r="K67" s="1423"/>
      <c r="L67" s="1423"/>
      <c r="M67" s="1473"/>
      <c r="N67" s="1718"/>
      <c r="O67" s="1718"/>
      <c r="P67" s="1719"/>
      <c r="Q67" s="1721"/>
    </row>
    <row r="68" s="1129" customFormat="1" ht="14.75" spans="1:17">
      <c r="A68" s="1419"/>
      <c r="B68" s="1416">
        <f>B14</f>
        <v>111</v>
      </c>
      <c r="C68" s="1404"/>
      <c r="D68" s="1404"/>
      <c r="E68" s="1404"/>
      <c r="F68" s="1404"/>
      <c r="G68" s="1404"/>
      <c r="H68" s="1424"/>
      <c r="I68" s="1424"/>
      <c r="J68" s="1424"/>
      <c r="K68" s="1424"/>
      <c r="L68" s="1474"/>
      <c r="M68" s="1475"/>
      <c r="N68" s="1718"/>
      <c r="O68" s="1718"/>
      <c r="P68" s="1724"/>
      <c r="Q68" s="1721"/>
    </row>
    <row r="69" s="1129" customFormat="1" ht="14.75" spans="1:17">
      <c r="A69" s="1425"/>
      <c r="B69" s="1426"/>
      <c r="C69" s="1427"/>
      <c r="D69" s="1427"/>
      <c r="E69" s="1427"/>
      <c r="F69" s="1427"/>
      <c r="G69" s="1427"/>
      <c r="H69" s="1428"/>
      <c r="I69" s="1428"/>
      <c r="J69" s="1428"/>
      <c r="K69" s="1428"/>
      <c r="L69" s="1428"/>
      <c r="M69" s="1477"/>
      <c r="N69" s="1718"/>
      <c r="O69" s="1718"/>
      <c r="P69" s="1719"/>
      <c r="Q69" s="1721"/>
    </row>
    <row r="70" spans="1:17">
      <c r="A70" s="1407" t="s">
        <v>1043</v>
      </c>
      <c r="B70" s="1408" t="s">
        <v>1624</v>
      </c>
      <c r="C70" s="1429" t="s">
        <v>1087</v>
      </c>
      <c r="D70" s="1429" t="s">
        <v>1088</v>
      </c>
      <c r="E70" s="1429" t="s">
        <v>1089</v>
      </c>
      <c r="F70" s="1429" t="s">
        <v>1090</v>
      </c>
      <c r="G70" s="1429" t="s">
        <v>1091</v>
      </c>
      <c r="H70" s="1430"/>
      <c r="I70" s="1430"/>
      <c r="J70" s="1430"/>
      <c r="K70" s="1478"/>
      <c r="L70" s="1479"/>
      <c r="M70" s="1480"/>
      <c r="N70" s="1715"/>
      <c r="O70" s="1715"/>
      <c r="P70" s="1725"/>
      <c r="Q70" s="1710"/>
    </row>
    <row r="71" ht="14.75" spans="1:17">
      <c r="A71" s="1409"/>
      <c r="B71" s="1414"/>
      <c r="C71" s="1415">
        <v>100</v>
      </c>
      <c r="D71" s="1415">
        <f>C71-$K15</f>
        <v>100</v>
      </c>
      <c r="E71" s="1415">
        <f>D71-$K15</f>
        <v>100</v>
      </c>
      <c r="F71" s="1415">
        <f>E71-$K15</f>
        <v>100</v>
      </c>
      <c r="G71" s="1415">
        <f>F71-$K15</f>
        <v>100</v>
      </c>
      <c r="H71" s="1415"/>
      <c r="I71" s="1415"/>
      <c r="J71" s="1415"/>
      <c r="K71" s="1415"/>
      <c r="L71" s="1415"/>
      <c r="M71" s="1465"/>
      <c r="N71" s="1717"/>
      <c r="O71" s="1717"/>
      <c r="P71" s="1716"/>
      <c r="Q71" s="1710"/>
    </row>
    <row r="72" ht="14.75" spans="1:17">
      <c r="A72" s="1409"/>
      <c r="B72" s="1412" t="s">
        <v>1048</v>
      </c>
      <c r="C72" s="1431" t="s">
        <v>1087</v>
      </c>
      <c r="D72" s="1431" t="s">
        <v>1088</v>
      </c>
      <c r="E72" s="1431" t="s">
        <v>1089</v>
      </c>
      <c r="F72" s="1431" t="s">
        <v>1090</v>
      </c>
      <c r="G72" s="1431" t="s">
        <v>1091</v>
      </c>
      <c r="H72" s="1413"/>
      <c r="I72" s="1413"/>
      <c r="J72" s="1413"/>
      <c r="K72" s="1462"/>
      <c r="L72" s="1463"/>
      <c r="M72" s="1464"/>
      <c r="N72" s="1715"/>
      <c r="O72" s="1715"/>
      <c r="P72" s="1716"/>
      <c r="Q72" s="1710"/>
    </row>
    <row r="73" ht="14.75" spans="1:17">
      <c r="A73" s="1409"/>
      <c r="B73" s="1414"/>
      <c r="C73" s="1415">
        <v>100</v>
      </c>
      <c r="D73" s="1415">
        <f>C73-$K17</f>
        <v>100</v>
      </c>
      <c r="E73" s="1415">
        <f>D73-$K17</f>
        <v>100</v>
      </c>
      <c r="F73" s="1415">
        <f>E73-$K17</f>
        <v>100</v>
      </c>
      <c r="G73" s="1415">
        <f>F73-$K17</f>
        <v>100</v>
      </c>
      <c r="H73" s="1415"/>
      <c r="I73" s="1415"/>
      <c r="J73" s="1415"/>
      <c r="K73" s="1415"/>
      <c r="L73" s="1415"/>
      <c r="M73" s="1465"/>
      <c r="N73" s="1717"/>
      <c r="O73" s="1717"/>
      <c r="P73" s="1716"/>
      <c r="Q73" s="1710"/>
    </row>
    <row r="74" ht="14.75" spans="1:17">
      <c r="A74" s="1409"/>
      <c r="B74" s="1412" t="s">
        <v>1049</v>
      </c>
      <c r="C74" s="1431" t="s">
        <v>1087</v>
      </c>
      <c r="D74" s="1431" t="s">
        <v>1088</v>
      </c>
      <c r="E74" s="1431" t="s">
        <v>1089</v>
      </c>
      <c r="F74" s="1431" t="s">
        <v>1090</v>
      </c>
      <c r="G74" s="1431" t="s">
        <v>1091</v>
      </c>
      <c r="H74" s="1413"/>
      <c r="I74" s="1413"/>
      <c r="J74" s="1413"/>
      <c r="K74" s="1462"/>
      <c r="L74" s="1463"/>
      <c r="M74" s="1464"/>
      <c r="N74" s="1715"/>
      <c r="O74" s="1715"/>
      <c r="P74" s="1716"/>
      <c r="Q74" s="1710"/>
    </row>
    <row r="75" ht="14.75" spans="1:17">
      <c r="A75" s="1409"/>
      <c r="B75" s="1414"/>
      <c r="C75" s="1415">
        <v>100</v>
      </c>
      <c r="D75" s="1415">
        <f>C75-$K19</f>
        <v>100</v>
      </c>
      <c r="E75" s="1415">
        <f>D75-$K19</f>
        <v>100</v>
      </c>
      <c r="F75" s="1415">
        <f>E75-$K19</f>
        <v>100</v>
      </c>
      <c r="G75" s="1415">
        <f>F75-$K19</f>
        <v>100</v>
      </c>
      <c r="H75" s="1415"/>
      <c r="I75" s="1415"/>
      <c r="J75" s="1415"/>
      <c r="K75" s="1415"/>
      <c r="L75" s="1415"/>
      <c r="M75" s="1465"/>
      <c r="N75" s="1717"/>
      <c r="O75" s="1717"/>
      <c r="P75" s="1716"/>
      <c r="Q75" s="1710"/>
    </row>
    <row r="76" ht="14.75" spans="1:17">
      <c r="A76" s="1409"/>
      <c r="B76" s="1416" t="s">
        <v>1050</v>
      </c>
      <c r="C76" s="1436" t="s">
        <v>1092</v>
      </c>
      <c r="D76" s="1436" t="s">
        <v>1093</v>
      </c>
      <c r="E76" s="1436" t="s">
        <v>1094</v>
      </c>
      <c r="F76" s="1436" t="s">
        <v>1095</v>
      </c>
      <c r="G76" s="1436" t="s">
        <v>1096</v>
      </c>
      <c r="H76" s="1413"/>
      <c r="I76" s="1413"/>
      <c r="J76" s="1413"/>
      <c r="K76" s="1413"/>
      <c r="L76" s="1413"/>
      <c r="M76" s="1618"/>
      <c r="N76" s="1717"/>
      <c r="O76" s="1717"/>
      <c r="P76" s="1716"/>
      <c r="Q76" s="1710"/>
    </row>
    <row r="77" ht="14.75" spans="1:17">
      <c r="A77" s="1409"/>
      <c r="B77" s="1416"/>
      <c r="C77" s="1415">
        <v>100</v>
      </c>
      <c r="D77" s="1415">
        <f>C77-$K21</f>
        <v>100</v>
      </c>
      <c r="E77" s="1415">
        <f>D77-$K21</f>
        <v>100</v>
      </c>
      <c r="F77" s="1415">
        <f>E77-$K21</f>
        <v>100</v>
      </c>
      <c r="G77" s="1415">
        <f>F77-$K21</f>
        <v>100</v>
      </c>
      <c r="H77" s="1436"/>
      <c r="I77" s="1436"/>
      <c r="J77" s="1436"/>
      <c r="K77" s="1436"/>
      <c r="L77" s="1436"/>
      <c r="M77" s="1203"/>
      <c r="N77" s="1717"/>
      <c r="O77" s="1717"/>
      <c r="P77" s="1716"/>
      <c r="Q77" s="1710"/>
    </row>
    <row r="78" ht="14.75" spans="1:17">
      <c r="A78" s="1409"/>
      <c r="B78" s="1412" t="s">
        <v>1618</v>
      </c>
      <c r="C78" s="1431" t="s">
        <v>1087</v>
      </c>
      <c r="D78" s="1431" t="s">
        <v>1088</v>
      </c>
      <c r="E78" s="1431" t="s">
        <v>1089</v>
      </c>
      <c r="F78" s="1431" t="s">
        <v>1090</v>
      </c>
      <c r="G78" s="1431" t="s">
        <v>1091</v>
      </c>
      <c r="H78" s="1413"/>
      <c r="I78" s="1413"/>
      <c r="J78" s="1413"/>
      <c r="K78" s="1462"/>
      <c r="L78" s="1463"/>
      <c r="M78" s="1464"/>
      <c r="N78" s="1715"/>
      <c r="O78" s="1715"/>
      <c r="P78" s="1716"/>
      <c r="Q78" s="1710"/>
    </row>
    <row r="79" ht="14.75" spans="1:17">
      <c r="A79" s="1409"/>
      <c r="B79" s="1414"/>
      <c r="C79" s="1415">
        <v>100</v>
      </c>
      <c r="D79" s="1415">
        <f>C79-$K23</f>
        <v>100</v>
      </c>
      <c r="E79" s="1415">
        <f>D79-$K23</f>
        <v>100</v>
      </c>
      <c r="F79" s="1415">
        <f>E79-$K23</f>
        <v>100</v>
      </c>
      <c r="G79" s="1415">
        <f>F79-$K23</f>
        <v>100</v>
      </c>
      <c r="H79" s="1415"/>
      <c r="I79" s="1415"/>
      <c r="J79" s="1415"/>
      <c r="K79" s="1415"/>
      <c r="L79" s="1415"/>
      <c r="M79" s="1465"/>
      <c r="N79" s="1717"/>
      <c r="O79" s="1717"/>
      <c r="P79" s="1716"/>
      <c r="Q79" s="1710"/>
    </row>
    <row r="80" s="1127" customFormat="1" ht="14.75" spans="1:17">
      <c r="A80" s="1432"/>
      <c r="B80" s="1412">
        <f>B25</f>
        <v>111</v>
      </c>
      <c r="C80" s="1420"/>
      <c r="D80" s="1420"/>
      <c r="E80" s="1420"/>
      <c r="F80" s="1420"/>
      <c r="G80" s="1420"/>
      <c r="H80" s="1420"/>
      <c r="I80" s="1420"/>
      <c r="J80" s="1420"/>
      <c r="K80" s="1420"/>
      <c r="L80" s="1619"/>
      <c r="M80" s="1620"/>
      <c r="N80" s="1713"/>
      <c r="O80" s="1713"/>
      <c r="P80" s="1716"/>
      <c r="Q80" s="1710"/>
    </row>
    <row r="81" s="1127" customFormat="1" ht="14.75" spans="1:17">
      <c r="A81" s="1432"/>
      <c r="B81" s="1414"/>
      <c r="C81" s="1422"/>
      <c r="D81" s="1411"/>
      <c r="E81" s="1411"/>
      <c r="F81" s="1411"/>
      <c r="G81" s="1411"/>
      <c r="H81" s="1411"/>
      <c r="I81" s="1411"/>
      <c r="J81" s="1411"/>
      <c r="K81" s="1411"/>
      <c r="L81" s="1411"/>
      <c r="M81" s="1460"/>
      <c r="N81" s="1717"/>
      <c r="O81" s="1717"/>
      <c r="P81" s="1716"/>
      <c r="Q81" s="1710"/>
    </row>
    <row r="82" s="1127" customFormat="1" ht="14.75" spans="1:17">
      <c r="A82" s="1432"/>
      <c r="B82" s="1412">
        <f>B26</f>
        <v>111</v>
      </c>
      <c r="C82" s="1420"/>
      <c r="D82" s="1420"/>
      <c r="E82" s="1420"/>
      <c r="F82" s="1420"/>
      <c r="G82" s="1420"/>
      <c r="H82" s="1420"/>
      <c r="I82" s="1420"/>
      <c r="J82" s="1420"/>
      <c r="K82" s="1420"/>
      <c r="L82" s="1619"/>
      <c r="M82" s="1620"/>
      <c r="N82" s="1713"/>
      <c r="O82" s="1713"/>
      <c r="P82" s="1716"/>
      <c r="Q82" s="1710"/>
    </row>
    <row r="83" s="1127" customFormat="1" ht="14.75" spans="1:17">
      <c r="A83" s="1432"/>
      <c r="B83" s="1414"/>
      <c r="C83" s="1422"/>
      <c r="D83" s="1411"/>
      <c r="E83" s="1411"/>
      <c r="F83" s="1411"/>
      <c r="G83" s="1411"/>
      <c r="H83" s="1411"/>
      <c r="I83" s="1411"/>
      <c r="J83" s="1411"/>
      <c r="K83" s="1411"/>
      <c r="L83" s="1411"/>
      <c r="M83" s="1460"/>
      <c r="N83" s="1717"/>
      <c r="O83" s="1717"/>
      <c r="P83" s="1716"/>
      <c r="Q83" s="1710"/>
    </row>
    <row r="84" s="1129" customFormat="1" ht="14.75" spans="1:17">
      <c r="A84" s="1419"/>
      <c r="B84" s="1412">
        <f>B27</f>
        <v>111</v>
      </c>
      <c r="C84" s="1420"/>
      <c r="D84" s="1420"/>
      <c r="E84" s="1420"/>
      <c r="F84" s="1420"/>
      <c r="G84" s="1420"/>
      <c r="H84" s="1420"/>
      <c r="I84" s="1420"/>
      <c r="J84" s="1420"/>
      <c r="K84" s="1420"/>
      <c r="L84" s="1619"/>
      <c r="M84" s="1620"/>
      <c r="N84" s="1718"/>
      <c r="O84" s="1718"/>
      <c r="P84" s="1719"/>
      <c r="Q84" s="1721"/>
    </row>
    <row r="85" s="1129" customFormat="1" ht="14.75" spans="1:17">
      <c r="A85" s="1419"/>
      <c r="B85" s="1414"/>
      <c r="C85" s="1422"/>
      <c r="D85" s="1411"/>
      <c r="E85" s="1411"/>
      <c r="F85" s="1411"/>
      <c r="G85" s="1411"/>
      <c r="H85" s="1411"/>
      <c r="I85" s="1411"/>
      <c r="J85" s="1411"/>
      <c r="K85" s="1411"/>
      <c r="L85" s="1411"/>
      <c r="M85" s="1460"/>
      <c r="N85" s="1718"/>
      <c r="O85" s="1718"/>
      <c r="P85" s="1719"/>
      <c r="Q85" s="1721"/>
    </row>
    <row r="86" ht="14.75" spans="1:17">
      <c r="A86" s="1409"/>
      <c r="B86" s="1416">
        <f>B28</f>
        <v>111</v>
      </c>
      <c r="C86" s="1404"/>
      <c r="D86" s="1404"/>
      <c r="E86" s="1404"/>
      <c r="F86" s="1404"/>
      <c r="G86" s="1438"/>
      <c r="H86" s="1438"/>
      <c r="I86" s="1438"/>
      <c r="J86" s="1438"/>
      <c r="K86" s="1491"/>
      <c r="L86" s="1492"/>
      <c r="M86" s="1493"/>
      <c r="N86" s="1715"/>
      <c r="O86" s="1715"/>
      <c r="P86" s="1716"/>
      <c r="Q86" s="1710"/>
    </row>
    <row r="87" ht="14.75" spans="1:17">
      <c r="A87" s="1722"/>
      <c r="B87" s="1426"/>
      <c r="C87" s="1427"/>
      <c r="D87" s="1427"/>
      <c r="E87" s="1427"/>
      <c r="F87" s="1427"/>
      <c r="G87" s="1439"/>
      <c r="H87" s="1439"/>
      <c r="I87" s="1439"/>
      <c r="J87" s="1439"/>
      <c r="K87" s="1439"/>
      <c r="L87" s="1439"/>
      <c r="M87" s="1494"/>
      <c r="N87" s="1717"/>
      <c r="O87" s="1717"/>
      <c r="P87" s="1716"/>
      <c r="Q87" s="1710"/>
    </row>
    <row r="88" spans="1:17">
      <c r="A88" s="1407" t="s">
        <v>1056</v>
      </c>
      <c r="B88" s="1408" t="s">
        <v>1591</v>
      </c>
      <c r="C88" s="1335"/>
      <c r="D88" s="1335"/>
      <c r="E88" s="1335"/>
      <c r="F88" s="1335"/>
      <c r="G88" s="1335"/>
      <c r="H88" s="1335"/>
      <c r="I88" s="1335"/>
      <c r="J88" s="1335"/>
      <c r="K88" s="1455"/>
      <c r="L88" s="1456"/>
      <c r="M88" s="1457"/>
      <c r="N88" s="1715"/>
      <c r="O88" s="1715"/>
      <c r="P88" s="1716"/>
      <c r="Q88" s="1710"/>
    </row>
    <row r="89" ht="14.75" spans="1:17">
      <c r="A89" s="1409"/>
      <c r="B89" s="1414"/>
      <c r="C89" s="1415">
        <v>100</v>
      </c>
      <c r="D89" s="1415">
        <f t="shared" ref="D89:M89" si="19">C89-$K29</f>
        <v>100</v>
      </c>
      <c r="E89" s="1415">
        <f t="shared" si="19"/>
        <v>100</v>
      </c>
      <c r="F89" s="1415">
        <f t="shared" si="19"/>
        <v>100</v>
      </c>
      <c r="G89" s="1415">
        <f t="shared" si="19"/>
        <v>100</v>
      </c>
      <c r="H89" s="1415">
        <f t="shared" si="19"/>
        <v>100</v>
      </c>
      <c r="I89" s="1415">
        <f t="shared" si="19"/>
        <v>100</v>
      </c>
      <c r="J89" s="1415">
        <f t="shared" si="19"/>
        <v>100</v>
      </c>
      <c r="K89" s="1415">
        <f t="shared" si="19"/>
        <v>100</v>
      </c>
      <c r="L89" s="1415">
        <f t="shared" si="19"/>
        <v>100</v>
      </c>
      <c r="M89" s="1465">
        <f t="shared" si="19"/>
        <v>100</v>
      </c>
      <c r="N89" s="1717"/>
      <c r="O89" s="1717"/>
      <c r="P89" s="1716"/>
      <c r="Q89" s="1710"/>
    </row>
    <row r="90" ht="14.75" spans="1:17">
      <c r="A90" s="1409"/>
      <c r="B90" s="1412" t="s">
        <v>1059</v>
      </c>
      <c r="C90" s="1431" t="str">
        <f>C91&amp;"(含)"&amp;"-"&amp;D91</f>
        <v>(含)-</v>
      </c>
      <c r="D90" s="1431" t="str">
        <f t="shared" ref="D90:L90" si="20">D91&amp;"(含)"&amp;"-"&amp;E91</f>
        <v>(含)-</v>
      </c>
      <c r="E90" s="1431" t="str">
        <f t="shared" si="20"/>
        <v>(含)-</v>
      </c>
      <c r="F90" s="1431" t="str">
        <f t="shared" si="20"/>
        <v>(含)-</v>
      </c>
      <c r="G90" s="1431" t="str">
        <f t="shared" si="20"/>
        <v>(含)-</v>
      </c>
      <c r="H90" s="1431" t="str">
        <f t="shared" si="20"/>
        <v>(含)-</v>
      </c>
      <c r="I90" s="1431" t="str">
        <f t="shared" si="20"/>
        <v>(含)-</v>
      </c>
      <c r="J90" s="1431" t="str">
        <f t="shared" si="20"/>
        <v>(含)-</v>
      </c>
      <c r="K90" s="1431" t="str">
        <f t="shared" si="20"/>
        <v>(含)-</v>
      </c>
      <c r="L90" s="1431" t="str">
        <f t="shared" si="20"/>
        <v>(含)-</v>
      </c>
      <c r="M90" s="1483" t="str">
        <f>M91&amp;"(含)"&amp;"-"&amp;P91</f>
        <v>(含)-</v>
      </c>
      <c r="N90" s="1713"/>
      <c r="O90" s="1713"/>
      <c r="P90" s="1716"/>
      <c r="Q90" s="1710"/>
    </row>
    <row r="91" s="1129" customFormat="1" spans="1:17">
      <c r="A91" s="1440"/>
      <c r="B91" s="1441"/>
      <c r="C91" s="1396"/>
      <c r="D91" s="1396"/>
      <c r="E91" s="1396"/>
      <c r="F91" s="1396"/>
      <c r="G91" s="1396"/>
      <c r="H91" s="1396"/>
      <c r="I91" s="1396"/>
      <c r="J91" s="1495"/>
      <c r="K91" s="1495"/>
      <c r="L91" s="1496"/>
      <c r="M91" s="1497"/>
      <c r="N91" s="1718"/>
      <c r="O91" s="1718"/>
      <c r="P91" s="1719"/>
      <c r="Q91" s="1721"/>
    </row>
    <row r="92" s="1129" customFormat="1" ht="14.75" spans="1:17">
      <c r="A92" s="1419"/>
      <c r="B92" s="1414"/>
      <c r="C92" s="1422"/>
      <c r="D92" s="1411"/>
      <c r="E92" s="1411"/>
      <c r="F92" s="1411"/>
      <c r="G92" s="1411"/>
      <c r="H92" s="1411"/>
      <c r="I92" s="1411"/>
      <c r="J92" s="1411"/>
      <c r="K92" s="1411"/>
      <c r="L92" s="1411"/>
      <c r="M92" s="1460"/>
      <c r="N92" s="1717"/>
      <c r="O92" s="1717"/>
      <c r="P92" s="1719"/>
      <c r="Q92" s="1721"/>
    </row>
    <row r="93" ht="14.75" spans="1:17">
      <c r="A93" s="1443"/>
      <c r="B93" s="1412" t="s">
        <v>1060</v>
      </c>
      <c r="C93" s="1420"/>
      <c r="D93" s="1420"/>
      <c r="E93" s="1437"/>
      <c r="F93" s="1437"/>
      <c r="G93" s="1437"/>
      <c r="H93" s="1437"/>
      <c r="I93" s="1437"/>
      <c r="J93" s="1437"/>
      <c r="K93" s="1488"/>
      <c r="L93" s="1489"/>
      <c r="M93" s="1490"/>
      <c r="N93" s="1715"/>
      <c r="O93" s="1715"/>
      <c r="P93" s="1716"/>
      <c r="Q93" s="1710"/>
    </row>
    <row r="94" ht="14.75" spans="1:17">
      <c r="A94" s="1409"/>
      <c r="B94" s="1414"/>
      <c r="C94" s="1415">
        <v>100</v>
      </c>
      <c r="D94" s="1415">
        <f t="shared" ref="D94:M94" si="21">C94-$K31</f>
        <v>100</v>
      </c>
      <c r="E94" s="1415">
        <f t="shared" si="21"/>
        <v>100</v>
      </c>
      <c r="F94" s="1415">
        <f t="shared" si="21"/>
        <v>100</v>
      </c>
      <c r="G94" s="1415">
        <f t="shared" si="21"/>
        <v>100</v>
      </c>
      <c r="H94" s="1415">
        <f t="shared" si="21"/>
        <v>100</v>
      </c>
      <c r="I94" s="1415">
        <f t="shared" si="21"/>
        <v>100</v>
      </c>
      <c r="J94" s="1415">
        <f t="shared" si="21"/>
        <v>100</v>
      </c>
      <c r="K94" s="1415">
        <f t="shared" si="21"/>
        <v>100</v>
      </c>
      <c r="L94" s="1415">
        <f t="shared" si="21"/>
        <v>100</v>
      </c>
      <c r="M94" s="1465">
        <f t="shared" si="21"/>
        <v>100</v>
      </c>
      <c r="N94" s="1717"/>
      <c r="O94" s="1717"/>
      <c r="P94" s="1716"/>
      <c r="Q94" s="1710"/>
    </row>
    <row r="95" ht="14.75" spans="1:17">
      <c r="A95" s="1443"/>
      <c r="B95" s="1412" t="s">
        <v>1061</v>
      </c>
      <c r="C95" s="1420"/>
      <c r="D95" s="1420"/>
      <c r="E95" s="1420"/>
      <c r="F95" s="1437"/>
      <c r="G95" s="1437"/>
      <c r="H95" s="1437"/>
      <c r="I95" s="1437"/>
      <c r="J95" s="1437"/>
      <c r="K95" s="1488"/>
      <c r="L95" s="1489"/>
      <c r="M95" s="1490"/>
      <c r="N95" s="1715"/>
      <c r="O95" s="1715"/>
      <c r="P95" s="1716"/>
      <c r="Q95" s="1710"/>
    </row>
    <row r="96" ht="14.75" spans="1:17">
      <c r="A96" s="1409"/>
      <c r="B96" s="1414"/>
      <c r="C96" s="1415">
        <v>100</v>
      </c>
      <c r="D96" s="1415">
        <f t="shared" ref="D96:M96" si="22">C96-$K32</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65">
        <f t="shared" si="22"/>
        <v>100</v>
      </c>
      <c r="N96" s="1717"/>
      <c r="O96" s="1717"/>
      <c r="P96" s="1716"/>
      <c r="Q96" s="1710"/>
    </row>
    <row r="97" ht="14.75" spans="1:17">
      <c r="A97" s="1443"/>
      <c r="B97" s="1412" t="s">
        <v>646</v>
      </c>
      <c r="C97" s="1431" t="str">
        <f>C98&amp;"(含)"&amp;"-"&amp;D98</f>
        <v>0.5(含)-0.6</v>
      </c>
      <c r="D97" s="1431" t="str">
        <f>D98&amp;"(含)"&amp;"-"&amp;E98</f>
        <v>0.6(含)-0.7</v>
      </c>
      <c r="E97" s="1431" t="str">
        <f>E98&amp;"(含)"&amp;"-"&amp;F98</f>
        <v>0.7(含)-0.8</v>
      </c>
      <c r="F97" s="1431" t="str">
        <f>F98&amp;"(含)"&amp;"-"&amp;G98</f>
        <v>0.8(含)-0.9</v>
      </c>
      <c r="G97" s="1431" t="str">
        <f>G98&amp;"(含)"&amp;"-"&amp;ROUND(H98,0)&amp;"(含)"</f>
        <v>0.9(含)-1(含)</v>
      </c>
      <c r="H97" s="1431"/>
      <c r="I97" s="1437"/>
      <c r="J97" s="1437"/>
      <c r="K97" s="1488"/>
      <c r="L97" s="1489"/>
      <c r="M97" s="1490"/>
      <c r="N97" s="1715"/>
      <c r="O97" s="1715"/>
      <c r="P97" s="1716"/>
      <c r="Q97" s="1710"/>
    </row>
    <row r="98" spans="1:17">
      <c r="A98" s="1443"/>
      <c r="B98" s="1416"/>
      <c r="C98" s="891">
        <v>0.5</v>
      </c>
      <c r="D98" s="891">
        <v>0.6</v>
      </c>
      <c r="E98" s="891">
        <v>0.7</v>
      </c>
      <c r="F98" s="891">
        <v>0.8</v>
      </c>
      <c r="G98" s="891">
        <v>0.9</v>
      </c>
      <c r="H98" s="891">
        <v>1.0001</v>
      </c>
      <c r="I98" s="1680"/>
      <c r="J98" s="1680"/>
      <c r="K98" s="1681"/>
      <c r="L98" s="1682"/>
      <c r="M98" s="1683"/>
      <c r="N98" s="1715"/>
      <c r="O98" s="1715"/>
      <c r="P98" s="1716"/>
      <c r="Q98" s="1710"/>
    </row>
    <row r="99" ht="14.75" spans="1:17">
      <c r="A99" s="1409"/>
      <c r="B99" s="1414"/>
      <c r="C99" s="1433">
        <v>100</v>
      </c>
      <c r="D99" s="1415">
        <f>C99+$K33</f>
        <v>100</v>
      </c>
      <c r="E99" s="1415">
        <f t="shared" ref="E99:M99" si="23">D99+$K33</f>
        <v>100</v>
      </c>
      <c r="F99" s="1415">
        <f t="shared" si="23"/>
        <v>100</v>
      </c>
      <c r="G99" s="1415">
        <f t="shared" si="23"/>
        <v>100</v>
      </c>
      <c r="H99" s="1415">
        <f t="shared" si="23"/>
        <v>100</v>
      </c>
      <c r="I99" s="1415">
        <f t="shared" si="23"/>
        <v>100</v>
      </c>
      <c r="J99" s="1415">
        <f t="shared" si="23"/>
        <v>100</v>
      </c>
      <c r="K99" s="1415">
        <f t="shared" si="23"/>
        <v>100</v>
      </c>
      <c r="L99" s="1415">
        <f t="shared" si="23"/>
        <v>100</v>
      </c>
      <c r="M99" s="1415">
        <f t="shared" si="23"/>
        <v>100</v>
      </c>
      <c r="N99" s="1717"/>
      <c r="O99" s="1717"/>
      <c r="P99" s="1716"/>
      <c r="Q99" s="1710"/>
    </row>
    <row r="100" s="1129" customFormat="1" ht="14.75" spans="1:17">
      <c r="A100" s="1440"/>
      <c r="B100" s="1412" t="s">
        <v>1593</v>
      </c>
      <c r="C100" s="1420"/>
      <c r="D100" s="1420"/>
      <c r="E100" s="1420"/>
      <c r="F100" s="1420"/>
      <c r="G100" s="1420"/>
      <c r="H100" s="1437"/>
      <c r="I100" s="1437"/>
      <c r="J100" s="1437"/>
      <c r="K100" s="1488"/>
      <c r="L100" s="1489"/>
      <c r="M100" s="1490"/>
      <c r="N100" s="1718"/>
      <c r="O100" s="1718"/>
      <c r="P100" s="1719"/>
      <c r="Q100" s="1721"/>
    </row>
    <row r="101" s="1129" customFormat="1" ht="14.75" spans="1:17">
      <c r="A101" s="1419"/>
      <c r="B101" s="1414"/>
      <c r="C101" s="1415">
        <v>100</v>
      </c>
      <c r="D101" s="1415">
        <f>C101-$K34</f>
        <v>100</v>
      </c>
      <c r="E101" s="1415">
        <f t="shared" ref="E101:M101" si="24">D101-$K34</f>
        <v>100</v>
      </c>
      <c r="F101" s="1415">
        <f t="shared" si="24"/>
        <v>100</v>
      </c>
      <c r="G101" s="1415">
        <f t="shared" si="24"/>
        <v>100</v>
      </c>
      <c r="H101" s="1415">
        <f t="shared" si="24"/>
        <v>100</v>
      </c>
      <c r="I101" s="1415">
        <f t="shared" si="24"/>
        <v>100</v>
      </c>
      <c r="J101" s="1415">
        <f t="shared" si="24"/>
        <v>100</v>
      </c>
      <c r="K101" s="1415">
        <f t="shared" si="24"/>
        <v>100</v>
      </c>
      <c r="L101" s="1415">
        <f t="shared" si="24"/>
        <v>100</v>
      </c>
      <c r="M101" s="1415">
        <f t="shared" si="24"/>
        <v>100</v>
      </c>
      <c r="N101" s="1718"/>
      <c r="O101" s="1718"/>
      <c r="P101" s="1719"/>
      <c r="Q101" s="1721"/>
    </row>
    <row r="102" ht="14.75" spans="1:17">
      <c r="A102" s="1443"/>
      <c r="B102" s="1412" t="s">
        <v>1063</v>
      </c>
      <c r="C102" s="1420"/>
      <c r="D102" s="1420"/>
      <c r="E102" s="1420"/>
      <c r="F102" s="1420"/>
      <c r="G102" s="1420"/>
      <c r="H102" s="1437"/>
      <c r="I102" s="1437"/>
      <c r="J102" s="1437"/>
      <c r="K102" s="1488"/>
      <c r="L102" s="1489"/>
      <c r="M102" s="1490"/>
      <c r="N102" s="1715"/>
      <c r="O102" s="1715"/>
      <c r="P102" s="1716"/>
      <c r="Q102" s="1710"/>
    </row>
    <row r="103" ht="14.75" spans="1:17">
      <c r="A103" s="1409"/>
      <c r="B103" s="1414"/>
      <c r="C103" s="1415">
        <v>100</v>
      </c>
      <c r="D103" s="1415">
        <f t="shared" ref="D103:M103" si="25">C103-$K35</f>
        <v>100</v>
      </c>
      <c r="E103" s="1415">
        <f t="shared" si="25"/>
        <v>100</v>
      </c>
      <c r="F103" s="1415">
        <f t="shared" si="25"/>
        <v>100</v>
      </c>
      <c r="G103" s="1415">
        <f t="shared" si="25"/>
        <v>100</v>
      </c>
      <c r="H103" s="1415">
        <f t="shared" si="25"/>
        <v>100</v>
      </c>
      <c r="I103" s="1415">
        <f t="shared" si="25"/>
        <v>100</v>
      </c>
      <c r="J103" s="1415">
        <f t="shared" si="25"/>
        <v>100</v>
      </c>
      <c r="K103" s="1415">
        <f t="shared" si="25"/>
        <v>100</v>
      </c>
      <c r="L103" s="1415">
        <f t="shared" si="25"/>
        <v>100</v>
      </c>
      <c r="M103" s="1465">
        <f t="shared" si="25"/>
        <v>100</v>
      </c>
      <c r="N103" s="1717"/>
      <c r="O103" s="1717"/>
      <c r="P103" s="1716"/>
      <c r="Q103" s="1710"/>
    </row>
    <row r="104" ht="14.75" spans="1:17">
      <c r="A104" s="1443"/>
      <c r="B104" s="1412" t="s">
        <v>1069</v>
      </c>
      <c r="C104" s="1420"/>
      <c r="D104" s="1420"/>
      <c r="E104" s="1420"/>
      <c r="F104" s="1420"/>
      <c r="G104" s="1420"/>
      <c r="H104" s="1437"/>
      <c r="I104" s="1437"/>
      <c r="J104" s="1437"/>
      <c r="K104" s="1488"/>
      <c r="L104" s="1489"/>
      <c r="M104" s="1490"/>
      <c r="N104" s="1715"/>
      <c r="O104" s="1715"/>
      <c r="P104" s="1716"/>
      <c r="Q104" s="1710"/>
    </row>
    <row r="105" ht="14.75" spans="1:17">
      <c r="A105" s="1409"/>
      <c r="B105" s="1414"/>
      <c r="C105" s="1415">
        <v>100</v>
      </c>
      <c r="D105" s="1415">
        <f>C105-$K36</f>
        <v>100</v>
      </c>
      <c r="E105" s="1415">
        <f>D105-$K36</f>
        <v>100</v>
      </c>
      <c r="F105" s="1415">
        <f>E105-$K36</f>
        <v>100</v>
      </c>
      <c r="G105" s="1415">
        <f>F105-$K36</f>
        <v>100</v>
      </c>
      <c r="H105" s="1415"/>
      <c r="I105" s="1415"/>
      <c r="J105" s="1415"/>
      <c r="K105" s="1415"/>
      <c r="L105" s="1415"/>
      <c r="M105" s="1465"/>
      <c r="N105" s="1717"/>
      <c r="O105" s="1717"/>
      <c r="P105" s="1716"/>
      <c r="Q105" s="1710"/>
    </row>
    <row r="106" ht="28.75" spans="1:17">
      <c r="A106" s="1443"/>
      <c r="B106" s="1616" t="s">
        <v>1626</v>
      </c>
      <c r="C106" s="1431" t="s">
        <v>1087</v>
      </c>
      <c r="D106" s="1431" t="s">
        <v>1088</v>
      </c>
      <c r="E106" s="1431" t="s">
        <v>1089</v>
      </c>
      <c r="F106" s="1431" t="s">
        <v>1090</v>
      </c>
      <c r="G106" s="1431" t="s">
        <v>1091</v>
      </c>
      <c r="H106" s="1413"/>
      <c r="I106" s="1413"/>
      <c r="J106" s="1413"/>
      <c r="K106" s="1462"/>
      <c r="L106" s="1463"/>
      <c r="M106" s="1464"/>
      <c r="N106" s="1717"/>
      <c r="O106" s="1717"/>
      <c r="P106" s="1726"/>
      <c r="Q106" s="1728"/>
    </row>
    <row r="107" ht="14.75" spans="1:17">
      <c r="A107" s="1409"/>
      <c r="B107" s="1414"/>
      <c r="C107" s="1433">
        <v>100</v>
      </c>
      <c r="D107" s="1415">
        <f t="shared" ref="D107:M107" si="26">C107-$K37</f>
        <v>100</v>
      </c>
      <c r="E107" s="1415">
        <f t="shared" si="26"/>
        <v>100</v>
      </c>
      <c r="F107" s="1415">
        <f t="shared" si="26"/>
        <v>100</v>
      </c>
      <c r="G107" s="1415">
        <f t="shared" si="26"/>
        <v>100</v>
      </c>
      <c r="H107" s="1415">
        <f t="shared" si="26"/>
        <v>100</v>
      </c>
      <c r="I107" s="1415">
        <f t="shared" si="26"/>
        <v>100</v>
      </c>
      <c r="J107" s="1415">
        <f t="shared" si="26"/>
        <v>100</v>
      </c>
      <c r="K107" s="1415">
        <f t="shared" si="26"/>
        <v>100</v>
      </c>
      <c r="L107" s="1415">
        <f t="shared" si="26"/>
        <v>100</v>
      </c>
      <c r="M107" s="1415">
        <f t="shared" si="26"/>
        <v>100</v>
      </c>
      <c r="N107" s="1717"/>
      <c r="O107" s="1717"/>
      <c r="P107" s="1716"/>
      <c r="Q107" s="1710"/>
    </row>
    <row r="108" s="1129" customFormat="1" ht="14.75" spans="1:17">
      <c r="A108" s="1440"/>
      <c r="B108" s="1412">
        <f>B38</f>
        <v>111</v>
      </c>
      <c r="C108" s="1420"/>
      <c r="D108" s="1420"/>
      <c r="E108" s="1420"/>
      <c r="F108" s="1420"/>
      <c r="G108" s="1420"/>
      <c r="H108" s="1421"/>
      <c r="I108" s="1421"/>
      <c r="J108" s="1421"/>
      <c r="K108" s="1421"/>
      <c r="L108" s="1469"/>
      <c r="M108" s="1470"/>
      <c r="N108" s="1718"/>
      <c r="O108" s="1718"/>
      <c r="P108" s="1719"/>
      <c r="Q108" s="1721"/>
    </row>
    <row r="109" s="1129" customFormat="1" ht="14.75" spans="1:17">
      <c r="A109" s="1419"/>
      <c r="B109" s="1410"/>
      <c r="C109" s="1422"/>
      <c r="D109" s="1411"/>
      <c r="E109" s="1411"/>
      <c r="F109" s="1411"/>
      <c r="G109" s="1422"/>
      <c r="H109" s="1423"/>
      <c r="I109" s="1423"/>
      <c r="J109" s="1423"/>
      <c r="K109" s="1423"/>
      <c r="L109" s="1423"/>
      <c r="M109" s="1473"/>
      <c r="N109" s="1718"/>
      <c r="O109" s="1718"/>
      <c r="P109" s="1719"/>
      <c r="Q109" s="1721"/>
    </row>
    <row r="110" ht="14.75" spans="1:17">
      <c r="A110" s="1443"/>
      <c r="B110" s="1412">
        <f>B39</f>
        <v>111</v>
      </c>
      <c r="C110" s="1420"/>
      <c r="D110" s="1420"/>
      <c r="E110" s="1420"/>
      <c r="F110" s="1420"/>
      <c r="G110" s="1420"/>
      <c r="H110" s="1421"/>
      <c r="I110" s="1421"/>
      <c r="J110" s="1421"/>
      <c r="K110" s="1421"/>
      <c r="L110" s="1469"/>
      <c r="M110" s="1470"/>
      <c r="N110" s="1715"/>
      <c r="O110" s="1715"/>
      <c r="P110" s="1716"/>
      <c r="Q110" s="1710"/>
    </row>
    <row r="111" ht="14.75" spans="1:17">
      <c r="A111" s="1409"/>
      <c r="B111" s="1414"/>
      <c r="C111" s="1422"/>
      <c r="D111" s="1411"/>
      <c r="E111" s="1411"/>
      <c r="F111" s="1411"/>
      <c r="G111" s="1422"/>
      <c r="H111" s="1423"/>
      <c r="I111" s="1423"/>
      <c r="J111" s="1423"/>
      <c r="K111" s="1423"/>
      <c r="L111" s="1423"/>
      <c r="M111" s="1473"/>
      <c r="N111" s="1717"/>
      <c r="O111" s="1717"/>
      <c r="P111" s="1716"/>
      <c r="Q111" s="1710"/>
    </row>
    <row r="112" ht="14.75" spans="1:17">
      <c r="A112" s="1443"/>
      <c r="B112" s="1416">
        <f>B40</f>
        <v>111</v>
      </c>
      <c r="C112" s="1404"/>
      <c r="D112" s="1404"/>
      <c r="E112" s="1404"/>
      <c r="F112" s="1404"/>
      <c r="G112" s="1438"/>
      <c r="H112" s="1438"/>
      <c r="I112" s="1438"/>
      <c r="J112" s="1438"/>
      <c r="K112" s="1404"/>
      <c r="L112" s="1450"/>
      <c r="M112" s="1493"/>
      <c r="N112" s="1715"/>
      <c r="O112" s="1715"/>
      <c r="P112" s="1716"/>
      <c r="Q112" s="1710"/>
    </row>
    <row r="113" ht="14.75" spans="1:17">
      <c r="A113" s="1722"/>
      <c r="B113" s="1426"/>
      <c r="C113" s="1427"/>
      <c r="D113" s="1427"/>
      <c r="E113" s="1427"/>
      <c r="F113" s="1427"/>
      <c r="G113" s="1439"/>
      <c r="H113" s="1439"/>
      <c r="I113" s="1439"/>
      <c r="J113" s="1439"/>
      <c r="K113" s="1439"/>
      <c r="L113" s="1439"/>
      <c r="M113" s="1494"/>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4" customWidth="1"/>
    <col min="2" max="16384" width="9" style="984"/>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受贵公司委托，我公司对房地产抵押价值进行了预评估。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估价对象为房地产，为所有。根据《国有土地使用证》[]，估价对象（分摊）出让国有建设用地使用权面积为11805平方米，建筑面积为54377.37平方米。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估价对象为房地产,属开发建设的工业项目，该项目尚在开发建设中。根据《国有土地使用证》[]，估价对象（分摊）出让国有建设用地使用权面积为11805平方米，规划建筑面积为54377.37平方米。</v>
      </c>
    </row>
    <row r="11" ht="70" spans="1:1">
      <c r="A11" s="3700" t="s">
        <v>87</v>
      </c>
    </row>
    <row r="12" ht="17.5" spans="1:1">
      <c r="A12" s="3698" t="s">
        <v>88</v>
      </c>
    </row>
    <row r="13" ht="38.25" customHeight="1" spans="1:1">
      <c r="A13" s="370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2025年7月23日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23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02" t="s">
        <v>92</v>
      </c>
    </row>
    <row r="24" ht="17.5" spans="1:1">
      <c r="A24" s="3651" t="str">
        <f>"本次评估采用的主估价方法为"&amp;结果表!K4&amp;"和"&amp;结果表!L4&amp;"。"</f>
        <v>本次评估采用的主估价方法为成本法和假设开发法。</v>
      </c>
    </row>
    <row r="25" ht="17.5" spans="1:1">
      <c r="A25" s="3651"/>
    </row>
    <row r="26" ht="17.5" spans="1:1">
      <c r="A26" s="3704" t="s">
        <v>93</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5.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628"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1627</v>
      </c>
      <c r="B1" s="1549" t="s">
        <v>559</v>
      </c>
      <c r="C1" s="1550" t="s">
        <v>1007</v>
      </c>
      <c r="D1" s="1551"/>
      <c r="E1" s="1552"/>
      <c r="F1" s="1553"/>
      <c r="G1" s="1629" t="s">
        <v>1011</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26" customFormat="1" ht="28.5" customHeight="1" spans="1:29">
      <c r="A2" s="1556" t="s">
        <v>1012</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06" t="e">
        <f ca="1">IF(E1="项目模式",SUMIF(INDIRECT("'"&amp;F2&amp;"'"&amp;"!A:A"),"承租人权益价值",INDIRECT("'"&amp;F2&amp;"'"&amp;"!c:c")),SUMIF(INDIRECT("'"&amp;F2&amp;"'"&amp;"!A:A"),"承租人权益价值（单套）",INDIRECT("'"&amp;F2&amp;"'"&amp;"!c:c")))</f>
        <v>#REF!</v>
      </c>
      <c r="E2" s="1559" t="s">
        <v>1013</v>
      </c>
      <c r="F2" s="1560"/>
      <c r="G2" s="1142"/>
      <c r="H2" s="1142"/>
      <c r="I2" s="1142"/>
      <c r="J2" s="1142"/>
      <c r="K2" s="1302"/>
      <c r="L2" s="1303"/>
      <c r="M2" s="1304"/>
      <c r="N2" s="1304"/>
      <c r="O2" s="1304"/>
      <c r="P2" s="1663"/>
      <c r="Q2" s="1301"/>
      <c r="R2" s="1301"/>
      <c r="S2" s="1301"/>
      <c r="T2" s="1301"/>
      <c r="U2" s="1301"/>
      <c r="V2" s="1301"/>
      <c r="W2" s="1301"/>
      <c r="X2" s="1301"/>
      <c r="Y2" s="1301"/>
      <c r="Z2" s="1301"/>
      <c r="AA2" s="1301"/>
      <c r="AB2" s="1301"/>
      <c r="AC2" s="1381"/>
    </row>
    <row r="3" s="1126" customFormat="1" ht="28.5" customHeight="1" spans="1:29">
      <c r="A3" s="409" t="s">
        <v>1014</v>
      </c>
      <c r="B3" s="1144" t="e">
        <f ca="1">IF(AND(C2="——",B37="元/平方米"),C39,ROUND(B2*10000/D3,0))</f>
        <v>#DIV/0!</v>
      </c>
      <c r="C3" s="1561" t="s">
        <v>1015</v>
      </c>
      <c r="D3" s="1562">
        <f>SUMIF('数据-汇总表'!$C19:$C33,D1,'数据-汇总表'!$E19:$E33)</f>
        <v>0</v>
      </c>
      <c r="E3" s="1561" t="s">
        <v>1628</v>
      </c>
      <c r="F3" s="1562">
        <f>SUMIF('数据-取费表'!A5:A15,D1,'数据-取费表'!AH5:AH15)</f>
        <v>0</v>
      </c>
      <c r="G3" s="1142"/>
      <c r="H3" s="1142"/>
      <c r="I3" s="1142"/>
      <c r="J3" s="1142"/>
      <c r="K3" s="1302"/>
      <c r="L3" s="1303"/>
      <c r="M3" s="1304" t="e">
        <f ca="1">IF(C2="——",IF(B37="元/平方米",ROUND(C39*D3/10000,0),ROUND(F3*C39/10000,0)),IF(B37="元/平方米",ROUND(C39*D3/10000,0),ROUND(F3*C39/10000,0))-D2)</f>
        <v>#DIV/0!</v>
      </c>
      <c r="N3" s="1304"/>
      <c r="O3" s="1304"/>
      <c r="P3" s="1663"/>
      <c r="Q3" s="1301"/>
      <c r="R3" s="1301"/>
      <c r="S3" s="1301"/>
      <c r="T3" s="1301"/>
      <c r="U3" s="1301"/>
      <c r="V3" s="1301"/>
      <c r="W3" s="1301"/>
      <c r="X3" s="1301"/>
      <c r="Y3" s="1301"/>
      <c r="Z3" s="1301"/>
      <c r="AA3" s="1301"/>
      <c r="AB3" s="1382"/>
      <c r="AC3" s="1383"/>
    </row>
    <row r="4" spans="1:29">
      <c r="A4" s="1146" t="s">
        <v>1016</v>
      </c>
      <c r="B4" s="1147"/>
      <c r="C4" s="1148" t="s">
        <v>1017</v>
      </c>
      <c r="D4" s="1149"/>
      <c r="E4" s="1150" t="s">
        <v>1018</v>
      </c>
      <c r="F4" s="1151"/>
      <c r="G4" s="1148" t="s">
        <v>1019</v>
      </c>
      <c r="H4" s="1149"/>
      <c r="I4" s="1148" t="s">
        <v>1020</v>
      </c>
      <c r="J4" s="1149"/>
      <c r="K4" s="1305" t="s">
        <v>1021</v>
      </c>
      <c r="L4" s="1306"/>
      <c r="M4" s="1307"/>
      <c r="N4" s="1307"/>
      <c r="O4" s="1307"/>
      <c r="P4" s="1308" t="s">
        <v>1022</v>
      </c>
      <c r="Q4" s="1356"/>
      <c r="R4" s="1357" t="s">
        <v>1018</v>
      </c>
      <c r="S4" s="1358"/>
      <c r="T4" s="1357" t="s">
        <v>1019</v>
      </c>
      <c r="U4" s="1358"/>
      <c r="V4" s="1346" t="s">
        <v>1020</v>
      </c>
      <c r="W4" s="1346"/>
      <c r="X4" s="1359"/>
      <c r="Y4" s="1357" t="s">
        <v>1022</v>
      </c>
      <c r="Z4" s="1358"/>
      <c r="AA4" s="1384" t="s">
        <v>1018</v>
      </c>
      <c r="AB4" s="1359" t="s">
        <v>1019</v>
      </c>
      <c r="AC4" s="1384" t="s">
        <v>1020</v>
      </c>
    </row>
    <row r="5" spans="1:29">
      <c r="A5" s="1152"/>
      <c r="B5" s="1153"/>
      <c r="C5" s="1154" t="s">
        <v>1023</v>
      </c>
      <c r="D5" s="1155"/>
      <c r="E5" s="1156" t="s">
        <v>1586</v>
      </c>
      <c r="F5" s="1157"/>
      <c r="G5" s="1154" t="s">
        <v>1587</v>
      </c>
      <c r="H5" s="1155"/>
      <c r="I5" s="1154" t="s">
        <v>1588</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1027</v>
      </c>
      <c r="D6" s="1508"/>
      <c r="E6" s="1509" t="s">
        <v>1027</v>
      </c>
      <c r="F6" s="1510"/>
      <c r="G6" s="1507" t="s">
        <v>1027</v>
      </c>
      <c r="H6" s="1508"/>
      <c r="I6" s="1507" t="s">
        <v>1027</v>
      </c>
      <c r="J6" s="1508"/>
      <c r="K6" s="1305" t="s">
        <v>1028</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1029</v>
      </c>
      <c r="B7" s="1165"/>
      <c r="C7" s="1166">
        <f>'数据-取费表'!B2</f>
        <v>45861</v>
      </c>
      <c r="D7" s="1167">
        <v>100</v>
      </c>
      <c r="E7" s="1168"/>
      <c r="F7" s="1169">
        <f>SUMIF(48:48,YEAR(E7)&amp;"-"&amp;MONTH(E7),49:49)</f>
        <v>0</v>
      </c>
      <c r="G7" s="1168"/>
      <c r="H7" s="1167">
        <f>SUMIF(48:48,YEAR(G7)&amp;"-"&amp;MONTH(G7),49:49)</f>
        <v>0</v>
      </c>
      <c r="I7" s="1168"/>
      <c r="J7" s="1167">
        <f>SUMIF(48:48,YEAR(I7)&amp;"-"&amp;MONTH(I7),49:49)</f>
        <v>0</v>
      </c>
      <c r="K7" s="1311"/>
      <c r="L7" s="1312"/>
      <c r="M7" s="1313"/>
      <c r="N7" s="1313"/>
      <c r="O7" s="1313"/>
      <c r="P7" s="1314" t="s">
        <v>1030</v>
      </c>
      <c r="Q7" s="1366"/>
      <c r="R7" s="1367" t="s">
        <v>1031</v>
      </c>
      <c r="S7" s="1368">
        <f t="shared" ref="S7:S14" si="0">F7</f>
        <v>0</v>
      </c>
      <c r="T7" s="1367" t="s">
        <v>1031</v>
      </c>
      <c r="U7" s="1368">
        <f t="shared" ref="U7:U14" si="1">H7</f>
        <v>0</v>
      </c>
      <c r="V7" s="1367" t="s">
        <v>1031</v>
      </c>
      <c r="W7" s="1368">
        <f t="shared" ref="W7:W14" si="2">J7</f>
        <v>0</v>
      </c>
      <c r="X7" s="1369"/>
      <c r="Y7" s="1314" t="s">
        <v>1030</v>
      </c>
      <c r="Z7" s="1370"/>
      <c r="AA7" s="1386" t="e">
        <f>D7/F7</f>
        <v>#DIV/0!</v>
      </c>
      <c r="AB7" s="1386" t="e">
        <f>D7/H7</f>
        <v>#DIV/0!</v>
      </c>
      <c r="AC7" s="1386" t="e">
        <f>D7/J7</f>
        <v>#DIV/0!</v>
      </c>
    </row>
    <row r="8" s="1127" customFormat="1" ht="14.75" spans="1:29">
      <c r="A8" s="1164" t="s">
        <v>1032</v>
      </c>
      <c r="B8" s="1165"/>
      <c r="C8" s="1171"/>
      <c r="D8" s="1167">
        <v>100</v>
      </c>
      <c r="E8" s="1171"/>
      <c r="F8" s="1169">
        <f>SUMIF(51:51,E8,52:52)-SUMIF(51:51,C8,52:52)+100</f>
        <v>100</v>
      </c>
      <c r="G8" s="1171"/>
      <c r="H8" s="1167">
        <f>SUMIF(51:51,G8,52:52)-SUMIF(51:51,C8,52:52)+100</f>
        <v>100</v>
      </c>
      <c r="I8" s="1171"/>
      <c r="J8" s="1167">
        <f>SUMIF(51:51,I8,52:52)-SUMIF(51:51,C8,52:52)+100</f>
        <v>100</v>
      </c>
      <c r="K8" s="1311"/>
      <c r="L8" s="1312"/>
      <c r="M8" s="1313"/>
      <c r="N8" s="1313"/>
      <c r="O8" s="1313"/>
      <c r="P8" s="1314" t="s">
        <v>1034</v>
      </c>
      <c r="Q8" s="1370"/>
      <c r="R8" s="1367" t="s">
        <v>1031</v>
      </c>
      <c r="S8" s="1368">
        <f t="shared" si="0"/>
        <v>100</v>
      </c>
      <c r="T8" s="1367" t="s">
        <v>1031</v>
      </c>
      <c r="U8" s="1368">
        <f t="shared" si="1"/>
        <v>100</v>
      </c>
      <c r="V8" s="1367" t="s">
        <v>1031</v>
      </c>
      <c r="W8" s="1368">
        <f t="shared" si="2"/>
        <v>100</v>
      </c>
      <c r="X8" s="1369"/>
      <c r="Y8" s="1314" t="s">
        <v>1034</v>
      </c>
      <c r="Z8" s="1370"/>
      <c r="AA8" s="1386">
        <f t="shared" ref="AA8:AA36" si="3">D8/F8</f>
        <v>1</v>
      </c>
      <c r="AB8" s="1386">
        <f t="shared" ref="AB8:AB36" si="4">D8/H8</f>
        <v>1</v>
      </c>
      <c r="AC8" s="1386">
        <f t="shared" ref="AC8:AC36" si="5">D8/J8</f>
        <v>1</v>
      </c>
    </row>
    <row r="9" s="1127" customFormat="1" spans="1:29">
      <c r="A9" s="1631" t="s">
        <v>1035</v>
      </c>
      <c r="B9" s="1632" t="s">
        <v>1036</v>
      </c>
      <c r="C9" s="1563"/>
      <c r="D9" s="1175">
        <v>100</v>
      </c>
      <c r="E9" s="1564"/>
      <c r="F9" s="1175">
        <f>SUMIF(53:53,E9,54:54)-SUMIF(53:53,C9,54:54)+100</f>
        <v>100</v>
      </c>
      <c r="G9" s="1633"/>
      <c r="H9" s="1175">
        <f>SUMIF(53:53,G9,54:54)-SUMIF(53:53,C9,54:54)+100</f>
        <v>100</v>
      </c>
      <c r="I9" s="1633"/>
      <c r="J9" s="1175">
        <f>SUMIF(53:53,I9,54:54)-SUMIF(53:53,C9,54:54)+100</f>
        <v>100</v>
      </c>
      <c r="K9" s="1311"/>
      <c r="L9" s="1312"/>
      <c r="M9" s="1313"/>
      <c r="N9" s="1313"/>
      <c r="O9" s="1313"/>
      <c r="P9" s="712" t="s">
        <v>1037</v>
      </c>
      <c r="Q9" s="1371" t="str">
        <f t="shared" ref="Q9:Q14" si="6">B9</f>
        <v>用途</v>
      </c>
      <c r="R9" s="1367" t="s">
        <v>1031</v>
      </c>
      <c r="S9" s="1368">
        <f t="shared" si="0"/>
        <v>100</v>
      </c>
      <c r="T9" s="1367" t="s">
        <v>1031</v>
      </c>
      <c r="U9" s="1368">
        <f t="shared" si="1"/>
        <v>100</v>
      </c>
      <c r="V9" s="1367" t="s">
        <v>1031</v>
      </c>
      <c r="W9" s="1368">
        <f t="shared" si="2"/>
        <v>100</v>
      </c>
      <c r="X9" s="1369"/>
      <c r="Y9" s="1371" t="s">
        <v>1038</v>
      </c>
      <c r="Z9" s="1387" t="str">
        <f t="shared" ref="Z9:Z14" si="7">Q9</f>
        <v>用途</v>
      </c>
      <c r="AA9" s="1386">
        <f t="shared" si="3"/>
        <v>1</v>
      </c>
      <c r="AB9" s="1386">
        <f t="shared" si="4"/>
        <v>1</v>
      </c>
      <c r="AC9" s="1386">
        <f t="shared" si="5"/>
        <v>1</v>
      </c>
    </row>
    <row r="10" s="1128" customFormat="1" ht="28" spans="1:29">
      <c r="A10" s="1634"/>
      <c r="B10" s="1635" t="s">
        <v>1039</v>
      </c>
      <c r="C10" s="1566"/>
      <c r="D10" s="1179">
        <v>100</v>
      </c>
      <c r="E10" s="1566"/>
      <c r="F10" s="1179">
        <f>SUMIF(55:55,E10,56:56)-SUMIF(55:55,C10,56:56)+100</f>
        <v>100</v>
      </c>
      <c r="G10" s="1636"/>
      <c r="H10" s="1179">
        <f>SUMIF(55:55,G10,56:56)-SUMIF(55:55,C10,56:56)+100</f>
        <v>100</v>
      </c>
      <c r="I10" s="1566"/>
      <c r="J10" s="1179">
        <f>SUMIF(55:55,I10,56:56)-SUMIF(55:55,C10,56:56)+100</f>
        <v>100</v>
      </c>
      <c r="K10" s="1311"/>
      <c r="L10" s="1317"/>
      <c r="M10" s="1318"/>
      <c r="N10" s="1318"/>
      <c r="O10" s="1318"/>
      <c r="P10" s="712"/>
      <c r="Q10" s="1371" t="str">
        <f t="shared" si="6"/>
        <v>土地使用年限（年）</v>
      </c>
      <c r="R10" s="1367" t="s">
        <v>1031</v>
      </c>
      <c r="S10" s="1368">
        <f t="shared" si="0"/>
        <v>100</v>
      </c>
      <c r="T10" s="1367" t="s">
        <v>1031</v>
      </c>
      <c r="U10" s="1368">
        <f t="shared" si="1"/>
        <v>100</v>
      </c>
      <c r="V10" s="1367" t="s">
        <v>1031</v>
      </c>
      <c r="W10" s="1368">
        <f t="shared" si="2"/>
        <v>100</v>
      </c>
      <c r="X10" s="1369"/>
      <c r="Y10" s="1371"/>
      <c r="Z10" s="1387" t="str">
        <f t="shared" si="7"/>
        <v>土地使用年限（年）</v>
      </c>
      <c r="AA10" s="1386">
        <f t="shared" si="3"/>
        <v>1</v>
      </c>
      <c r="AB10" s="1386">
        <f t="shared" si="4"/>
        <v>1</v>
      </c>
      <c r="AC10" s="1386">
        <f t="shared" si="5"/>
        <v>1</v>
      </c>
    </row>
    <row r="11" ht="15.5" spans="1:29">
      <c r="A11" s="1637"/>
      <c r="B11" s="1638">
        <v>111</v>
      </c>
      <c r="C11" s="1178"/>
      <c r="D11" s="1179">
        <v>100</v>
      </c>
      <c r="E11" s="1178"/>
      <c r="F11" s="1179">
        <f>SUMIF(57:57,E11,58:58)-SUMIF(57:57,C11,58:58)+100</f>
        <v>100</v>
      </c>
      <c r="G11" s="1178"/>
      <c r="H11" s="1179">
        <f>SUMIF(57:57,G11,58:58)-SUMIF(57:57,C11,58:58)+100</f>
        <v>100</v>
      </c>
      <c r="I11" s="1178"/>
      <c r="J11" s="1179">
        <f>SUMIF(57:57,I11,58:58)-SUMIF(57:57,C11,58:58)+100</f>
        <v>100</v>
      </c>
      <c r="K11" s="1329"/>
      <c r="L11" s="1321"/>
      <c r="M11" s="1307"/>
      <c r="N11" s="1307"/>
      <c r="O11" s="1307"/>
      <c r="P11" s="712"/>
      <c r="Q11" s="1371">
        <f t="shared" si="6"/>
        <v>111</v>
      </c>
      <c r="R11" s="1367" t="s">
        <v>1031</v>
      </c>
      <c r="S11" s="1368">
        <f t="shared" si="0"/>
        <v>100</v>
      </c>
      <c r="T11" s="1367" t="s">
        <v>1031</v>
      </c>
      <c r="U11" s="1368">
        <f t="shared" si="1"/>
        <v>100</v>
      </c>
      <c r="V11" s="1367" t="s">
        <v>1031</v>
      </c>
      <c r="W11" s="1368">
        <f t="shared" si="2"/>
        <v>100</v>
      </c>
      <c r="X11" s="1369"/>
      <c r="Y11" s="1371"/>
      <c r="Z11" s="1387">
        <f t="shared" si="7"/>
        <v>111</v>
      </c>
      <c r="AA11" s="1386">
        <f t="shared" si="3"/>
        <v>1</v>
      </c>
      <c r="AB11" s="1386">
        <f t="shared" si="4"/>
        <v>1</v>
      </c>
      <c r="AC11" s="1386">
        <f t="shared" si="5"/>
        <v>1</v>
      </c>
    </row>
    <row r="12" s="1127" customFormat="1" ht="15.5" spans="1:29">
      <c r="A12" s="1639"/>
      <c r="B12" s="1638">
        <v>111</v>
      </c>
      <c r="C12" s="1178"/>
      <c r="D12" s="1186">
        <v>100</v>
      </c>
      <c r="E12" s="1178"/>
      <c r="F12" s="1179">
        <f>SUMIF(59:59,E12,60:60)-SUMIF(59:59,C12,60:60)+100</f>
        <v>100</v>
      </c>
      <c r="G12" s="1178"/>
      <c r="H12" s="1179">
        <f>SUMIF(59:59,G12,60:60)-SUMIF(59:59,C12,60:60)+100</f>
        <v>100</v>
      </c>
      <c r="I12" s="1178"/>
      <c r="J12" s="1179">
        <f>SUMIF(59:59,I12,60:60)-SUMIF(59:59,C12,60:60)+100</f>
        <v>100</v>
      </c>
      <c r="K12" s="1329"/>
      <c r="L12" s="1312"/>
      <c r="M12" s="1313"/>
      <c r="N12" s="1313"/>
      <c r="O12" s="1313"/>
      <c r="P12" s="712"/>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386">
        <f t="shared" si="5"/>
        <v>1</v>
      </c>
    </row>
    <row r="13" ht="16.25" spans="1:29">
      <c r="A13" s="1640"/>
      <c r="B13" s="1638">
        <v>111</v>
      </c>
      <c r="C13" s="1189"/>
      <c r="D13" s="1190">
        <v>100</v>
      </c>
      <c r="E13" s="1178"/>
      <c r="F13" s="1179">
        <f>SUMIF(61:61,E13,62:62)-SUMIF(61:61,C13,62:62)+100</f>
        <v>100</v>
      </c>
      <c r="G13" s="1178"/>
      <c r="H13" s="1190">
        <f>SUMIF(61:61,G13,62:62)-SUMIF(61:61,C13,62:62)+100</f>
        <v>100</v>
      </c>
      <c r="I13" s="1178"/>
      <c r="J13" s="1190">
        <f>SUMIF(61:61,I13,62:62)-SUMIF(61:61,C13,62:62)+100</f>
        <v>100</v>
      </c>
      <c r="K13" s="1329"/>
      <c r="L13" s="1323"/>
      <c r="M13" s="1307"/>
      <c r="N13" s="1307"/>
      <c r="O13" s="1307"/>
      <c r="P13" s="712"/>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98" spans="1:29">
      <c r="A14" s="1146" t="s">
        <v>1043</v>
      </c>
      <c r="B14" s="1196" t="s">
        <v>1048</v>
      </c>
      <c r="C14" s="1197" t="str">
        <f>IF(B1="工业",估价对象房地状况!G4,估价对象房地状况!C6)</f>
        <v>估价对象周边道路状况、公共交通通达情况、停车便捷程度，综合评价交通便捷度较好</v>
      </c>
      <c r="D14" s="1198">
        <v>100</v>
      </c>
      <c r="E14" s="1199"/>
      <c r="F14" s="1570">
        <f>SUMIF(63:63,E15,64:64)-SUMIF(63:63,C15,64:64)+100</f>
        <v>100</v>
      </c>
      <c r="G14" s="1324"/>
      <c r="H14" s="1198">
        <f>SUMIF(63:63,G15,64:64)-SUMIF(63:63,C15,64:64)+100</f>
        <v>100</v>
      </c>
      <c r="I14" s="1199"/>
      <c r="J14" s="1198">
        <f>SUMIF(63:63,I15,64:64)-SUMIF(63:63,C15,64:64)+100</f>
        <v>100</v>
      </c>
      <c r="K14" s="1609"/>
      <c r="L14" s="1323"/>
      <c r="M14" s="1307"/>
      <c r="N14" s="1307"/>
      <c r="O14" s="1307"/>
      <c r="P14" s="1325" t="s">
        <v>1045</v>
      </c>
      <c r="Q14" s="712" t="str">
        <f t="shared" si="6"/>
        <v>交通便捷度</v>
      </c>
      <c r="R14" s="1372" t="s">
        <v>1031</v>
      </c>
      <c r="S14" s="1373">
        <f t="shared" si="0"/>
        <v>100</v>
      </c>
      <c r="T14" s="1372" t="s">
        <v>1031</v>
      </c>
      <c r="U14" s="1373">
        <f t="shared" si="1"/>
        <v>100</v>
      </c>
      <c r="V14" s="1372" t="s">
        <v>1031</v>
      </c>
      <c r="W14" s="1373">
        <f t="shared" si="2"/>
        <v>100</v>
      </c>
      <c r="X14" s="1359"/>
      <c r="Y14" s="1325" t="s">
        <v>1045</v>
      </c>
      <c r="Z14" s="1346" t="str">
        <f t="shared" si="7"/>
        <v>交通便捷度</v>
      </c>
      <c r="AA14" s="1388">
        <f t="shared" si="3"/>
        <v>1</v>
      </c>
      <c r="AB14" s="1388">
        <f t="shared" si="4"/>
        <v>1</v>
      </c>
      <c r="AC14" s="1388">
        <f t="shared" si="5"/>
        <v>1</v>
      </c>
    </row>
    <row r="15" ht="15.5" spans="1:29">
      <c r="A15" s="1152"/>
      <c r="B15" s="1641"/>
      <c r="C15" s="1201"/>
      <c r="D15" s="1202"/>
      <c r="E15" s="1201"/>
      <c r="F15" s="1571"/>
      <c r="G15" s="1201"/>
      <c r="H15" s="1203"/>
      <c r="I15" s="1201"/>
      <c r="J15" s="1202"/>
      <c r="K15" s="1610"/>
      <c r="L15" s="1323"/>
      <c r="M15" s="1307"/>
      <c r="N15" s="1307"/>
      <c r="O15" s="1307"/>
      <c r="P15" s="1326"/>
      <c r="Q15" s="712"/>
      <c r="R15" s="1372"/>
      <c r="S15" s="1373"/>
      <c r="T15" s="1372"/>
      <c r="U15" s="1373"/>
      <c r="V15" s="1372"/>
      <c r="W15" s="1373"/>
      <c r="X15" s="1359"/>
      <c r="Y15" s="1326"/>
      <c r="Z15" s="1346"/>
      <c r="AA15" s="1388">
        <v>1</v>
      </c>
      <c r="AB15" s="1388">
        <v>1</v>
      </c>
      <c r="AC15" s="1388">
        <v>1</v>
      </c>
    </row>
    <row r="16" ht="42" spans="1:29">
      <c r="A16" s="1152"/>
      <c r="B16" s="1204" t="s">
        <v>1049</v>
      </c>
      <c r="C16" s="1205" t="str">
        <f>IF(B1="工业",估价对象房地状况!G5,估价对象房地状况!C7)</f>
        <v>估价对象所在区域公共配套设施齐备情况</v>
      </c>
      <c r="D16" s="1207">
        <v>100</v>
      </c>
      <c r="E16" s="1521"/>
      <c r="F16" s="1572">
        <f>SUMIF(65:65,E17,66:66)-SUMIF(65:65,C17,66:66)+100</f>
        <v>100</v>
      </c>
      <c r="G16" s="1531"/>
      <c r="H16" s="1207">
        <f>SUMIF(65:65,G17,66:66)-SUMIF(65:65,C17,66:66)+100</f>
        <v>100</v>
      </c>
      <c r="I16" s="1521"/>
      <c r="J16" s="1207">
        <f>SUMIF(65:65,I17,66:66)-SUMIF(65:65,C17,66:66)+100</f>
        <v>100</v>
      </c>
      <c r="K16" s="1609"/>
      <c r="L16" s="1323"/>
      <c r="M16" s="1307"/>
      <c r="N16" s="1307"/>
      <c r="O16" s="1307"/>
      <c r="P16" s="1326"/>
      <c r="Q16" s="712" t="str">
        <f>B16</f>
        <v>公共配套设施</v>
      </c>
      <c r="R16" s="1372" t="s">
        <v>1031</v>
      </c>
      <c r="S16" s="1373">
        <f>F16</f>
        <v>100</v>
      </c>
      <c r="T16" s="1372" t="s">
        <v>1031</v>
      </c>
      <c r="U16" s="1373">
        <f>H16</f>
        <v>100</v>
      </c>
      <c r="V16" s="1372" t="s">
        <v>1031</v>
      </c>
      <c r="W16" s="1373">
        <f>J16</f>
        <v>100</v>
      </c>
      <c r="X16" s="1359"/>
      <c r="Y16" s="1326"/>
      <c r="Z16" s="1346" t="str">
        <f>Q16</f>
        <v>公共配套设施</v>
      </c>
      <c r="AA16" s="1388">
        <f t="shared" si="3"/>
        <v>1</v>
      </c>
      <c r="AB16" s="1388">
        <f t="shared" si="4"/>
        <v>1</v>
      </c>
      <c r="AC16" s="1388">
        <f t="shared" si="5"/>
        <v>1</v>
      </c>
    </row>
    <row r="17" ht="15.5" spans="1:29">
      <c r="A17" s="1152"/>
      <c r="B17" s="1208"/>
      <c r="C17" s="1519"/>
      <c r="D17" s="1202"/>
      <c r="E17" s="1201"/>
      <c r="F17" s="1571"/>
      <c r="G17" s="1201"/>
      <c r="H17" s="1202"/>
      <c r="I17" s="1201"/>
      <c r="J17" s="1202"/>
      <c r="K17" s="1610"/>
      <c r="L17" s="1323"/>
      <c r="M17" s="1307"/>
      <c r="N17" s="1307"/>
      <c r="O17" s="1307"/>
      <c r="P17" s="1326"/>
      <c r="Q17" s="712"/>
      <c r="R17" s="1372"/>
      <c r="S17" s="1373"/>
      <c r="T17" s="1372"/>
      <c r="U17" s="1373"/>
      <c r="V17" s="1372"/>
      <c r="W17" s="1373"/>
      <c r="X17" s="1359"/>
      <c r="Y17" s="1326"/>
      <c r="Z17" s="1346"/>
      <c r="AA17" s="1388">
        <v>1</v>
      </c>
      <c r="AB17" s="1388">
        <v>1</v>
      </c>
      <c r="AC17" s="1388">
        <v>1</v>
      </c>
    </row>
    <row r="18" ht="42" spans="1:29">
      <c r="A18" s="1152"/>
      <c r="B18" s="1210" t="s">
        <v>1050</v>
      </c>
      <c r="C18" s="1205" t="str">
        <f>IF(B1="工业",估价对象房地状况!G6,估价对象房地状况!C8)</f>
        <v>估价对象所在区域基础设施水平</v>
      </c>
      <c r="D18" s="1203">
        <v>100</v>
      </c>
      <c r="E18" s="1206"/>
      <c r="F18" s="1572">
        <f>SUMIF(67:67,E19,68:68)-SUMIF(67:67,C19,68:68)+100</f>
        <v>100</v>
      </c>
      <c r="G18" s="1327"/>
      <c r="H18" s="1207">
        <f>SUMIF(67:67,G19,68:68)-SUMIF(67:67,C19,68:68)+100</f>
        <v>100</v>
      </c>
      <c r="I18" s="1206"/>
      <c r="J18" s="1207">
        <f>SUMIF(67:67,I19,68:68)-SUMIF(67:67,C19,68:68)+100</f>
        <v>100</v>
      </c>
      <c r="K18" s="1609"/>
      <c r="L18" s="1323"/>
      <c r="M18" s="1307"/>
      <c r="N18" s="1307"/>
      <c r="O18" s="1307"/>
      <c r="P18" s="1326"/>
      <c r="Q18" s="712" t="str">
        <f>B18</f>
        <v>基础设施水平</v>
      </c>
      <c r="R18" s="1372" t="s">
        <v>1031</v>
      </c>
      <c r="S18" s="1373">
        <f>F18</f>
        <v>100</v>
      </c>
      <c r="T18" s="1372" t="s">
        <v>1031</v>
      </c>
      <c r="U18" s="1373">
        <f>H18</f>
        <v>100</v>
      </c>
      <c r="V18" s="1372" t="s">
        <v>1031</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52"/>
      <c r="B19" s="1210"/>
      <c r="C19" s="1519"/>
      <c r="D19" s="1203"/>
      <c r="E19" s="1519"/>
      <c r="F19" s="1573"/>
      <c r="G19" s="1519"/>
      <c r="H19" s="1202"/>
      <c r="I19" s="1201"/>
      <c r="J19" s="1202"/>
      <c r="K19" s="1611"/>
      <c r="L19" s="1323"/>
      <c r="M19" s="1307"/>
      <c r="N19" s="1307"/>
      <c r="O19" s="1307"/>
      <c r="P19" s="1326"/>
      <c r="Q19" s="712"/>
      <c r="R19" s="1372"/>
      <c r="S19" s="1373"/>
      <c r="T19" s="1372"/>
      <c r="U19" s="1373"/>
      <c r="V19" s="1372"/>
      <c r="W19" s="1373"/>
      <c r="X19" s="1359"/>
      <c r="Y19" s="1326"/>
      <c r="Z19" s="1346"/>
      <c r="AA19" s="1388">
        <v>1</v>
      </c>
      <c r="AB19" s="1388">
        <v>1</v>
      </c>
      <c r="AC19" s="1388">
        <v>1</v>
      </c>
    </row>
    <row r="20" ht="56" spans="1:29">
      <c r="A20" s="1152"/>
      <c r="B20" s="1204" t="s">
        <v>1051</v>
      </c>
      <c r="C20" s="1205" t="str">
        <f>IF(B1="工业",估价对象房地状况!G7,估价对象房地状况!C9)</f>
        <v>区域自然环境：；人文环境；综合评价环境状况一般</v>
      </c>
      <c r="D20" s="1207">
        <v>100</v>
      </c>
      <c r="E20" s="1521"/>
      <c r="F20" s="1572">
        <f>SUMIF(69:69,E21,70:70)-SUMIF(69:69,C21,70:70)+100</f>
        <v>100</v>
      </c>
      <c r="G20" s="1531"/>
      <c r="H20" s="1203">
        <f>SUMIF(69:69,G21,70:70)-SUMIF(69:69,C21,70:70)+100</f>
        <v>100</v>
      </c>
      <c r="I20" s="1206"/>
      <c r="J20" s="1203">
        <f>SUMIF(69:69,I21,70:70)-SUMIF(69:69,C21,70:70)+100</f>
        <v>100</v>
      </c>
      <c r="K20" s="1609"/>
      <c r="L20" s="1323"/>
      <c r="M20" s="1307"/>
      <c r="N20" s="1307"/>
      <c r="O20" s="1307"/>
      <c r="P20" s="1326"/>
      <c r="Q20" s="712" t="str">
        <f>B20</f>
        <v>自然及人文环境</v>
      </c>
      <c r="R20" s="1372" t="s">
        <v>1031</v>
      </c>
      <c r="S20" s="1373">
        <f>F20</f>
        <v>100</v>
      </c>
      <c r="T20" s="1372" t="s">
        <v>1031</v>
      </c>
      <c r="U20" s="1373">
        <f>H20</f>
        <v>100</v>
      </c>
      <c r="V20" s="1372" t="s">
        <v>1031</v>
      </c>
      <c r="W20" s="1373">
        <f>J20</f>
        <v>100</v>
      </c>
      <c r="X20" s="1359"/>
      <c r="Y20" s="1326"/>
      <c r="Z20" s="1346" t="str">
        <f>Q20</f>
        <v>自然及人文环境</v>
      </c>
      <c r="AA20" s="1388">
        <f t="shared" si="3"/>
        <v>1</v>
      </c>
      <c r="AB20" s="1388">
        <f t="shared" si="4"/>
        <v>1</v>
      </c>
      <c r="AC20" s="1388">
        <f t="shared" si="5"/>
        <v>1</v>
      </c>
    </row>
    <row r="21" ht="15.5" spans="1:29">
      <c r="A21" s="1152"/>
      <c r="B21" s="1208"/>
      <c r="C21" s="1201"/>
      <c r="D21" s="1202"/>
      <c r="E21" s="1201"/>
      <c r="F21" s="1571"/>
      <c r="G21" s="1201"/>
      <c r="H21" s="1202"/>
      <c r="I21" s="1201"/>
      <c r="J21" s="1202"/>
      <c r="K21" s="1610"/>
      <c r="L21" s="1323"/>
      <c r="M21" s="1307"/>
      <c r="N21" s="1307"/>
      <c r="O21" s="1307"/>
      <c r="P21" s="1326"/>
      <c r="Q21" s="712"/>
      <c r="R21" s="1372"/>
      <c r="S21" s="1373"/>
      <c r="T21" s="1372"/>
      <c r="U21" s="1373"/>
      <c r="V21" s="1372"/>
      <c r="W21" s="1373"/>
      <c r="X21" s="1359"/>
      <c r="Y21" s="1326"/>
      <c r="Z21" s="1346"/>
      <c r="AA21" s="1388">
        <v>1</v>
      </c>
      <c r="AB21" s="1388">
        <v>1</v>
      </c>
      <c r="AC21" s="1388">
        <v>1</v>
      </c>
    </row>
    <row r="22" ht="15.5" spans="1:29">
      <c r="A22" s="1152"/>
      <c r="B22" s="1204" t="s">
        <v>1055</v>
      </c>
      <c r="C22" s="1212"/>
      <c r="D22" s="1203">
        <v>100</v>
      </c>
      <c r="E22" s="1212"/>
      <c r="F22" s="1574">
        <f>SUMIF(71:71,E22,72:72)-SUMIF(71:71,C22,72:72)+100</f>
        <v>100</v>
      </c>
      <c r="G22" s="1212"/>
      <c r="H22" s="1190">
        <f>SUMIF(71:71,G22,72:72)-SUMIF(71:71,C22,72:72)+100</f>
        <v>100</v>
      </c>
      <c r="I22" s="1212"/>
      <c r="J22" s="1190">
        <f>SUMIF(71:71,I22,72:72)-SUMIF(71:71,C22,72:72)+100</f>
        <v>100</v>
      </c>
      <c r="K22" s="1330"/>
      <c r="L22" s="1323"/>
      <c r="M22" s="1307"/>
      <c r="N22" s="1307"/>
      <c r="O22" s="1307"/>
      <c r="P22" s="1326"/>
      <c r="Q22" s="712" t="str">
        <f>B22</f>
        <v>楼层</v>
      </c>
      <c r="R22" s="1372" t="s">
        <v>1031</v>
      </c>
      <c r="S22" s="1373">
        <f>F22</f>
        <v>100</v>
      </c>
      <c r="T22" s="1372" t="s">
        <v>1031</v>
      </c>
      <c r="U22" s="1373">
        <f>H22</f>
        <v>100</v>
      </c>
      <c r="V22" s="1372" t="s">
        <v>1031</v>
      </c>
      <c r="W22" s="1373">
        <f>J22</f>
        <v>100</v>
      </c>
      <c r="X22" s="1359"/>
      <c r="Y22" s="1326"/>
      <c r="Z22" s="1346" t="str">
        <f>Q22</f>
        <v>楼层</v>
      </c>
      <c r="AA22" s="1388">
        <f t="shared" si="3"/>
        <v>1</v>
      </c>
      <c r="AB22" s="1388">
        <f t="shared" si="4"/>
        <v>1</v>
      </c>
      <c r="AC22" s="1388">
        <f t="shared" si="5"/>
        <v>1</v>
      </c>
    </row>
    <row r="23" ht="15.5" spans="1:29">
      <c r="A23" s="1152"/>
      <c r="B23" s="1642">
        <v>111</v>
      </c>
      <c r="C23" s="1178"/>
      <c r="D23" s="1190">
        <v>100</v>
      </c>
      <c r="E23" s="1178"/>
      <c r="F23" s="1574">
        <f>SUMIF(73:73,E23,74:74)-SUMIF(73:73,C23,74:74)+100</f>
        <v>100</v>
      </c>
      <c r="G23" s="1178"/>
      <c r="H23" s="1190">
        <f>SUMIF(73:73,G23,74:74)-SUMIF(73:73,C23,74:74)+100</f>
        <v>100</v>
      </c>
      <c r="I23" s="1178"/>
      <c r="J23" s="1190">
        <f>SUMIF(73:73,I23,74:74)-SUMIF(73:73,C23,74:74)+100</f>
        <v>100</v>
      </c>
      <c r="K23" s="1329"/>
      <c r="L23" s="1323"/>
      <c r="M23" s="1307"/>
      <c r="N23" s="1307"/>
      <c r="O23" s="1307"/>
      <c r="P23" s="1326"/>
      <c r="Q23" s="712">
        <f>B23</f>
        <v>111</v>
      </c>
      <c r="R23" s="1372" t="s">
        <v>1031</v>
      </c>
      <c r="S23" s="1373">
        <f>F23</f>
        <v>100</v>
      </c>
      <c r="T23" s="1372" t="s">
        <v>1031</v>
      </c>
      <c r="U23" s="1373">
        <f>H23</f>
        <v>100</v>
      </c>
      <c r="V23" s="1372" t="s">
        <v>1031</v>
      </c>
      <c r="W23" s="1373">
        <f>J23</f>
        <v>100</v>
      </c>
      <c r="X23" s="1359"/>
      <c r="Y23" s="1326"/>
      <c r="Z23" s="1346">
        <f>Q23</f>
        <v>111</v>
      </c>
      <c r="AA23" s="1388">
        <f t="shared" si="3"/>
        <v>1</v>
      </c>
      <c r="AB23" s="1388">
        <f t="shared" si="4"/>
        <v>1</v>
      </c>
      <c r="AC23" s="1388">
        <f t="shared" si="5"/>
        <v>1</v>
      </c>
    </row>
    <row r="24" ht="15.5" spans="1:29">
      <c r="A24" s="1152"/>
      <c r="B24" s="1642">
        <v>111</v>
      </c>
      <c r="C24" s="1178"/>
      <c r="D24" s="1190">
        <v>100</v>
      </c>
      <c r="E24" s="1178"/>
      <c r="F24" s="1574">
        <f>SUMIF(75:75,E24,76:76)-SUMIF(75:75,C24,76:76)+100</f>
        <v>100</v>
      </c>
      <c r="G24" s="1178"/>
      <c r="H24" s="1190">
        <f>SUMIF(75:75,G24,76:76)-SUMIF(75:75,C24,76:76)+100</f>
        <v>100</v>
      </c>
      <c r="I24" s="1178"/>
      <c r="J24" s="1190">
        <f>SUMIF(75:75,I24,76:76)-SUMIF(75:75,C24,76:76)+100</f>
        <v>100</v>
      </c>
      <c r="K24" s="1329"/>
      <c r="L24" s="1323"/>
      <c r="M24" s="1307"/>
      <c r="N24" s="1307"/>
      <c r="O24" s="1307"/>
      <c r="P24" s="1326"/>
      <c r="Q24" s="712">
        <f t="shared" ref="Q24:Q36" si="11">B24</f>
        <v>111</v>
      </c>
      <c r="R24" s="1372" t="s">
        <v>1031</v>
      </c>
      <c r="S24" s="1373">
        <f>F24</f>
        <v>100</v>
      </c>
      <c r="T24" s="1372" t="s">
        <v>1031</v>
      </c>
      <c r="U24" s="1373">
        <f>H24</f>
        <v>100</v>
      </c>
      <c r="V24" s="1372" t="s">
        <v>1031</v>
      </c>
      <c r="W24" s="1373">
        <f>J24</f>
        <v>100</v>
      </c>
      <c r="X24" s="1359"/>
      <c r="Y24" s="1326"/>
      <c r="Z24" s="1346">
        <f>Q24</f>
        <v>111</v>
      </c>
      <c r="AA24" s="1388">
        <f t="shared" si="3"/>
        <v>1</v>
      </c>
      <c r="AB24" s="1388">
        <f t="shared" si="4"/>
        <v>1</v>
      </c>
      <c r="AC24" s="1388">
        <f t="shared" si="5"/>
        <v>1</v>
      </c>
    </row>
    <row r="25" s="1127" customFormat="1" ht="16.25" spans="1:29">
      <c r="A25" s="1209"/>
      <c r="B25" s="1643">
        <v>111</v>
      </c>
      <c r="C25" s="1193"/>
      <c r="D25" s="1644">
        <v>100</v>
      </c>
      <c r="E25" s="1645"/>
      <c r="F25" s="1646">
        <f>SUMIF(77:77,E25,78:78)-SUMIF(77:77,C25,78:78)+100</f>
        <v>100</v>
      </c>
      <c r="G25" s="1645"/>
      <c r="H25" s="1644">
        <f>SUMIF(77:77,G25,78:78)-SUMIF(77:77,C25,78:78)+100</f>
        <v>100</v>
      </c>
      <c r="I25" s="1645"/>
      <c r="J25" s="1644">
        <f>SUMIF(77:77,I25,78:78)-SUMIF(77:77,C25,78:78)+100</f>
        <v>100</v>
      </c>
      <c r="K25" s="1329"/>
      <c r="L25" s="1312"/>
      <c r="M25" s="1313"/>
      <c r="N25" s="1313"/>
      <c r="O25" s="1313"/>
      <c r="P25" s="1326"/>
      <c r="Q25" s="1371">
        <f t="shared" si="11"/>
        <v>111</v>
      </c>
      <c r="R25" s="1367" t="s">
        <v>1031</v>
      </c>
      <c r="S25" s="1368">
        <f>F25</f>
        <v>100</v>
      </c>
      <c r="T25" s="1367" t="s">
        <v>1031</v>
      </c>
      <c r="U25" s="1368">
        <f>H25</f>
        <v>100</v>
      </c>
      <c r="V25" s="1367" t="s">
        <v>1031</v>
      </c>
      <c r="W25" s="1368">
        <f>J25</f>
        <v>100</v>
      </c>
      <c r="X25" s="1369"/>
      <c r="Y25" s="1326"/>
      <c r="Z25" s="1387">
        <f>Q25</f>
        <v>111</v>
      </c>
      <c r="AA25" s="1388">
        <f t="shared" si="3"/>
        <v>1</v>
      </c>
      <c r="AB25" s="1388">
        <f t="shared" si="4"/>
        <v>1</v>
      </c>
      <c r="AC25" s="1388">
        <f t="shared" si="5"/>
        <v>1</v>
      </c>
    </row>
    <row r="26" ht="15.5" spans="1:29">
      <c r="A26" s="1647" t="s">
        <v>1056</v>
      </c>
      <c r="B26" s="1648" t="s">
        <v>1629</v>
      </c>
      <c r="C26" s="1649" t="str">
        <f>B1</f>
        <v>车库</v>
      </c>
      <c r="D26" s="1202">
        <v>100</v>
      </c>
      <c r="E26" s="1201"/>
      <c r="F26" s="1571">
        <f>SUMIF(79:79,E26,80:80)-SUMIF(79:79,C26,80:80)+100</f>
        <v>0</v>
      </c>
      <c r="G26" s="1201"/>
      <c r="H26" s="1202">
        <f>SUMIF(79:79,G26,80:80)-SUMIF(79:79,C26,80:80)+100</f>
        <v>0</v>
      </c>
      <c r="I26" s="1201"/>
      <c r="J26" s="1202">
        <f>SUMIF(79:79,I26,80:80)-SUMIF(79:79,C26,80:80)+100</f>
        <v>0</v>
      </c>
      <c r="K26" s="1330"/>
      <c r="L26" s="1323"/>
      <c r="M26" s="1307"/>
      <c r="N26" s="1307"/>
      <c r="O26" s="1307"/>
      <c r="P26" s="1331" t="s">
        <v>1058</v>
      </c>
      <c r="Q26" s="712" t="str">
        <f t="shared" si="11"/>
        <v>配套类型</v>
      </c>
      <c r="R26" s="1372" t="s">
        <v>1031</v>
      </c>
      <c r="S26" s="1373">
        <f t="shared" ref="S26:S36" si="12">F26</f>
        <v>0</v>
      </c>
      <c r="T26" s="1372" t="s">
        <v>1031</v>
      </c>
      <c r="U26" s="1373">
        <f t="shared" ref="U26:U36" si="13">H26</f>
        <v>0</v>
      </c>
      <c r="V26" s="1372" t="s">
        <v>1031</v>
      </c>
      <c r="W26" s="1373">
        <f t="shared" ref="W26:W36" si="14">J26</f>
        <v>0</v>
      </c>
      <c r="X26" s="1359"/>
      <c r="Y26" s="1334" t="s">
        <v>1058</v>
      </c>
      <c r="Z26" s="1346" t="str">
        <f t="shared" ref="Z26:Z36" si="15">Q26</f>
        <v>配套类型</v>
      </c>
      <c r="AA26" s="1388" t="e">
        <f t="shared" si="3"/>
        <v>#DIV/0!</v>
      </c>
      <c r="AB26" s="1388" t="e">
        <f t="shared" si="4"/>
        <v>#DIV/0!</v>
      </c>
      <c r="AC26" s="1388" t="e">
        <f t="shared" si="5"/>
        <v>#DIV/0!</v>
      </c>
    </row>
    <row r="27" s="1129" customFormat="1" ht="15.5" spans="1:29">
      <c r="A27" s="1650"/>
      <c r="B27" s="1216" t="s">
        <v>1630</v>
      </c>
      <c r="C27" s="1651"/>
      <c r="D27" s="1179">
        <v>100</v>
      </c>
      <c r="E27" s="1651"/>
      <c r="F27" s="1574">
        <f>SUMIF(81:81,E27,82:82)-SUMIF(81:81,C27,82:82)+100</f>
        <v>100</v>
      </c>
      <c r="G27" s="1651"/>
      <c r="H27" s="1190">
        <f>SUMIF(81:81,G27,82:82)-SUMIF(81:81,C27,82:82)+100</f>
        <v>100</v>
      </c>
      <c r="I27" s="1651"/>
      <c r="J27" s="1190">
        <f>SUMIF(81:81,I27,82:82)-SUMIF(81:81,C27,82:82)+100</f>
        <v>100</v>
      </c>
      <c r="K27" s="1329"/>
      <c r="L27" s="1321"/>
      <c r="M27" s="1332"/>
      <c r="N27" s="1332"/>
      <c r="O27" s="1332"/>
      <c r="P27" s="1334"/>
      <c r="Q27" s="1613" t="str">
        <f t="shared" si="11"/>
        <v>项目停车位配比</v>
      </c>
      <c r="R27" s="1374" t="s">
        <v>1031</v>
      </c>
      <c r="S27" s="1375">
        <f t="shared" si="12"/>
        <v>100</v>
      </c>
      <c r="T27" s="1374" t="s">
        <v>1031</v>
      </c>
      <c r="U27" s="1375">
        <f t="shared" si="13"/>
        <v>100</v>
      </c>
      <c r="V27" s="1374" t="s">
        <v>1031</v>
      </c>
      <c r="W27" s="1375">
        <f t="shared" si="14"/>
        <v>100</v>
      </c>
      <c r="X27" s="1376"/>
      <c r="Y27" s="1334"/>
      <c r="Z27" s="1389" t="str">
        <f t="shared" si="15"/>
        <v>项目停车位配比</v>
      </c>
      <c r="AA27" s="1388">
        <f t="shared" si="3"/>
        <v>1</v>
      </c>
      <c r="AB27" s="1388">
        <f t="shared" si="4"/>
        <v>1</v>
      </c>
      <c r="AC27" s="1388">
        <f t="shared" si="5"/>
        <v>1</v>
      </c>
    </row>
    <row r="28" ht="15.5" spans="1:29">
      <c r="A28" s="1652"/>
      <c r="B28" s="1216" t="s">
        <v>1061</v>
      </c>
      <c r="C28" s="1584"/>
      <c r="D28" s="1190">
        <v>100</v>
      </c>
      <c r="E28" s="1584"/>
      <c r="F28" s="1574">
        <f>SUMIF(83:83,E28,84:84)-SUMIF(83:83,C28,84:84)+100</f>
        <v>100</v>
      </c>
      <c r="G28" s="1584"/>
      <c r="H28" s="1190">
        <f>SUMIF(83:83,G28,84:84)-SUMIF(83:83,C28,84:84)+100</f>
        <v>100</v>
      </c>
      <c r="I28" s="1584"/>
      <c r="J28" s="1190">
        <f>SUMIF(83:83,I28,84:84)-SUMIF(83:83,C28,84:84)+100</f>
        <v>100</v>
      </c>
      <c r="K28" s="1330"/>
      <c r="L28" s="1323"/>
      <c r="M28" s="1307"/>
      <c r="N28" s="1307"/>
      <c r="O28" s="1307"/>
      <c r="P28" s="1334"/>
      <c r="Q28" s="712" t="str">
        <f t="shared" si="11"/>
        <v>公共部分装修</v>
      </c>
      <c r="R28" s="1372" t="s">
        <v>1031</v>
      </c>
      <c r="S28" s="1373">
        <f t="shared" si="12"/>
        <v>100</v>
      </c>
      <c r="T28" s="1372" t="s">
        <v>1031</v>
      </c>
      <c r="U28" s="1373">
        <f t="shared" si="13"/>
        <v>100</v>
      </c>
      <c r="V28" s="1372" t="s">
        <v>1031</v>
      </c>
      <c r="W28" s="1373">
        <f t="shared" si="14"/>
        <v>100</v>
      </c>
      <c r="X28" s="1359"/>
      <c r="Y28" s="1334"/>
      <c r="Z28" s="1346" t="str">
        <f t="shared" si="15"/>
        <v>公共部分装修</v>
      </c>
      <c r="AA28" s="1388">
        <f t="shared" si="3"/>
        <v>1</v>
      </c>
      <c r="AB28" s="1388">
        <f t="shared" si="4"/>
        <v>1</v>
      </c>
      <c r="AC28" s="1388">
        <f t="shared" si="5"/>
        <v>1</v>
      </c>
    </row>
    <row r="29" ht="15.5" spans="1:29">
      <c r="A29" s="1652"/>
      <c r="B29" s="1216" t="s">
        <v>1631</v>
      </c>
      <c r="C29" s="1581"/>
      <c r="D29" s="1190">
        <v>100</v>
      </c>
      <c r="E29" s="1581"/>
      <c r="F29" s="1574" t="e">
        <f>LOOKUP(E29,86:86,87:87)-LOOKUP(C29,86:86,87:87)+100</f>
        <v>#N/A</v>
      </c>
      <c r="G29" s="1581"/>
      <c r="H29" s="1574" t="e">
        <f>LOOKUP(G29,86:86,87:87)-LOOKUP(C29,86:86,87:87)+100</f>
        <v>#N/A</v>
      </c>
      <c r="I29" s="1581"/>
      <c r="J29" s="1190" t="e">
        <f>LOOKUP(I29,86:86,87:87)-LOOKUP(C29,86:86,87:87)+100</f>
        <v>#N/A</v>
      </c>
      <c r="K29" s="1330"/>
      <c r="L29" s="1323"/>
      <c r="M29" s="1307"/>
      <c r="N29" s="1307"/>
      <c r="O29" s="1307"/>
      <c r="P29" s="1334"/>
      <c r="Q29" s="712" t="str">
        <f t="shared" si="11"/>
        <v>成新率</v>
      </c>
      <c r="R29" s="1372" t="s">
        <v>1031</v>
      </c>
      <c r="S29" s="1373" t="e">
        <f t="shared" si="12"/>
        <v>#N/A</v>
      </c>
      <c r="T29" s="1372" t="s">
        <v>1031</v>
      </c>
      <c r="U29" s="1373" t="e">
        <f t="shared" si="13"/>
        <v>#N/A</v>
      </c>
      <c r="V29" s="1372" t="s">
        <v>1031</v>
      </c>
      <c r="W29" s="1373" t="e">
        <f t="shared" si="14"/>
        <v>#N/A</v>
      </c>
      <c r="X29" s="1359"/>
      <c r="Y29" s="1334"/>
      <c r="Z29" s="1346" t="str">
        <f t="shared" si="15"/>
        <v>成新率</v>
      </c>
      <c r="AA29" s="1388" t="e">
        <f t="shared" si="3"/>
        <v>#N/A</v>
      </c>
      <c r="AB29" s="1388" t="e">
        <f t="shared" si="4"/>
        <v>#N/A</v>
      </c>
      <c r="AC29" s="1388" t="e">
        <f t="shared" si="5"/>
        <v>#N/A</v>
      </c>
    </row>
    <row r="30" ht="15.5" spans="1:29">
      <c r="A30" s="1652"/>
      <c r="B30" s="1216" t="s">
        <v>1632</v>
      </c>
      <c r="C30" s="1585"/>
      <c r="D30" s="1190">
        <v>100</v>
      </c>
      <c r="E30" s="1585"/>
      <c r="F30" s="1574">
        <f>SUMIF(88:88,E30,89:89)-SUMIF(88:88,C30,89:89)+100</f>
        <v>100</v>
      </c>
      <c r="G30" s="1585"/>
      <c r="H30" s="1190">
        <f>SUMIF(88:88,E30,89:89)-SUMIF(88:88,C30,89:89)+100</f>
        <v>100</v>
      </c>
      <c r="I30" s="1585"/>
      <c r="J30" s="1190">
        <f>SUMIF(88:88,E30,89:89)-SUMIF(88:88,C30,89:89)+100</f>
        <v>100</v>
      </c>
      <c r="K30" s="1330"/>
      <c r="L30" s="1323"/>
      <c r="M30" s="1307"/>
      <c r="N30" s="1307"/>
      <c r="O30" s="1307"/>
      <c r="P30" s="1334"/>
      <c r="Q30" s="712" t="str">
        <f t="shared" si="11"/>
        <v>物业等级</v>
      </c>
      <c r="R30" s="1372" t="s">
        <v>1031</v>
      </c>
      <c r="S30" s="1373">
        <f t="shared" si="12"/>
        <v>100</v>
      </c>
      <c r="T30" s="1372" t="s">
        <v>1031</v>
      </c>
      <c r="U30" s="1373">
        <f t="shared" si="13"/>
        <v>100</v>
      </c>
      <c r="V30" s="1372" t="s">
        <v>1031</v>
      </c>
      <c r="W30" s="1373">
        <f t="shared" si="14"/>
        <v>100</v>
      </c>
      <c r="X30" s="1359"/>
      <c r="Y30" s="1334"/>
      <c r="Z30" s="1346" t="str">
        <f t="shared" si="15"/>
        <v>物业等级</v>
      </c>
      <c r="AA30" s="1388">
        <f t="shared" si="3"/>
        <v>1</v>
      </c>
      <c r="AB30" s="1388">
        <f t="shared" si="4"/>
        <v>1</v>
      </c>
      <c r="AC30" s="1388">
        <f t="shared" si="5"/>
        <v>1</v>
      </c>
    </row>
    <row r="31" s="1127" customFormat="1" ht="15.5" spans="1:29">
      <c r="A31" s="1653"/>
      <c r="B31" s="1216" t="s">
        <v>1633</v>
      </c>
      <c r="C31" s="1568"/>
      <c r="D31" s="1179">
        <v>100</v>
      </c>
      <c r="E31" s="1568"/>
      <c r="F31" s="1574" t="e">
        <f>LOOKUP(E31,91:91,92:92)-LOOKUP(C31,91:91,92:92)+100</f>
        <v>#N/A</v>
      </c>
      <c r="G31" s="1568"/>
      <c r="H31" s="1190" t="e">
        <f>LOOKUP(G31,91:91,92:92)-LOOKUP(C31,91:91,92:92)+100</f>
        <v>#N/A</v>
      </c>
      <c r="I31" s="1568"/>
      <c r="J31" s="1190" t="e">
        <f>LOOKUP(I31,91:91,92:92)-LOOKUP(C31,91:91,92:92)+100</f>
        <v>#N/A</v>
      </c>
      <c r="K31" s="1330"/>
      <c r="L31" s="1312"/>
      <c r="M31" s="1313"/>
      <c r="N31" s="1313"/>
      <c r="O31" s="1313"/>
      <c r="P31" s="1334"/>
      <c r="Q31" s="1371" t="str">
        <f t="shared" si="11"/>
        <v>停车位面积</v>
      </c>
      <c r="R31" s="1367" t="s">
        <v>1031</v>
      </c>
      <c r="S31" s="1368" t="e">
        <f t="shared" si="12"/>
        <v>#N/A</v>
      </c>
      <c r="T31" s="1367" t="s">
        <v>1031</v>
      </c>
      <c r="U31" s="1368" t="e">
        <f t="shared" si="13"/>
        <v>#N/A</v>
      </c>
      <c r="V31" s="1367" t="s">
        <v>1031</v>
      </c>
      <c r="W31" s="1368" t="e">
        <f t="shared" si="14"/>
        <v>#N/A</v>
      </c>
      <c r="X31" s="1369"/>
      <c r="Y31" s="1334"/>
      <c r="Z31" s="1387" t="str">
        <f t="shared" si="15"/>
        <v>停车位面积</v>
      </c>
      <c r="AA31" s="1386" t="e">
        <f t="shared" si="3"/>
        <v>#N/A</v>
      </c>
      <c r="AB31" s="1386" t="e">
        <f t="shared" si="4"/>
        <v>#N/A</v>
      </c>
      <c r="AC31" s="1386" t="e">
        <f t="shared" si="5"/>
        <v>#N/A</v>
      </c>
    </row>
    <row r="32" ht="15.5" spans="1:29">
      <c r="A32" s="1652"/>
      <c r="B32" s="1216" t="s">
        <v>1634</v>
      </c>
      <c r="C32" s="1584"/>
      <c r="D32" s="1190">
        <v>100</v>
      </c>
      <c r="E32" s="1584"/>
      <c r="F32" s="1574">
        <f>SUMIF(93:93,E32,94:94)-SUMIF(93:93,C32,94:94)+100</f>
        <v>100</v>
      </c>
      <c r="G32" s="1584"/>
      <c r="H32" s="1190">
        <f>SUMIF(93:93,G32,94:94)-SUMIF(93:93,C32,94:94)+100</f>
        <v>100</v>
      </c>
      <c r="I32" s="1584"/>
      <c r="J32" s="1190">
        <f>SUMIF(93:93,I32,94:94)-SUMIF(93:93,C32,94:94)+100</f>
        <v>100</v>
      </c>
      <c r="K32" s="1330"/>
      <c r="L32" s="1323"/>
      <c r="M32" s="1307"/>
      <c r="N32" s="1307"/>
      <c r="O32" s="1307"/>
      <c r="P32" s="1334" t="s">
        <v>1058</v>
      </c>
      <c r="Q32" s="712" t="str">
        <f t="shared" si="11"/>
        <v>车位类型</v>
      </c>
      <c r="R32" s="1372" t="s">
        <v>1031</v>
      </c>
      <c r="S32" s="1373">
        <f t="shared" si="12"/>
        <v>100</v>
      </c>
      <c r="T32" s="1372" t="s">
        <v>1031</v>
      </c>
      <c r="U32" s="1373">
        <f t="shared" si="13"/>
        <v>100</v>
      </c>
      <c r="V32" s="1372" t="s">
        <v>1031</v>
      </c>
      <c r="W32" s="1373">
        <f t="shared" si="14"/>
        <v>100</v>
      </c>
      <c r="X32" s="1359"/>
      <c r="Y32" s="1334" t="s">
        <v>1058</v>
      </c>
      <c r="Z32" s="1346" t="str">
        <f t="shared" si="15"/>
        <v>车位类型</v>
      </c>
      <c r="AA32" s="1388">
        <f t="shared" si="3"/>
        <v>1</v>
      </c>
      <c r="AB32" s="1388">
        <f t="shared" si="4"/>
        <v>1</v>
      </c>
      <c r="AC32" s="1388">
        <f t="shared" si="5"/>
        <v>1</v>
      </c>
    </row>
    <row r="33" ht="15.5" spans="1:29">
      <c r="A33" s="1652"/>
      <c r="B33" s="1216" t="s">
        <v>1635</v>
      </c>
      <c r="C33" s="1584"/>
      <c r="D33" s="1190">
        <v>100</v>
      </c>
      <c r="E33" s="1584"/>
      <c r="F33" s="1574">
        <f>SUMIF(95:95,E33,96:96)-SUMIF(95:95,C33,96:96)+100</f>
        <v>100</v>
      </c>
      <c r="G33" s="1584"/>
      <c r="H33" s="1190">
        <f>SUMIF(95:95,G33,96:96)-SUMIF(95:95,C33,96:96)+100</f>
        <v>100</v>
      </c>
      <c r="I33" s="1584"/>
      <c r="J33" s="1190">
        <f>SUMIF(95:95,I33,96:96)-SUMIF(95:95,C33,96:96)+100</f>
        <v>100</v>
      </c>
      <c r="K33" s="1330"/>
      <c r="L33" s="1323"/>
      <c r="M33" s="1307"/>
      <c r="N33" s="1307"/>
      <c r="O33" s="1307"/>
      <c r="P33" s="1334"/>
      <c r="Q33" s="712" t="str">
        <f t="shared" si="11"/>
        <v>是否直接入户</v>
      </c>
      <c r="R33" s="1372" t="s">
        <v>1031</v>
      </c>
      <c r="S33" s="1373">
        <f t="shared" si="12"/>
        <v>100</v>
      </c>
      <c r="T33" s="1372" t="s">
        <v>1031</v>
      </c>
      <c r="U33" s="1373">
        <f t="shared" si="13"/>
        <v>100</v>
      </c>
      <c r="V33" s="1372" t="s">
        <v>1031</v>
      </c>
      <c r="W33" s="1373">
        <f t="shared" si="14"/>
        <v>100</v>
      </c>
      <c r="X33" s="1359"/>
      <c r="Y33" s="1334"/>
      <c r="Z33" s="1346" t="str">
        <f t="shared" si="15"/>
        <v>是否直接入户</v>
      </c>
      <c r="AA33" s="1388">
        <f t="shared" si="3"/>
        <v>1</v>
      </c>
      <c r="AB33" s="1388">
        <f t="shared" si="4"/>
        <v>1</v>
      </c>
      <c r="AC33" s="1388">
        <f t="shared" si="5"/>
        <v>1</v>
      </c>
    </row>
    <row r="34" ht="15.5" spans="1:29">
      <c r="A34" s="1652"/>
      <c r="B34" s="1642">
        <v>111</v>
      </c>
      <c r="C34" s="1178"/>
      <c r="D34" s="1190">
        <v>100</v>
      </c>
      <c r="E34" s="1178"/>
      <c r="F34" s="1574">
        <f>SUMIF(97:97,E34,98:98)-SUMIF(97:97,C34,98:98)+100</f>
        <v>100</v>
      </c>
      <c r="G34" s="1178"/>
      <c r="H34" s="1190">
        <f>SUMIF(97:97,G34,98:98)-SUMIF(97:97,C34,98:98)+100</f>
        <v>100</v>
      </c>
      <c r="I34" s="1178"/>
      <c r="J34" s="1190">
        <f>SUMIF(97:97,I34,98:98)-SUMIF(97:97,C34,98:98)+100</f>
        <v>100</v>
      </c>
      <c r="K34" s="1329"/>
      <c r="L34" s="1323"/>
      <c r="M34" s="1307"/>
      <c r="N34" s="1307"/>
      <c r="O34" s="1307"/>
      <c r="P34" s="1334"/>
      <c r="Q34" s="712">
        <f t="shared" si="11"/>
        <v>111</v>
      </c>
      <c r="R34" s="1372" t="s">
        <v>1031</v>
      </c>
      <c r="S34" s="1373">
        <f t="shared" si="12"/>
        <v>100</v>
      </c>
      <c r="T34" s="1372" t="s">
        <v>1031</v>
      </c>
      <c r="U34" s="1373">
        <f t="shared" si="13"/>
        <v>100</v>
      </c>
      <c r="V34" s="1372" t="s">
        <v>1031</v>
      </c>
      <c r="W34" s="1373">
        <f t="shared" si="14"/>
        <v>100</v>
      </c>
      <c r="X34" s="1359"/>
      <c r="Y34" s="1334"/>
      <c r="Z34" s="1346">
        <f t="shared" si="15"/>
        <v>111</v>
      </c>
      <c r="AA34" s="1388">
        <f t="shared" si="3"/>
        <v>1</v>
      </c>
      <c r="AB34" s="1388">
        <f t="shared" si="4"/>
        <v>1</v>
      </c>
      <c r="AC34" s="1388">
        <f t="shared" si="5"/>
        <v>1</v>
      </c>
    </row>
    <row r="35" s="1129" customFormat="1" ht="15.5" spans="1:29">
      <c r="A35" s="1650"/>
      <c r="B35" s="1642">
        <v>111</v>
      </c>
      <c r="C35" s="1178"/>
      <c r="D35" s="1190">
        <v>100</v>
      </c>
      <c r="E35" s="1178"/>
      <c r="F35" s="1574">
        <f>SUMIF(99:99,E35,100:100)-SUMIF(99:99,C35,100:100)+100</f>
        <v>100</v>
      </c>
      <c r="G35" s="1178"/>
      <c r="H35" s="1190">
        <f>SUMIF(99:99,G35,100:100)-SUMIF(99:99,C35,100:100)+100</f>
        <v>100</v>
      </c>
      <c r="I35" s="1178"/>
      <c r="J35" s="1190">
        <f>SUMIF(99:99,I35,100:100)-SUMIF(99:99,C35,100:100)+100</f>
        <v>100</v>
      </c>
      <c r="K35" s="1329"/>
      <c r="L35" s="1321"/>
      <c r="M35" s="1332"/>
      <c r="N35" s="1332"/>
      <c r="O35" s="1332"/>
      <c r="P35" s="1334"/>
      <c r="Q35" s="1613">
        <f t="shared" si="11"/>
        <v>111</v>
      </c>
      <c r="R35" s="1374" t="s">
        <v>1031</v>
      </c>
      <c r="S35" s="1375">
        <f t="shared" si="12"/>
        <v>100</v>
      </c>
      <c r="T35" s="1374" t="s">
        <v>1031</v>
      </c>
      <c r="U35" s="1375">
        <f t="shared" si="13"/>
        <v>100</v>
      </c>
      <c r="V35" s="1374" t="s">
        <v>1031</v>
      </c>
      <c r="W35" s="1375">
        <f t="shared" si="14"/>
        <v>100</v>
      </c>
      <c r="X35" s="1376"/>
      <c r="Y35" s="1334"/>
      <c r="Z35" s="1389">
        <f t="shared" si="15"/>
        <v>111</v>
      </c>
      <c r="AA35" s="1388">
        <f t="shared" si="3"/>
        <v>1</v>
      </c>
      <c r="AB35" s="1388">
        <f t="shared" si="4"/>
        <v>1</v>
      </c>
      <c r="AC35" s="1388">
        <f t="shared" si="5"/>
        <v>1</v>
      </c>
    </row>
    <row r="36" ht="16.25" spans="1:29">
      <c r="A36" s="1654"/>
      <c r="B36" s="1643">
        <v>111</v>
      </c>
      <c r="C36" s="1189"/>
      <c r="D36" s="1190">
        <v>100</v>
      </c>
      <c r="E36" s="1178"/>
      <c r="F36" s="1574">
        <f>SUMIF(101:101,E36,102:102)-SUMIF(101:101,C36,102:102)+100</f>
        <v>100</v>
      </c>
      <c r="G36" s="1178"/>
      <c r="H36" s="1190">
        <f>SUMIF(101:101,G36,102:102)-SUMIF(101:101,C36,102:102)+100</f>
        <v>100</v>
      </c>
      <c r="I36" s="1178"/>
      <c r="J36" s="1190">
        <f>SUMIF(101:101,I36,102:102)-SUMIF(101:101,C36,102:102)+100</f>
        <v>100</v>
      </c>
      <c r="K36" s="1329"/>
      <c r="L36" s="1323"/>
      <c r="M36" s="1307"/>
      <c r="N36" s="1307"/>
      <c r="O36" s="1307"/>
      <c r="P36" s="1334"/>
      <c r="Q36" s="712">
        <f t="shared" si="11"/>
        <v>111</v>
      </c>
      <c r="R36" s="1372" t="s">
        <v>1031</v>
      </c>
      <c r="S36" s="1373">
        <f t="shared" si="12"/>
        <v>100</v>
      </c>
      <c r="T36" s="1372" t="s">
        <v>1031</v>
      </c>
      <c r="U36" s="1373">
        <f t="shared" si="13"/>
        <v>100</v>
      </c>
      <c r="V36" s="1372" t="s">
        <v>1031</v>
      </c>
      <c r="W36" s="1373">
        <f t="shared" si="14"/>
        <v>100</v>
      </c>
      <c r="X36" s="1359"/>
      <c r="Y36" s="1334"/>
      <c r="Z36" s="1346">
        <f t="shared" si="15"/>
        <v>111</v>
      </c>
      <c r="AA36" s="1388">
        <f t="shared" si="3"/>
        <v>1</v>
      </c>
      <c r="AB36" s="1388">
        <f t="shared" si="4"/>
        <v>1</v>
      </c>
      <c r="AC36" s="1388">
        <f t="shared" si="5"/>
        <v>1</v>
      </c>
    </row>
    <row r="37" spans="1:29">
      <c r="A37" s="1237" t="s">
        <v>1636</v>
      </c>
      <c r="B37" s="1655" t="s">
        <v>1637</v>
      </c>
      <c r="C37" s="1589" t="s">
        <v>124</v>
      </c>
      <c r="D37" s="1590"/>
      <c r="E37" s="1591"/>
      <c r="F37" s="1592"/>
      <c r="G37" s="1593"/>
      <c r="H37" s="1594"/>
      <c r="I37" s="1591"/>
      <c r="J37" s="1594"/>
      <c r="K37" s="1664"/>
      <c r="L37" s="1338"/>
      <c r="M37" s="1254"/>
      <c r="N37" s="1307"/>
      <c r="O37" s="1254"/>
      <c r="P37" s="712" t="str">
        <f>A37</f>
        <v>成交单价</v>
      </c>
      <c r="Q37" s="712"/>
      <c r="R37" s="1388">
        <f>E37</f>
        <v>0</v>
      </c>
      <c r="S37" s="1388"/>
      <c r="T37" s="1388">
        <f>G37</f>
        <v>0</v>
      </c>
      <c r="U37" s="1388"/>
      <c r="V37" s="1388">
        <f>I37</f>
        <v>0</v>
      </c>
      <c r="W37" s="1388"/>
      <c r="X37" s="1295"/>
      <c r="Y37" s="1390"/>
      <c r="Z37" s="1295"/>
      <c r="AA37" s="1295"/>
      <c r="AB37" s="1295"/>
      <c r="AC37" s="1295"/>
    </row>
    <row r="38" ht="14.75" spans="1:29">
      <c r="A38" s="1245" t="s">
        <v>1075</v>
      </c>
      <c r="B38" s="1595" t="str">
        <f>B37</f>
        <v>元/平方米</v>
      </c>
      <c r="C38" s="1596" t="e">
        <f>R39</f>
        <v>#DIV/0!</v>
      </c>
      <c r="D38" s="1248" t="s">
        <v>1076</v>
      </c>
      <c r="E38" s="1597" t="e">
        <f>R38</f>
        <v>#DIV/0!</v>
      </c>
      <c r="F38" s="1249"/>
      <c r="G38" s="1596" t="e">
        <f>T38</f>
        <v>#DIV/0!</v>
      </c>
      <c r="H38" s="1249"/>
      <c r="I38" s="1597" t="e">
        <f>V38</f>
        <v>#DIV/0!</v>
      </c>
      <c r="J38" s="1249"/>
      <c r="K38" s="1339">
        <f>F38+H38+J38</f>
        <v>0</v>
      </c>
      <c r="L38" s="1338"/>
      <c r="M38" s="1254"/>
      <c r="N38" s="1254"/>
      <c r="O38" s="1254"/>
      <c r="P38" s="712" t="str">
        <f>A38</f>
        <v>比较价值（元/平方米）</v>
      </c>
      <c r="Q38" s="712"/>
      <c r="R38" s="1388" t="e">
        <f>IF(F1="售价",ROUND(PRODUCT(R37,AA7:AA36),0),ROUND(PRODUCT(R37,AA7:AA36),1))</f>
        <v>#DIV/0!</v>
      </c>
      <c r="S38" s="1388"/>
      <c r="T38" s="1388" t="e">
        <f>IF(F1="售价",ROUND(PRODUCT(T37,AB7:AB36),0),ROUND(PRODUCT(T37,AB7:AB36),1))</f>
        <v>#DIV/0!</v>
      </c>
      <c r="U38" s="1388"/>
      <c r="V38" s="1388" t="e">
        <f>IF(F1="售价",ROUND(PRODUCT(V37,AC7:AC36),0),ROUND(PRODUCT(V37,AC7:AC36),1))</f>
        <v>#DIV/0!</v>
      </c>
      <c r="W38" s="1388"/>
      <c r="X38" s="1295"/>
      <c r="Y38" s="1295"/>
      <c r="Z38" s="1295"/>
      <c r="AA38" s="1295"/>
      <c r="AB38" s="1295"/>
      <c r="AC38" s="1295"/>
    </row>
    <row r="39" ht="14.75" spans="1:29">
      <c r="A39" s="1251" t="s">
        <v>1638</v>
      </c>
      <c r="B39" s="1252"/>
      <c r="C39" s="1598" t="e">
        <f>R39</f>
        <v>#DIV/0!</v>
      </c>
      <c r="D39" s="1598"/>
      <c r="E39" s="1598"/>
      <c r="F39" s="1598"/>
      <c r="G39" s="1598"/>
      <c r="H39" s="1598"/>
      <c r="I39" s="1598"/>
      <c r="J39" s="1598"/>
      <c r="K39" s="1665"/>
      <c r="L39" s="1338"/>
      <c r="M39" s="1254"/>
      <c r="N39" s="1254"/>
      <c r="O39" s="1254"/>
      <c r="P39" s="1341" t="str">
        <f>A39</f>
        <v>估价对象XX用房的比较价值（楼面单价，元/平方米）</v>
      </c>
      <c r="Q39" s="1378"/>
      <c r="R39" s="1614" t="e">
        <f>IF(F1="售价",ROUND(IF(D38="简单平均",AVERAGE(R38:W38),R38*F38+T38*H38+V38*J38),0),ROUND(IF(D38="简单平均",AVERAGE(R38:V38),R38*F38+T38*H38+V38*J38),1))</f>
        <v>#DIV/0!</v>
      </c>
      <c r="S39" s="1614"/>
      <c r="T39" s="1614"/>
      <c r="U39" s="1614"/>
      <c r="V39" s="1614"/>
      <c r="W39" s="1614"/>
      <c r="X39" s="1295"/>
      <c r="Y39" s="1295"/>
      <c r="Z39" s="1295"/>
      <c r="AA39" s="1295"/>
      <c r="AB39" s="1295"/>
      <c r="AC39" s="1295"/>
    </row>
    <row r="40" spans="1:29">
      <c r="A40" s="1254"/>
      <c r="B40" s="1254"/>
      <c r="C40" s="1254"/>
      <c r="D40" s="1254"/>
      <c r="E40" s="1254"/>
      <c r="F40" s="1254"/>
      <c r="G40" s="1255"/>
      <c r="H40" s="1254"/>
      <c r="I40" s="1254"/>
      <c r="J40" s="1254"/>
      <c r="K40" s="1342"/>
      <c r="L40" s="1343"/>
      <c r="M40" s="1254"/>
      <c r="N40" s="1254"/>
      <c r="O40" s="1254"/>
      <c r="P40" s="1666"/>
      <c r="Q40" s="1254"/>
      <c r="R40" s="1254"/>
      <c r="S40" s="1254"/>
      <c r="T40" s="1254"/>
      <c r="U40" s="1254"/>
      <c r="V40" s="1254"/>
      <c r="W40" s="1254"/>
      <c r="X40" s="1254"/>
      <c r="Y40" s="1254"/>
      <c r="Z40" s="1254"/>
      <c r="AA40" s="1254"/>
      <c r="AB40" s="1254"/>
      <c r="AC40" s="1254"/>
    </row>
    <row r="41" spans="1:29">
      <c r="A41" s="1254"/>
      <c r="B41" s="1254"/>
      <c r="C41" s="1254"/>
      <c r="D41" s="1254"/>
      <c r="E41" s="1254"/>
      <c r="F41" s="1254"/>
      <c r="G41" s="1254"/>
      <c r="H41" s="1254"/>
      <c r="I41" s="1254"/>
      <c r="J41" s="1254"/>
      <c r="K41" s="1342"/>
      <c r="L41" s="1343"/>
      <c r="M41" s="1254"/>
      <c r="N41" s="1254"/>
      <c r="O41" s="1254"/>
      <c r="P41" s="1666"/>
      <c r="Q41" s="1254"/>
      <c r="R41" s="1254"/>
      <c r="S41" s="1254"/>
      <c r="T41" s="1254"/>
      <c r="U41" s="1254"/>
      <c r="V41" s="1254"/>
      <c r="W41" s="1254"/>
      <c r="X41" s="1254"/>
      <c r="Y41" s="1254"/>
      <c r="Z41" s="1254"/>
      <c r="AA41" s="1254"/>
      <c r="AB41" s="1254"/>
      <c r="AC41" s="1254"/>
    </row>
    <row r="42" ht="13.5" customHeight="1" spans="1:29">
      <c r="A42" s="1254"/>
      <c r="B42" s="1254"/>
      <c r="C42" s="1256" t="s">
        <v>1078</v>
      </c>
      <c r="D42" s="756"/>
      <c r="E42" s="1257" t="e">
        <f>IF(E37&lt;E38,E38/E37-1,E37/E38-1)</f>
        <v>#DIV/0!</v>
      </c>
      <c r="F42" s="1258" t="e">
        <f>IF(OR(E42&gt;=0.3,E42&lt;=-0.3),"超过30%","")</f>
        <v>#DIV/0!</v>
      </c>
      <c r="G42" s="1257" t="e">
        <f>IF(G37&lt;G38,G38/G37-1,G37/G38-1)</f>
        <v>#DIV/0!</v>
      </c>
      <c r="H42" s="1258" t="e">
        <f>IF(OR(G42&gt;=0.3,G42&lt;=-0.3),"超过30%","")</f>
        <v>#DIV/0!</v>
      </c>
      <c r="I42" s="1257" t="e">
        <f>IF(I37&lt;I38,I38/I37-1,I37/I38-1)</f>
        <v>#DIV/0!</v>
      </c>
      <c r="J42" s="1258" t="e">
        <f>IF(OR(I42&gt;=0.3,I42&lt;=-0.3),"超过30%","")</f>
        <v>#DIV/0!</v>
      </c>
      <c r="K42" s="1342"/>
      <c r="L42" s="1343"/>
      <c r="M42" s="1254"/>
      <c r="N42" s="1254"/>
      <c r="O42" s="1254"/>
      <c r="P42" s="1666"/>
      <c r="Q42" s="1254"/>
      <c r="R42" s="1254"/>
      <c r="S42" s="1254"/>
      <c r="T42" s="1254"/>
      <c r="U42" s="1254"/>
      <c r="V42" s="1254"/>
      <c r="W42" s="1254"/>
      <c r="X42" s="1254"/>
      <c r="Y42" s="1254"/>
      <c r="Z42" s="1254"/>
      <c r="AA42" s="1254"/>
      <c r="AB42" s="1254"/>
      <c r="AC42" s="1254"/>
    </row>
    <row r="43" ht="13.5" customHeight="1" spans="1:29">
      <c r="A43" s="1254"/>
      <c r="B43" s="1254"/>
      <c r="C43" s="1256" t="s">
        <v>1079</v>
      </c>
      <c r="D43" s="755"/>
      <c r="E43" s="1257" t="e">
        <f>IF(E38&lt;G38,G38/E38-1,E38/G38-1)</f>
        <v>#DIV/0!</v>
      </c>
      <c r="F43" s="1258" t="e">
        <f>IF(OR(E43&gt;=0.2,E43&lt;=-0.2),"超过20%","")</f>
        <v>#DIV/0!</v>
      </c>
      <c r="G43" s="1257" t="e">
        <f>IF(G38&lt;I38,I38/G38-1,G38/I38-1)</f>
        <v>#DIV/0!</v>
      </c>
      <c r="H43" s="1258" t="e">
        <f>IF(OR(G43&gt;=0.2,G43&lt;=-0.2),"超过20%","")</f>
        <v>#DIV/0!</v>
      </c>
      <c r="I43" s="1257" t="e">
        <f>IF(I38&lt;E38,E38/I38-1,I38/E38-1)</f>
        <v>#DIV/0!</v>
      </c>
      <c r="J43" s="1258" t="e">
        <f>IF(OR(I43&gt;=0.2,I43&lt;=-0.2),"超过20%","")</f>
        <v>#DIV/0!</v>
      </c>
      <c r="K43" s="1342"/>
      <c r="L43" s="1343"/>
      <c r="M43" s="1254"/>
      <c r="N43" s="1254"/>
      <c r="O43" s="1254"/>
      <c r="P43" s="1666"/>
      <c r="Q43" s="1254"/>
      <c r="R43" s="1254"/>
      <c r="S43" s="1254"/>
      <c r="T43" s="1254"/>
      <c r="U43" s="1254"/>
      <c r="V43" s="1254"/>
      <c r="W43" s="1254"/>
      <c r="X43" s="1254"/>
      <c r="Y43" s="1254"/>
      <c r="Z43" s="1254"/>
      <c r="AA43" s="1254"/>
      <c r="AB43" s="1254"/>
      <c r="AC43" s="1254"/>
    </row>
    <row r="44" s="1130" customFormat="1" ht="13.5" customHeight="1" spans="1:29">
      <c r="A44" s="1259"/>
      <c r="B44" s="1259"/>
      <c r="C44" s="1256" t="s">
        <v>1080</v>
      </c>
      <c r="D44" s="755"/>
      <c r="E44" s="1257" t="e">
        <f>IF(E37&lt;G37,G37/E37-1,E37/G37-1)</f>
        <v>#DIV/0!</v>
      </c>
      <c r="F44" s="1258" t="e">
        <f>IF(OR(E44&gt;=0.3,E44&lt;=-0.3),"超过30%","")</f>
        <v>#DIV/0!</v>
      </c>
      <c r="G44" s="1257" t="e">
        <f>IF(G37&lt;I37,I37/G37-1,G37/I37-1)</f>
        <v>#DIV/0!</v>
      </c>
      <c r="H44" s="1258" t="e">
        <f>IF(OR(G44&gt;=0.3,G44&lt;=-0.3),"超过30%","")</f>
        <v>#DIV/0!</v>
      </c>
      <c r="I44" s="1257" t="e">
        <f>IF(I37&lt;E37,E37/I37-1,I37/E37-1)</f>
        <v>#DIV/0!</v>
      </c>
      <c r="J44" s="1258" t="e">
        <f>IF(OR(I44&gt;=0.3,I44&lt;=-0.3),"超过30%","")</f>
        <v>#DIV/0!</v>
      </c>
      <c r="K44" s="1344"/>
      <c r="L44" s="1345"/>
      <c r="M44" s="1259"/>
      <c r="N44" s="1259"/>
      <c r="O44" s="1259"/>
      <c r="P44" s="1667"/>
      <c r="Q44" s="1259"/>
      <c r="R44" s="1259"/>
      <c r="S44" s="1259"/>
      <c r="T44" s="1259"/>
      <c r="U44" s="1259"/>
      <c r="V44" s="1259"/>
      <c r="W44" s="1259"/>
      <c r="X44" s="1259"/>
      <c r="Y44" s="1259"/>
      <c r="Z44" s="1259"/>
      <c r="AA44" s="1259"/>
      <c r="AB44" s="1259"/>
      <c r="AC44" s="1259"/>
    </row>
    <row r="45" s="1130" customFormat="1" spans="1:29">
      <c r="A45" s="1259"/>
      <c r="B45" s="1260"/>
      <c r="C45" s="1599"/>
      <c r="D45" s="1259"/>
      <c r="E45" s="1259"/>
      <c r="F45" s="1259"/>
      <c r="G45" s="1259"/>
      <c r="H45" s="1259"/>
      <c r="I45" s="1259"/>
      <c r="J45" s="1259"/>
      <c r="K45" s="1344"/>
      <c r="L45" s="1345"/>
      <c r="M45" s="1259"/>
      <c r="N45" s="1259"/>
      <c r="O45" s="1259"/>
      <c r="P45" s="1667"/>
      <c r="Q45" s="1259"/>
      <c r="R45" s="1259"/>
      <c r="S45" s="1259"/>
      <c r="T45" s="1259"/>
      <c r="U45" s="1259"/>
      <c r="V45" s="1259"/>
      <c r="W45" s="1259"/>
      <c r="X45" s="1259"/>
      <c r="Y45" s="1259"/>
      <c r="Z45" s="1259"/>
      <c r="AA45" s="1259"/>
      <c r="AB45" s="1259"/>
      <c r="AC45" s="1259"/>
    </row>
    <row r="46" spans="1:29">
      <c r="A46" s="1254"/>
      <c r="B46" s="1260"/>
      <c r="C46" s="1599"/>
      <c r="D46" s="1254"/>
      <c r="E46" s="1254"/>
      <c r="F46" s="1254"/>
      <c r="G46" s="1254"/>
      <c r="H46" s="1254"/>
      <c r="I46" s="1254"/>
      <c r="J46" s="1254"/>
      <c r="K46" s="1342"/>
      <c r="L46" s="1343"/>
      <c r="M46" s="1254"/>
      <c r="N46" s="1254"/>
      <c r="O46" s="1254"/>
      <c r="P46" s="1666"/>
      <c r="Q46" s="1254"/>
      <c r="R46" s="1254"/>
      <c r="S46" s="1254"/>
      <c r="T46" s="1254"/>
      <c r="U46" s="1254"/>
      <c r="V46" s="1254"/>
      <c r="W46" s="1254"/>
      <c r="X46" s="1254"/>
      <c r="Y46" s="1254"/>
      <c r="Z46" s="1254"/>
      <c r="AA46" s="1254"/>
      <c r="AB46" s="1254"/>
      <c r="AC46" s="1254"/>
    </row>
    <row r="47" ht="21.75" spans="1:29">
      <c r="A47" s="1656" t="s">
        <v>1081</v>
      </c>
      <c r="B47" s="1290"/>
      <c r="C47" s="1354"/>
      <c r="D47" s="1354"/>
      <c r="E47" s="1354"/>
      <c r="F47" s="1657"/>
      <c r="G47" s="1657"/>
      <c r="H47" s="1354"/>
      <c r="I47" s="1354"/>
      <c r="J47" s="1354"/>
      <c r="K47" s="1543"/>
      <c r="L47" s="1544"/>
      <c r="M47" s="1354"/>
      <c r="N47" s="1355"/>
      <c r="O47" s="1355"/>
      <c r="P47" s="1668"/>
      <c r="Q47" s="1380"/>
      <c r="R47" s="1254"/>
      <c r="S47" s="1254"/>
      <c r="T47" s="1254"/>
      <c r="U47" s="1254"/>
      <c r="V47" s="1254"/>
      <c r="W47" s="1254"/>
      <c r="X47" s="1254"/>
      <c r="Y47" s="1254"/>
      <c r="Z47" s="1254"/>
      <c r="AA47" s="1254"/>
      <c r="AB47" s="1254"/>
      <c r="AC47" s="1254"/>
    </row>
    <row r="48" s="1132" customFormat="1" spans="1:29">
      <c r="A48" s="1600" t="s">
        <v>1029</v>
      </c>
      <c r="B48" s="1601"/>
      <c r="C48" s="1602" t="str">
        <f>YEAR(C7)&amp;"-"&amp;MONTH(C7)</f>
        <v>2025-7</v>
      </c>
      <c r="D48" s="1603">
        <f>EDATE(C48,-1)</f>
        <v>45809</v>
      </c>
      <c r="E48" s="1603">
        <f t="shared" ref="E48:O48" si="16">EDATE(D48,-1)</f>
        <v>45778</v>
      </c>
      <c r="F48" s="1603">
        <f t="shared" si="16"/>
        <v>45748</v>
      </c>
      <c r="G48" s="1603">
        <f t="shared" si="16"/>
        <v>45717</v>
      </c>
      <c r="H48" s="1603">
        <f t="shared" si="16"/>
        <v>45689</v>
      </c>
      <c r="I48" s="1603">
        <f t="shared" si="16"/>
        <v>45658</v>
      </c>
      <c r="J48" s="1603">
        <f t="shared" si="16"/>
        <v>45627</v>
      </c>
      <c r="K48" s="1603">
        <f t="shared" si="16"/>
        <v>45597</v>
      </c>
      <c r="L48" s="1603">
        <f t="shared" si="16"/>
        <v>45566</v>
      </c>
      <c r="M48" s="1603">
        <f t="shared" si="16"/>
        <v>45536</v>
      </c>
      <c r="N48" s="1603">
        <f t="shared" si="16"/>
        <v>45505</v>
      </c>
      <c r="O48" s="1603">
        <f t="shared" si="16"/>
        <v>45474</v>
      </c>
      <c r="P48" s="1669"/>
      <c r="Q48" s="1501"/>
      <c r="R48" s="1501"/>
      <c r="S48" s="1501"/>
      <c r="T48" s="1501"/>
      <c r="U48" s="1501"/>
      <c r="V48" s="1501"/>
      <c r="W48" s="1501"/>
      <c r="X48" s="1501"/>
      <c r="Y48" s="1501"/>
      <c r="Z48" s="1501"/>
      <c r="AA48" s="1501"/>
      <c r="AB48" s="1501"/>
      <c r="AC48" s="1501"/>
    </row>
    <row r="49" s="1127" customFormat="1" spans="1:29">
      <c r="A49" s="1604"/>
      <c r="B49" s="1402"/>
      <c r="C49" s="1658">
        <v>100</v>
      </c>
      <c r="D49" s="1406"/>
      <c r="E49" s="1406"/>
      <c r="F49" s="1406"/>
      <c r="G49" s="1406"/>
      <c r="H49" s="1406"/>
      <c r="I49" s="1406"/>
      <c r="J49" s="1406"/>
      <c r="K49" s="1406"/>
      <c r="L49" s="1406"/>
      <c r="M49" s="1612"/>
      <c r="N49" s="1406"/>
      <c r="O49" s="1612"/>
      <c r="P49" s="1670"/>
      <c r="Q49" s="1502"/>
      <c r="R49" s="1502"/>
      <c r="S49" s="1502"/>
      <c r="T49" s="1502"/>
      <c r="U49" s="1502"/>
      <c r="V49" s="1502"/>
      <c r="W49" s="1502"/>
      <c r="X49" s="1502"/>
      <c r="Y49" s="1502"/>
      <c r="Z49" s="1502"/>
      <c r="AA49" s="1502"/>
      <c r="AB49" s="1502"/>
      <c r="AC49" s="1502"/>
    </row>
    <row r="50" s="1127" customFormat="1" ht="14.75" spans="1:29">
      <c r="A50" s="1397" t="s">
        <v>1082</v>
      </c>
      <c r="B50" s="1398"/>
      <c r="C50" s="1399"/>
      <c r="D50" s="1400"/>
      <c r="E50" s="1400"/>
      <c r="F50" s="1400"/>
      <c r="G50" s="1400"/>
      <c r="H50" s="1400"/>
      <c r="I50" s="1400"/>
      <c r="J50" s="1400"/>
      <c r="K50" s="1400"/>
      <c r="L50" s="1400"/>
      <c r="M50" s="1448"/>
      <c r="N50" s="1400"/>
      <c r="O50" s="1448"/>
      <c r="P50" s="1670"/>
      <c r="Q50" s="1380"/>
      <c r="R50" s="1502"/>
      <c r="S50" s="1502"/>
      <c r="T50" s="1502"/>
      <c r="U50" s="1502"/>
      <c r="V50" s="1502"/>
      <c r="W50" s="1502"/>
      <c r="X50" s="1502"/>
      <c r="Y50" s="1502"/>
      <c r="Z50" s="1502"/>
      <c r="AA50" s="1502"/>
      <c r="AB50" s="1502"/>
      <c r="AC50" s="1502"/>
    </row>
    <row r="51" s="1127" customFormat="1" spans="1:29">
      <c r="A51" s="1401" t="s">
        <v>1032</v>
      </c>
      <c r="B51" s="1402"/>
      <c r="C51" s="1403" t="s">
        <v>1083</v>
      </c>
      <c r="D51" s="1404"/>
      <c r="E51" s="1404"/>
      <c r="F51" s="1404"/>
      <c r="G51" s="1404"/>
      <c r="H51" s="1404"/>
      <c r="I51" s="1404"/>
      <c r="J51" s="1404"/>
      <c r="K51" s="1404"/>
      <c r="L51" s="1450"/>
      <c r="M51" s="1451"/>
      <c r="N51" s="1452"/>
      <c r="O51" s="1452"/>
      <c r="P51" s="1671"/>
      <c r="Q51" s="1380"/>
      <c r="R51" s="1502"/>
      <c r="S51" s="1502"/>
      <c r="T51" s="1502"/>
      <c r="U51" s="1502"/>
      <c r="V51" s="1502"/>
      <c r="W51" s="1502"/>
      <c r="X51" s="1502"/>
      <c r="Y51" s="1502"/>
      <c r="Z51" s="1502"/>
      <c r="AA51" s="1502"/>
      <c r="AB51" s="1502"/>
      <c r="AC51" s="1502"/>
    </row>
    <row r="52" s="1127" customFormat="1" ht="14.75" spans="1:29">
      <c r="A52" s="1401"/>
      <c r="B52" s="1402"/>
      <c r="C52" s="1405">
        <v>100</v>
      </c>
      <c r="D52" s="1406"/>
      <c r="E52" s="1406"/>
      <c r="F52" s="1406"/>
      <c r="G52" s="1406"/>
      <c r="H52" s="1406"/>
      <c r="I52" s="1406"/>
      <c r="J52" s="1406"/>
      <c r="K52" s="1406"/>
      <c r="L52" s="1406"/>
      <c r="M52" s="1454"/>
      <c r="N52" s="1452"/>
      <c r="O52" s="1452"/>
      <c r="P52" s="1670"/>
      <c r="Q52" s="1380"/>
      <c r="R52" s="1502"/>
      <c r="S52" s="1502"/>
      <c r="T52" s="1502"/>
      <c r="U52" s="1502"/>
      <c r="V52" s="1502"/>
      <c r="W52" s="1502"/>
      <c r="X52" s="1502"/>
      <c r="Y52" s="1502"/>
      <c r="Z52" s="1502"/>
      <c r="AA52" s="1502"/>
      <c r="AB52" s="1502"/>
      <c r="AC52" s="1502"/>
    </row>
    <row r="53" spans="1:29">
      <c r="A53" s="1407" t="s">
        <v>1084</v>
      </c>
      <c r="B53" s="1408" t="s">
        <v>1036</v>
      </c>
      <c r="C53" s="1430">
        <f>C9</f>
        <v>0</v>
      </c>
      <c r="D53" s="1335"/>
      <c r="E53" s="1335"/>
      <c r="F53" s="1335"/>
      <c r="G53" s="1335"/>
      <c r="H53" s="1335"/>
      <c r="I53" s="1335"/>
      <c r="J53" s="1335"/>
      <c r="K53" s="1455"/>
      <c r="L53" s="1456"/>
      <c r="M53" s="1457"/>
      <c r="N53" s="1458"/>
      <c r="O53" s="1458"/>
      <c r="P53" s="1672"/>
      <c r="Q53" s="1380"/>
      <c r="R53" s="1254"/>
      <c r="S53" s="1254"/>
      <c r="T53" s="1254"/>
      <c r="U53" s="1254"/>
      <c r="V53" s="1254"/>
      <c r="W53" s="1254"/>
      <c r="X53" s="1254"/>
      <c r="Y53" s="1254"/>
      <c r="Z53" s="1254"/>
      <c r="AA53" s="1254"/>
      <c r="AB53" s="1254"/>
      <c r="AC53" s="1254"/>
    </row>
    <row r="54" ht="14.75" spans="1:29">
      <c r="A54" s="1409"/>
      <c r="B54" s="1410"/>
      <c r="C54" s="1411">
        <v>100</v>
      </c>
      <c r="D54" s="1411"/>
      <c r="E54" s="1411"/>
      <c r="F54" s="1411"/>
      <c r="G54" s="1411"/>
      <c r="H54" s="1411"/>
      <c r="I54" s="1411"/>
      <c r="J54" s="1411"/>
      <c r="K54" s="1411"/>
      <c r="L54" s="1411"/>
      <c r="M54" s="1460"/>
      <c r="N54" s="1461"/>
      <c r="O54" s="1461"/>
      <c r="P54" s="1672"/>
      <c r="Q54" s="1380"/>
      <c r="R54" s="1254"/>
      <c r="S54" s="1254"/>
      <c r="T54" s="1254"/>
      <c r="U54" s="1254"/>
      <c r="V54" s="1254"/>
      <c r="W54" s="1254"/>
      <c r="X54" s="1254"/>
      <c r="Y54" s="1254"/>
      <c r="Z54" s="1254"/>
      <c r="AA54" s="1254"/>
      <c r="AB54" s="1254"/>
      <c r="AC54" s="1254"/>
    </row>
    <row r="55" ht="28.75" spans="1:29">
      <c r="A55" s="1409"/>
      <c r="B55" s="1412" t="s">
        <v>1039</v>
      </c>
      <c r="C55" s="1437"/>
      <c r="D55" s="1437"/>
      <c r="E55" s="1437"/>
      <c r="F55" s="1437"/>
      <c r="G55" s="1437"/>
      <c r="H55" s="1437"/>
      <c r="I55" s="1437"/>
      <c r="J55" s="1437"/>
      <c r="K55" s="1488"/>
      <c r="L55" s="1489"/>
      <c r="M55" s="1490"/>
      <c r="N55" s="1458"/>
      <c r="O55" s="1458"/>
      <c r="P55" s="1672"/>
      <c r="Q55" s="1380"/>
      <c r="R55" s="1254"/>
      <c r="S55" s="1254"/>
      <c r="T55" s="1254"/>
      <c r="U55" s="1254"/>
      <c r="V55" s="1254"/>
      <c r="W55" s="1254"/>
      <c r="X55" s="1254"/>
      <c r="Y55" s="1254"/>
      <c r="Z55" s="1254"/>
      <c r="AA55" s="1254"/>
      <c r="AB55" s="1254"/>
      <c r="AC55" s="1254"/>
    </row>
    <row r="56" ht="14.75" spans="1:29">
      <c r="A56" s="1409"/>
      <c r="B56" s="1414"/>
      <c r="C56" s="1411"/>
      <c r="D56" s="1411"/>
      <c r="E56" s="1411"/>
      <c r="F56" s="1411"/>
      <c r="G56" s="1411"/>
      <c r="H56" s="1411"/>
      <c r="I56" s="1411"/>
      <c r="J56" s="1411"/>
      <c r="K56" s="1411"/>
      <c r="L56" s="1411"/>
      <c r="M56" s="1460"/>
      <c r="N56" s="1461"/>
      <c r="O56" s="1461"/>
      <c r="P56" s="1672"/>
      <c r="Q56" s="1380"/>
      <c r="R56" s="1254"/>
      <c r="S56" s="1254"/>
      <c r="T56" s="1254"/>
      <c r="U56" s="1254"/>
      <c r="V56" s="1254"/>
      <c r="W56" s="1254"/>
      <c r="X56" s="1254"/>
      <c r="Y56" s="1254"/>
      <c r="Z56" s="1254"/>
      <c r="AA56" s="1254"/>
      <c r="AB56" s="1254"/>
      <c r="AC56" s="1254"/>
    </row>
    <row r="57" ht="14.75" spans="1:29">
      <c r="A57" s="1409"/>
      <c r="B57" s="1436">
        <f>B11</f>
        <v>111</v>
      </c>
      <c r="C57" s="1187"/>
      <c r="D57" s="1187"/>
      <c r="E57" s="1187"/>
      <c r="F57" s="1187"/>
      <c r="G57" s="1187"/>
      <c r="H57" s="1187"/>
      <c r="I57" s="1187"/>
      <c r="J57" s="1187"/>
      <c r="K57" s="1466"/>
      <c r="L57" s="1467"/>
      <c r="M57" s="1468"/>
      <c r="N57" s="1458"/>
      <c r="O57" s="1458"/>
      <c r="P57" s="1672"/>
      <c r="Q57" s="1380"/>
      <c r="R57" s="1254"/>
      <c r="S57" s="1254"/>
      <c r="T57" s="1254"/>
      <c r="U57" s="1254"/>
      <c r="V57" s="1254"/>
      <c r="W57" s="1254"/>
      <c r="X57" s="1254"/>
      <c r="Y57" s="1254"/>
      <c r="Z57" s="1254"/>
      <c r="AA57" s="1254"/>
      <c r="AB57" s="1254"/>
      <c r="AC57" s="1254"/>
    </row>
    <row r="58" ht="14.75" spans="1:29">
      <c r="A58" s="1409"/>
      <c r="B58" s="1410"/>
      <c r="C58" s="1422"/>
      <c r="D58" s="1411"/>
      <c r="E58" s="1411"/>
      <c r="F58" s="1411"/>
      <c r="G58" s="1411"/>
      <c r="H58" s="1411"/>
      <c r="I58" s="1411"/>
      <c r="J58" s="1411"/>
      <c r="K58" s="1411"/>
      <c r="L58" s="1411"/>
      <c r="M58" s="1460"/>
      <c r="N58" s="1461"/>
      <c r="O58" s="1461"/>
      <c r="P58" s="1672"/>
      <c r="Q58" s="1380"/>
      <c r="R58" s="1254"/>
      <c r="S58" s="1254"/>
      <c r="T58" s="1254"/>
      <c r="U58" s="1254"/>
      <c r="V58" s="1254"/>
      <c r="W58" s="1254"/>
      <c r="X58" s="1254"/>
      <c r="Y58" s="1254"/>
      <c r="Z58" s="1254"/>
      <c r="AA58" s="1254"/>
      <c r="AB58" s="1254"/>
      <c r="AC58" s="1254"/>
    </row>
    <row r="59" s="1129" customFormat="1" ht="14.75" spans="1:29">
      <c r="A59" s="1419"/>
      <c r="B59" s="1412">
        <f>B12</f>
        <v>111</v>
      </c>
      <c r="C59" s="1187"/>
      <c r="D59" s="1187"/>
      <c r="E59" s="1187"/>
      <c r="F59" s="1187"/>
      <c r="G59" s="1420"/>
      <c r="H59" s="1421"/>
      <c r="I59" s="1421"/>
      <c r="J59" s="1421"/>
      <c r="K59" s="1421"/>
      <c r="L59" s="1469"/>
      <c r="M59" s="1470"/>
      <c r="N59" s="1471"/>
      <c r="O59" s="1471"/>
      <c r="P59" s="1673"/>
      <c r="Q59" s="1503"/>
      <c r="R59" s="1504"/>
      <c r="S59" s="1504"/>
      <c r="T59" s="1504"/>
      <c r="U59" s="1504"/>
      <c r="V59" s="1504"/>
      <c r="W59" s="1504"/>
      <c r="X59" s="1504"/>
      <c r="Y59" s="1504"/>
      <c r="Z59" s="1504"/>
      <c r="AA59" s="1504"/>
      <c r="AB59" s="1504"/>
      <c r="AC59" s="1504"/>
    </row>
    <row r="60" s="1129" customFormat="1" ht="14.75" spans="1:29">
      <c r="A60" s="1419"/>
      <c r="B60" s="1414"/>
      <c r="C60" s="1422"/>
      <c r="D60" s="1411"/>
      <c r="E60" s="1411"/>
      <c r="F60" s="1411"/>
      <c r="G60" s="1411"/>
      <c r="H60" s="1411"/>
      <c r="I60" s="1411"/>
      <c r="J60" s="1411"/>
      <c r="K60" s="1411"/>
      <c r="L60" s="1411"/>
      <c r="M60" s="1460"/>
      <c r="N60" s="1461"/>
      <c r="O60" s="1461"/>
      <c r="P60" s="1673"/>
      <c r="Q60" s="1503"/>
      <c r="R60" s="1504"/>
      <c r="S60" s="1504"/>
      <c r="T60" s="1504"/>
      <c r="U60" s="1504"/>
      <c r="V60" s="1504"/>
      <c r="W60" s="1504"/>
      <c r="X60" s="1504"/>
      <c r="Y60" s="1504"/>
      <c r="Z60" s="1504"/>
      <c r="AA60" s="1504"/>
      <c r="AB60" s="1504"/>
      <c r="AC60" s="1504"/>
    </row>
    <row r="61" s="1129" customFormat="1" ht="14.75" spans="1:29">
      <c r="A61" s="1419"/>
      <c r="B61" s="1412">
        <f>B13</f>
        <v>111</v>
      </c>
      <c r="C61" s="1420"/>
      <c r="D61" s="1420"/>
      <c r="E61" s="1420"/>
      <c r="F61" s="1420"/>
      <c r="G61" s="1420"/>
      <c r="H61" s="1421"/>
      <c r="I61" s="1421"/>
      <c r="J61" s="1421"/>
      <c r="K61" s="1421"/>
      <c r="L61" s="1469"/>
      <c r="M61" s="1470"/>
      <c r="N61" s="1471"/>
      <c r="O61" s="1471"/>
      <c r="P61" s="1674"/>
      <c r="Q61" s="1505"/>
      <c r="R61" s="1504"/>
      <c r="S61" s="1504"/>
      <c r="T61" s="1504"/>
      <c r="U61" s="1504"/>
      <c r="V61" s="1504"/>
      <c r="W61" s="1504"/>
      <c r="X61" s="1504"/>
      <c r="Y61" s="1504"/>
      <c r="Z61" s="1504"/>
      <c r="AA61" s="1504"/>
      <c r="AB61" s="1504"/>
      <c r="AC61" s="1504"/>
    </row>
    <row r="62" s="1129" customFormat="1" ht="14.75" spans="1:29">
      <c r="A62" s="1419"/>
      <c r="B62" s="1414"/>
      <c r="C62" s="1422"/>
      <c r="D62" s="1422"/>
      <c r="E62" s="1422"/>
      <c r="F62" s="1422"/>
      <c r="G62" s="1422"/>
      <c r="H62" s="1423"/>
      <c r="I62" s="1423"/>
      <c r="J62" s="1423"/>
      <c r="K62" s="1423"/>
      <c r="L62" s="1423"/>
      <c r="M62" s="1473"/>
      <c r="N62" s="1471"/>
      <c r="O62" s="1471"/>
      <c r="P62" s="1673"/>
      <c r="Q62" s="1503"/>
      <c r="R62" s="1504"/>
      <c r="S62" s="1504"/>
      <c r="T62" s="1504"/>
      <c r="U62" s="1504"/>
      <c r="V62" s="1504"/>
      <c r="W62" s="1504"/>
      <c r="X62" s="1504"/>
      <c r="Y62" s="1504"/>
      <c r="Z62" s="1504"/>
      <c r="AA62" s="1504"/>
      <c r="AB62" s="1504"/>
      <c r="AC62" s="1504"/>
    </row>
    <row r="63" ht="14.75" spans="1:29">
      <c r="A63" s="1407" t="s">
        <v>1043</v>
      </c>
      <c r="B63" s="1408" t="s">
        <v>1048</v>
      </c>
      <c r="C63" s="1429" t="s">
        <v>1087</v>
      </c>
      <c r="D63" s="1429" t="s">
        <v>1088</v>
      </c>
      <c r="E63" s="1429" t="s">
        <v>1089</v>
      </c>
      <c r="F63" s="1429" t="s">
        <v>1090</v>
      </c>
      <c r="G63" s="1429" t="s">
        <v>1091</v>
      </c>
      <c r="H63" s="1430"/>
      <c r="I63" s="1430"/>
      <c r="J63" s="1430"/>
      <c r="K63" s="1478"/>
      <c r="L63" s="1479"/>
      <c r="M63" s="1480"/>
      <c r="N63" s="1458"/>
      <c r="O63" s="1458"/>
      <c r="P63" s="1675"/>
      <c r="Q63" s="1380"/>
      <c r="R63" s="1254"/>
      <c r="S63" s="1254"/>
      <c r="T63" s="1254"/>
      <c r="U63" s="1254"/>
      <c r="V63" s="1254"/>
      <c r="W63" s="1254"/>
      <c r="X63" s="1254"/>
      <c r="Y63" s="1254"/>
      <c r="Z63" s="1254"/>
      <c r="AA63" s="1254"/>
      <c r="AB63" s="1254"/>
      <c r="AC63" s="1254"/>
    </row>
    <row r="64" ht="14.75" spans="1:29">
      <c r="A64" s="1409"/>
      <c r="B64" s="1414"/>
      <c r="C64" s="1415">
        <v>100</v>
      </c>
      <c r="D64" s="1415">
        <f>C64-$K14</f>
        <v>100</v>
      </c>
      <c r="E64" s="1415">
        <f>D64-$K14</f>
        <v>100</v>
      </c>
      <c r="F64" s="1415">
        <f>E64-$K14</f>
        <v>100</v>
      </c>
      <c r="G64" s="1415">
        <f>F64-$K14</f>
        <v>100</v>
      </c>
      <c r="H64" s="1415"/>
      <c r="I64" s="1415"/>
      <c r="J64" s="1415"/>
      <c r="K64" s="1415"/>
      <c r="L64" s="1415"/>
      <c r="M64" s="1465"/>
      <c r="N64" s="1461"/>
      <c r="O64" s="1461"/>
      <c r="P64" s="1672"/>
      <c r="Q64" s="1380"/>
      <c r="R64" s="1254"/>
      <c r="S64" s="1254"/>
      <c r="T64" s="1254"/>
      <c r="U64" s="1254"/>
      <c r="V64" s="1254"/>
      <c r="W64" s="1254"/>
      <c r="X64" s="1254"/>
      <c r="Y64" s="1254"/>
      <c r="Z64" s="1254"/>
      <c r="AA64" s="1254"/>
      <c r="AB64" s="1254"/>
      <c r="AC64" s="1254"/>
    </row>
    <row r="65" ht="14.75" spans="1:29">
      <c r="A65" s="1409"/>
      <c r="B65" s="1412" t="s">
        <v>1049</v>
      </c>
      <c r="C65" s="1431" t="s">
        <v>1087</v>
      </c>
      <c r="D65" s="1431" t="s">
        <v>1088</v>
      </c>
      <c r="E65" s="1431" t="s">
        <v>1089</v>
      </c>
      <c r="F65" s="1431" t="s">
        <v>1090</v>
      </c>
      <c r="G65" s="1431" t="s">
        <v>1091</v>
      </c>
      <c r="H65" s="1413"/>
      <c r="I65" s="1413"/>
      <c r="J65" s="1413"/>
      <c r="K65" s="1462"/>
      <c r="L65" s="1463"/>
      <c r="M65" s="1464"/>
      <c r="N65" s="1458"/>
      <c r="O65" s="1458"/>
      <c r="P65" s="1672"/>
      <c r="Q65" s="1380"/>
      <c r="R65" s="1254"/>
      <c r="S65" s="1254"/>
      <c r="T65" s="1254"/>
      <c r="U65" s="1254"/>
      <c r="V65" s="1254"/>
      <c r="W65" s="1254"/>
      <c r="X65" s="1254"/>
      <c r="Y65" s="1254"/>
      <c r="Z65" s="1254"/>
      <c r="AA65" s="1254"/>
      <c r="AB65" s="1254"/>
      <c r="AC65" s="1254"/>
    </row>
    <row r="66" ht="14.75" spans="1:29">
      <c r="A66" s="1409"/>
      <c r="B66" s="1414"/>
      <c r="C66" s="1415">
        <v>100</v>
      </c>
      <c r="D66" s="1415">
        <f>C66-$K16</f>
        <v>100</v>
      </c>
      <c r="E66" s="1415">
        <f>D66-$K16</f>
        <v>100</v>
      </c>
      <c r="F66" s="1415">
        <f>E66-$K16</f>
        <v>100</v>
      </c>
      <c r="G66" s="1415">
        <f>F66-$K16</f>
        <v>100</v>
      </c>
      <c r="H66" s="1415"/>
      <c r="I66" s="1415"/>
      <c r="J66" s="1415"/>
      <c r="K66" s="1415"/>
      <c r="L66" s="1415"/>
      <c r="M66" s="1465"/>
      <c r="N66" s="1461"/>
      <c r="O66" s="1461"/>
      <c r="P66" s="1672"/>
      <c r="Q66" s="1380"/>
      <c r="R66" s="1254"/>
      <c r="S66" s="1254"/>
      <c r="T66" s="1254"/>
      <c r="U66" s="1254"/>
      <c r="V66" s="1254"/>
      <c r="W66" s="1254"/>
      <c r="X66" s="1254"/>
      <c r="Y66" s="1254"/>
      <c r="Z66" s="1254"/>
      <c r="AA66" s="1254"/>
      <c r="AB66" s="1254"/>
      <c r="AC66" s="1254"/>
    </row>
    <row r="67" ht="14.75" spans="1:29">
      <c r="A67" s="1409"/>
      <c r="B67" s="1416" t="s">
        <v>1050</v>
      </c>
      <c r="C67" s="1436" t="s">
        <v>1092</v>
      </c>
      <c r="D67" s="1436" t="s">
        <v>1093</v>
      </c>
      <c r="E67" s="1436" t="s">
        <v>1094</v>
      </c>
      <c r="F67" s="1436" t="s">
        <v>1095</v>
      </c>
      <c r="G67" s="1436" t="s">
        <v>1096</v>
      </c>
      <c r="H67" s="1413"/>
      <c r="I67" s="1413"/>
      <c r="J67" s="1413"/>
      <c r="K67" s="1413"/>
      <c r="L67" s="1413"/>
      <c r="M67" s="1618"/>
      <c r="N67" s="1461"/>
      <c r="O67" s="1461"/>
      <c r="P67" s="1672"/>
      <c r="Q67" s="1380"/>
      <c r="R67" s="1254"/>
      <c r="S67" s="1254"/>
      <c r="T67" s="1254"/>
      <c r="U67" s="1254"/>
      <c r="V67" s="1254"/>
      <c r="W67" s="1254"/>
      <c r="X67" s="1254"/>
      <c r="Y67" s="1254"/>
      <c r="Z67" s="1254"/>
      <c r="AA67" s="1254"/>
      <c r="AB67" s="1254"/>
      <c r="AC67" s="1254"/>
    </row>
    <row r="68" ht="14.75" spans="1:29">
      <c r="A68" s="1409"/>
      <c r="B68" s="1416"/>
      <c r="C68" s="1415">
        <v>100</v>
      </c>
      <c r="D68" s="1415">
        <f>C68-$K18</f>
        <v>100</v>
      </c>
      <c r="E68" s="1415">
        <f>D68-$K18</f>
        <v>100</v>
      </c>
      <c r="F68" s="1415">
        <f>E68-$K18</f>
        <v>100</v>
      </c>
      <c r="G68" s="1415">
        <f>F68-$K18</f>
        <v>100</v>
      </c>
      <c r="H68" s="1436"/>
      <c r="I68" s="1436"/>
      <c r="J68" s="1436"/>
      <c r="K68" s="1436"/>
      <c r="L68" s="1436"/>
      <c r="M68" s="1203"/>
      <c r="N68" s="1461"/>
      <c r="O68" s="1461"/>
      <c r="P68" s="1672"/>
      <c r="Q68" s="1380"/>
      <c r="R68" s="1254"/>
      <c r="S68" s="1254"/>
      <c r="T68" s="1254"/>
      <c r="U68" s="1254"/>
      <c r="V68" s="1254"/>
      <c r="W68" s="1254"/>
      <c r="X68" s="1254"/>
      <c r="Y68" s="1254"/>
      <c r="Z68" s="1254"/>
      <c r="AA68" s="1254"/>
      <c r="AB68" s="1254"/>
      <c r="AC68" s="1254"/>
    </row>
    <row r="69" ht="14.75" spans="1:29">
      <c r="A69" s="1409"/>
      <c r="B69" s="1412" t="s">
        <v>1051</v>
      </c>
      <c r="C69" s="1431" t="s">
        <v>1087</v>
      </c>
      <c r="D69" s="1431" t="s">
        <v>1088</v>
      </c>
      <c r="E69" s="1431" t="s">
        <v>1089</v>
      </c>
      <c r="F69" s="1431" t="s">
        <v>1090</v>
      </c>
      <c r="G69" s="1431" t="s">
        <v>1091</v>
      </c>
      <c r="H69" s="1413"/>
      <c r="I69" s="1413"/>
      <c r="J69" s="1413"/>
      <c r="K69" s="1462"/>
      <c r="L69" s="1463"/>
      <c r="M69" s="1464"/>
      <c r="N69" s="1458"/>
      <c r="O69" s="1458"/>
      <c r="P69" s="1672"/>
      <c r="Q69" s="1380"/>
      <c r="R69" s="1254"/>
      <c r="S69" s="1254"/>
      <c r="T69" s="1254"/>
      <c r="U69" s="1254"/>
      <c r="V69" s="1254"/>
      <c r="W69" s="1254"/>
      <c r="X69" s="1254"/>
      <c r="Y69" s="1254"/>
      <c r="Z69" s="1254"/>
      <c r="AA69" s="1254"/>
      <c r="AB69" s="1254"/>
      <c r="AC69" s="1254"/>
    </row>
    <row r="70" ht="14.75" spans="1:29">
      <c r="A70" s="1409"/>
      <c r="B70" s="1414"/>
      <c r="C70" s="1415">
        <v>100</v>
      </c>
      <c r="D70" s="1415">
        <f>C70-$K20</f>
        <v>100</v>
      </c>
      <c r="E70" s="1415">
        <f>D70-$K20</f>
        <v>100</v>
      </c>
      <c r="F70" s="1415">
        <f>E70-$K20</f>
        <v>100</v>
      </c>
      <c r="G70" s="1415">
        <f>F70-$K20</f>
        <v>100</v>
      </c>
      <c r="H70" s="1415"/>
      <c r="I70" s="1415"/>
      <c r="J70" s="1415"/>
      <c r="K70" s="1415"/>
      <c r="L70" s="1415"/>
      <c r="M70" s="1465"/>
      <c r="N70" s="1461"/>
      <c r="O70" s="1461"/>
      <c r="P70" s="1672"/>
      <c r="Q70" s="1380"/>
      <c r="R70" s="1254"/>
      <c r="S70" s="1254"/>
      <c r="T70" s="1254"/>
      <c r="U70" s="1254"/>
      <c r="V70" s="1254"/>
      <c r="W70" s="1254"/>
      <c r="X70" s="1254"/>
      <c r="Y70" s="1254"/>
      <c r="Z70" s="1254"/>
      <c r="AA70" s="1254"/>
      <c r="AB70" s="1254"/>
      <c r="AC70" s="1254"/>
    </row>
    <row r="71" ht="14.75" spans="1:29">
      <c r="A71" s="1409"/>
      <c r="B71" s="1412" t="s">
        <v>1055</v>
      </c>
      <c r="C71" s="1420"/>
      <c r="D71" s="1420"/>
      <c r="E71" s="1420"/>
      <c r="F71" s="1420"/>
      <c r="G71" s="1420"/>
      <c r="H71" s="1437"/>
      <c r="I71" s="1437"/>
      <c r="J71" s="1437"/>
      <c r="K71" s="1488"/>
      <c r="L71" s="1489"/>
      <c r="M71" s="1490"/>
      <c r="N71" s="1458"/>
      <c r="O71" s="1458"/>
      <c r="P71" s="1672"/>
      <c r="Q71" s="1380"/>
      <c r="R71" s="1254"/>
      <c r="S71" s="1254"/>
      <c r="T71" s="1254"/>
      <c r="U71" s="1254"/>
      <c r="V71" s="1254"/>
      <c r="W71" s="1254"/>
      <c r="X71" s="1254"/>
      <c r="Y71" s="1254"/>
      <c r="Z71" s="1254"/>
      <c r="AA71" s="1254"/>
      <c r="AB71" s="1254"/>
      <c r="AC71" s="1254"/>
    </row>
    <row r="72" ht="14.75" spans="1:29">
      <c r="A72" s="1409"/>
      <c r="B72" s="1414"/>
      <c r="C72" s="1415">
        <v>100</v>
      </c>
      <c r="D72" s="1415">
        <f>C72-$K22</f>
        <v>100</v>
      </c>
      <c r="E72" s="1415">
        <f>D72-$K22</f>
        <v>100</v>
      </c>
      <c r="F72" s="1415">
        <f>E72-$K22</f>
        <v>100</v>
      </c>
      <c r="G72" s="1415">
        <f>F72-$K22</f>
        <v>100</v>
      </c>
      <c r="H72" s="1415"/>
      <c r="I72" s="1415"/>
      <c r="J72" s="1415"/>
      <c r="K72" s="1415"/>
      <c r="L72" s="1415"/>
      <c r="M72" s="1465"/>
      <c r="N72" s="1461"/>
      <c r="O72" s="1461"/>
      <c r="P72" s="1672"/>
      <c r="Q72" s="1380"/>
      <c r="R72" s="1254"/>
      <c r="S72" s="1254"/>
      <c r="T72" s="1254"/>
      <c r="U72" s="1254"/>
      <c r="V72" s="1254"/>
      <c r="W72" s="1254"/>
      <c r="X72" s="1254"/>
      <c r="Y72" s="1254"/>
      <c r="Z72" s="1254"/>
      <c r="AA72" s="1254"/>
      <c r="AB72" s="1254"/>
      <c r="AC72" s="1254"/>
    </row>
    <row r="73" s="1127" customFormat="1" ht="14.75" spans="1:29">
      <c r="A73" s="1432"/>
      <c r="B73" s="1412">
        <f>B23</f>
        <v>111</v>
      </c>
      <c r="C73" s="1187"/>
      <c r="D73" s="1187"/>
      <c r="E73" s="1187"/>
      <c r="F73" s="1187"/>
      <c r="G73" s="1420"/>
      <c r="H73" s="1420"/>
      <c r="I73" s="1420"/>
      <c r="J73" s="1420"/>
      <c r="K73" s="1420"/>
      <c r="L73" s="1619"/>
      <c r="M73" s="1620"/>
      <c r="N73" s="1452"/>
      <c r="O73" s="1452"/>
      <c r="P73" s="1672"/>
      <c r="Q73" s="1380"/>
      <c r="R73" s="1502"/>
      <c r="S73" s="1502"/>
      <c r="T73" s="1502"/>
      <c r="U73" s="1502"/>
      <c r="V73" s="1502"/>
      <c r="W73" s="1502"/>
      <c r="X73" s="1502"/>
      <c r="Y73" s="1502"/>
      <c r="Z73" s="1502"/>
      <c r="AA73" s="1502"/>
      <c r="AB73" s="1502"/>
      <c r="AC73" s="1502"/>
    </row>
    <row r="74" s="1127" customFormat="1" ht="14.75" spans="1:29">
      <c r="A74" s="1432"/>
      <c r="B74" s="1414"/>
      <c r="C74" s="1422"/>
      <c r="D74" s="1411"/>
      <c r="E74" s="1411"/>
      <c r="F74" s="1411"/>
      <c r="G74" s="1411"/>
      <c r="H74" s="1411"/>
      <c r="I74" s="1411"/>
      <c r="J74" s="1411"/>
      <c r="K74" s="1411"/>
      <c r="L74" s="1411"/>
      <c r="M74" s="1460"/>
      <c r="N74" s="1461"/>
      <c r="O74" s="1461"/>
      <c r="P74" s="1672"/>
      <c r="Q74" s="1380"/>
      <c r="R74" s="1502"/>
      <c r="S74" s="1502"/>
      <c r="T74" s="1502"/>
      <c r="U74" s="1502"/>
      <c r="V74" s="1502"/>
      <c r="W74" s="1502"/>
      <c r="X74" s="1502"/>
      <c r="Y74" s="1502"/>
      <c r="Z74" s="1502"/>
      <c r="AA74" s="1502"/>
      <c r="AB74" s="1502"/>
      <c r="AC74" s="1502"/>
    </row>
    <row r="75" s="1127" customFormat="1" ht="14.75" spans="1:29">
      <c r="A75" s="1432"/>
      <c r="B75" s="1412">
        <f>B24</f>
        <v>111</v>
      </c>
      <c r="C75" s="1187"/>
      <c r="D75" s="1187"/>
      <c r="E75" s="1187"/>
      <c r="F75" s="1187"/>
      <c r="G75" s="1420"/>
      <c r="H75" s="1420"/>
      <c r="I75" s="1420"/>
      <c r="J75" s="1420"/>
      <c r="K75" s="1420"/>
      <c r="L75" s="1420"/>
      <c r="M75" s="1620"/>
      <c r="N75" s="1452"/>
      <c r="O75" s="1452"/>
      <c r="P75" s="1672"/>
      <c r="Q75" s="1380"/>
      <c r="R75" s="1502"/>
      <c r="S75" s="1502"/>
      <c r="T75" s="1502"/>
      <c r="U75" s="1502"/>
      <c r="V75" s="1502"/>
      <c r="W75" s="1502"/>
      <c r="X75" s="1502"/>
      <c r="Y75" s="1502"/>
      <c r="Z75" s="1502"/>
      <c r="AA75" s="1502"/>
      <c r="AB75" s="1502"/>
      <c r="AC75" s="1502"/>
    </row>
    <row r="76" s="1127" customFormat="1" ht="14.75" spans="1:29">
      <c r="A76" s="1432"/>
      <c r="B76" s="1414"/>
      <c r="C76" s="1422"/>
      <c r="D76" s="1411"/>
      <c r="E76" s="1411"/>
      <c r="F76" s="1411"/>
      <c r="G76" s="1411"/>
      <c r="H76" s="1411"/>
      <c r="I76" s="1411"/>
      <c r="J76" s="1411"/>
      <c r="K76" s="1411"/>
      <c r="L76" s="1411"/>
      <c r="M76" s="1460"/>
      <c r="N76" s="1461"/>
      <c r="O76" s="1461"/>
      <c r="P76" s="1672"/>
      <c r="Q76" s="1380"/>
      <c r="R76" s="1502"/>
      <c r="S76" s="1502"/>
      <c r="T76" s="1502"/>
      <c r="U76" s="1502"/>
      <c r="V76" s="1502"/>
      <c r="W76" s="1502"/>
      <c r="X76" s="1502"/>
      <c r="Y76" s="1502"/>
      <c r="Z76" s="1502"/>
      <c r="AA76" s="1502"/>
      <c r="AB76" s="1502"/>
      <c r="AC76" s="1502"/>
    </row>
    <row r="77" s="1129" customFormat="1" ht="14.75" spans="1:29">
      <c r="A77" s="1419"/>
      <c r="B77" s="1412">
        <f>B25</f>
        <v>111</v>
      </c>
      <c r="C77" s="1420"/>
      <c r="D77" s="1420"/>
      <c r="E77" s="1420"/>
      <c r="F77" s="1420"/>
      <c r="G77" s="1420"/>
      <c r="H77" s="1421"/>
      <c r="I77" s="1421"/>
      <c r="J77" s="1421"/>
      <c r="K77" s="1421"/>
      <c r="L77" s="1469"/>
      <c r="M77" s="1470"/>
      <c r="N77" s="1471"/>
      <c r="O77" s="1471"/>
      <c r="P77" s="1673"/>
      <c r="Q77" s="1503"/>
      <c r="R77" s="1504"/>
      <c r="S77" s="1504"/>
      <c r="T77" s="1504"/>
      <c r="U77" s="1504"/>
      <c r="V77" s="1504"/>
      <c r="W77" s="1504"/>
      <c r="X77" s="1504"/>
      <c r="Y77" s="1504"/>
      <c r="Z77" s="1504"/>
      <c r="AA77" s="1504"/>
      <c r="AB77" s="1504"/>
      <c r="AC77" s="1504"/>
    </row>
    <row r="78" s="1129" customFormat="1" ht="14.75" spans="1:29">
      <c r="A78" s="1419"/>
      <c r="B78" s="1414"/>
      <c r="C78" s="1422"/>
      <c r="D78" s="1422"/>
      <c r="E78" s="1422"/>
      <c r="F78" s="1422"/>
      <c r="G78" s="1411"/>
      <c r="H78" s="1411"/>
      <c r="I78" s="1411"/>
      <c r="J78" s="1411"/>
      <c r="K78" s="1411"/>
      <c r="L78" s="1411"/>
      <c r="M78" s="1460"/>
      <c r="N78" s="1471"/>
      <c r="O78" s="1471"/>
      <c r="P78" s="1673"/>
      <c r="Q78" s="1503"/>
      <c r="R78" s="1504"/>
      <c r="S78" s="1504"/>
      <c r="T78" s="1504"/>
      <c r="U78" s="1504"/>
      <c r="V78" s="1504"/>
      <c r="W78" s="1504"/>
      <c r="X78" s="1504"/>
      <c r="Y78" s="1504"/>
      <c r="Z78" s="1504"/>
      <c r="AA78" s="1504"/>
      <c r="AB78" s="1504"/>
      <c r="AC78" s="1504"/>
    </row>
    <row r="79" ht="28.75" spans="1:29">
      <c r="A79" s="1407" t="s">
        <v>1056</v>
      </c>
      <c r="B79" s="1408" t="s">
        <v>1639</v>
      </c>
      <c r="C79" s="1430" t="str">
        <f>C26</f>
        <v>车库</v>
      </c>
      <c r="D79" s="1335"/>
      <c r="E79" s="1335"/>
      <c r="F79" s="1335"/>
      <c r="G79" s="1335"/>
      <c r="H79" s="1335"/>
      <c r="I79" s="1335"/>
      <c r="J79" s="1335"/>
      <c r="K79" s="1455"/>
      <c r="L79" s="1456"/>
      <c r="M79" s="1457"/>
      <c r="N79" s="1458"/>
      <c r="O79" s="1458"/>
      <c r="P79" s="1672"/>
      <c r="Q79" s="1380"/>
      <c r="R79" s="1254"/>
      <c r="S79" s="1254"/>
      <c r="T79" s="1254"/>
      <c r="U79" s="1254"/>
      <c r="V79" s="1254"/>
      <c r="W79" s="1254"/>
      <c r="X79" s="1254"/>
      <c r="Y79" s="1254"/>
      <c r="Z79" s="1254"/>
      <c r="AA79" s="1254"/>
      <c r="AB79" s="1254"/>
      <c r="AC79" s="1254"/>
    </row>
    <row r="80" ht="14.75" spans="1:29">
      <c r="A80" s="1409"/>
      <c r="B80" s="1414"/>
      <c r="C80" s="1415">
        <v>100</v>
      </c>
      <c r="D80" s="1415">
        <f t="shared" ref="D80:M80" si="17">C80-$K26</f>
        <v>100</v>
      </c>
      <c r="E80" s="1415">
        <f t="shared" si="17"/>
        <v>100</v>
      </c>
      <c r="F80" s="1415">
        <f t="shared" si="17"/>
        <v>100</v>
      </c>
      <c r="G80" s="1415">
        <f t="shared" si="17"/>
        <v>100</v>
      </c>
      <c r="H80" s="1415">
        <f t="shared" si="17"/>
        <v>100</v>
      </c>
      <c r="I80" s="1415">
        <f t="shared" si="17"/>
        <v>100</v>
      </c>
      <c r="J80" s="1415">
        <f t="shared" si="17"/>
        <v>100</v>
      </c>
      <c r="K80" s="1415">
        <f t="shared" si="17"/>
        <v>100</v>
      </c>
      <c r="L80" s="1415">
        <f t="shared" si="17"/>
        <v>100</v>
      </c>
      <c r="M80" s="1465">
        <f t="shared" si="17"/>
        <v>100</v>
      </c>
      <c r="N80" s="1461"/>
      <c r="O80" s="1461"/>
      <c r="P80" s="1672"/>
      <c r="Q80" s="1380"/>
      <c r="R80" s="1254"/>
      <c r="S80" s="1254"/>
      <c r="T80" s="1254"/>
      <c r="U80" s="1254"/>
      <c r="V80" s="1254"/>
      <c r="W80" s="1254"/>
      <c r="X80" s="1254"/>
      <c r="Y80" s="1254"/>
      <c r="Z80" s="1254"/>
      <c r="AA80" s="1254"/>
      <c r="AB80" s="1254"/>
      <c r="AC80" s="1254"/>
    </row>
    <row r="81" ht="14.75" spans="1:29">
      <c r="A81" s="1409"/>
      <c r="B81" s="1412" t="s">
        <v>1630</v>
      </c>
      <c r="C81" s="1676"/>
      <c r="D81" s="1676"/>
      <c r="E81" s="1676"/>
      <c r="F81" s="1676"/>
      <c r="G81" s="1676"/>
      <c r="H81" s="1676"/>
      <c r="I81" s="1676"/>
      <c r="J81" s="1676"/>
      <c r="K81" s="1677"/>
      <c r="L81" s="1678"/>
      <c r="M81" s="1679"/>
      <c r="N81" s="1452"/>
      <c r="O81" s="1452"/>
      <c r="P81" s="1672"/>
      <c r="Q81" s="1380"/>
      <c r="R81" s="1254"/>
      <c r="S81" s="1254"/>
      <c r="T81" s="1254"/>
      <c r="U81" s="1254"/>
      <c r="V81" s="1254"/>
      <c r="W81" s="1254"/>
      <c r="X81" s="1254"/>
      <c r="Y81" s="1254"/>
      <c r="Z81" s="1254"/>
      <c r="AA81" s="1254"/>
      <c r="AB81" s="1254"/>
      <c r="AC81" s="1254"/>
    </row>
    <row r="82" s="1129" customFormat="1" ht="14.75" spans="1:29">
      <c r="A82" s="1419"/>
      <c r="B82" s="1414"/>
      <c r="C82" s="1422"/>
      <c r="D82" s="1411"/>
      <c r="E82" s="1411"/>
      <c r="F82" s="1411"/>
      <c r="G82" s="1411"/>
      <c r="H82" s="1411"/>
      <c r="I82" s="1411"/>
      <c r="J82" s="1411"/>
      <c r="K82" s="1411"/>
      <c r="L82" s="1411"/>
      <c r="M82" s="1460"/>
      <c r="N82" s="1461"/>
      <c r="O82" s="1461"/>
      <c r="P82" s="1673"/>
      <c r="Q82" s="1503"/>
      <c r="R82" s="1504"/>
      <c r="S82" s="1504"/>
      <c r="T82" s="1504"/>
      <c r="U82" s="1504"/>
      <c r="V82" s="1504"/>
      <c r="W82" s="1504"/>
      <c r="X82" s="1504"/>
      <c r="Y82" s="1504"/>
      <c r="Z82" s="1504"/>
      <c r="AA82" s="1504"/>
      <c r="AB82" s="1504"/>
      <c r="AC82" s="1504"/>
    </row>
    <row r="83" ht="14.75" spans="1:29">
      <c r="A83" s="1443"/>
      <c r="B83" s="1412" t="s">
        <v>1061</v>
      </c>
      <c r="C83" s="1420"/>
      <c r="D83" s="1420"/>
      <c r="E83" s="1437"/>
      <c r="F83" s="1437"/>
      <c r="G83" s="1437"/>
      <c r="H83" s="1437"/>
      <c r="I83" s="1437"/>
      <c r="J83" s="1437"/>
      <c r="K83" s="1488"/>
      <c r="L83" s="1489"/>
      <c r="M83" s="1490"/>
      <c r="N83" s="1458"/>
      <c r="O83" s="1458"/>
      <c r="P83" s="1672"/>
      <c r="Q83" s="1380"/>
      <c r="R83" s="1254"/>
      <c r="S83" s="1254"/>
      <c r="T83" s="1254"/>
      <c r="U83" s="1254"/>
      <c r="V83" s="1254"/>
      <c r="W83" s="1254"/>
      <c r="X83" s="1254"/>
      <c r="Y83" s="1254"/>
      <c r="Z83" s="1254"/>
      <c r="AA83" s="1254"/>
      <c r="AB83" s="1254"/>
      <c r="AC83" s="1254"/>
    </row>
    <row r="84" ht="14.75" spans="1:29">
      <c r="A84" s="1409"/>
      <c r="B84" s="1414"/>
      <c r="C84" s="1415">
        <v>100</v>
      </c>
      <c r="D84" s="1415">
        <f t="shared" ref="D84:M84" si="18">C84-$K28</f>
        <v>100</v>
      </c>
      <c r="E84" s="1415">
        <f t="shared" si="18"/>
        <v>100</v>
      </c>
      <c r="F84" s="1415">
        <f t="shared" si="18"/>
        <v>100</v>
      </c>
      <c r="G84" s="1415">
        <f t="shared" si="18"/>
        <v>100</v>
      </c>
      <c r="H84" s="1415">
        <f t="shared" si="18"/>
        <v>100</v>
      </c>
      <c r="I84" s="1415">
        <f t="shared" si="18"/>
        <v>100</v>
      </c>
      <c r="J84" s="1415">
        <f t="shared" si="18"/>
        <v>100</v>
      </c>
      <c r="K84" s="1415">
        <f t="shared" si="18"/>
        <v>100</v>
      </c>
      <c r="L84" s="1415">
        <f t="shared" si="18"/>
        <v>100</v>
      </c>
      <c r="M84" s="1465">
        <f t="shared" si="18"/>
        <v>100</v>
      </c>
      <c r="N84" s="1461"/>
      <c r="O84" s="1461"/>
      <c r="P84" s="1672"/>
      <c r="Q84" s="1380"/>
      <c r="R84" s="1254"/>
      <c r="S84" s="1254"/>
      <c r="T84" s="1254"/>
      <c r="U84" s="1254"/>
      <c r="V84" s="1254"/>
      <c r="W84" s="1254"/>
      <c r="X84" s="1254"/>
      <c r="Y84" s="1254"/>
      <c r="Z84" s="1254"/>
      <c r="AA84" s="1254"/>
      <c r="AB84" s="1254"/>
      <c r="AC84" s="1254"/>
    </row>
    <row r="85" ht="14.75" spans="1:29">
      <c r="A85" s="1443"/>
      <c r="B85" s="1412" t="s">
        <v>1631</v>
      </c>
      <c r="C85" s="1431" t="str">
        <f>C86&amp;"(含)"&amp;"-"&amp;D86</f>
        <v>0.5(含)-0.6</v>
      </c>
      <c r="D85" s="1431" t="str">
        <f>D86&amp;"(含)"&amp;"-"&amp;E86</f>
        <v>0.6(含)-0.7</v>
      </c>
      <c r="E85" s="1431" t="str">
        <f>E86&amp;"(含)"&amp;"-"&amp;F86</f>
        <v>0.7(含)-0.8</v>
      </c>
      <c r="F85" s="1431" t="str">
        <f>F86&amp;"(含)"&amp;"-"&amp;G86</f>
        <v>0.8(含)-0.9</v>
      </c>
      <c r="G85" s="1431" t="str">
        <f>G86&amp;"(含)"&amp;"-"&amp;ROUND(H86,0)&amp;"(含)"</f>
        <v>0.9(含)-1(含)</v>
      </c>
      <c r="H85" s="1431"/>
      <c r="I85" s="1437"/>
      <c r="J85" s="1437"/>
      <c r="K85" s="1488"/>
      <c r="L85" s="1489"/>
      <c r="M85" s="1490"/>
      <c r="N85" s="1458"/>
      <c r="O85" s="1458"/>
      <c r="P85" s="1672"/>
      <c r="Q85" s="1380"/>
      <c r="R85" s="1254"/>
      <c r="S85" s="1254"/>
      <c r="T85" s="1254"/>
      <c r="U85" s="1254"/>
      <c r="V85" s="1254"/>
      <c r="W85" s="1254"/>
      <c r="X85" s="1254"/>
      <c r="Y85" s="1254"/>
      <c r="Z85" s="1254"/>
      <c r="AA85" s="1254"/>
      <c r="AB85" s="1254"/>
      <c r="AC85" s="1254"/>
    </row>
    <row r="86" spans="1:29">
      <c r="A86" s="1443"/>
      <c r="B86" s="1416"/>
      <c r="C86" s="891">
        <v>0.5</v>
      </c>
      <c r="D86" s="891">
        <v>0.6</v>
      </c>
      <c r="E86" s="891">
        <v>0.7</v>
      </c>
      <c r="F86" s="891">
        <v>0.8</v>
      </c>
      <c r="G86" s="891">
        <v>0.9</v>
      </c>
      <c r="H86" s="891">
        <v>1.0001</v>
      </c>
      <c r="I86" s="1680"/>
      <c r="J86" s="1680"/>
      <c r="K86" s="1681"/>
      <c r="L86" s="1682"/>
      <c r="M86" s="1683"/>
      <c r="N86" s="1458"/>
      <c r="O86" s="1458"/>
      <c r="P86" s="1672"/>
      <c r="Q86" s="1380"/>
      <c r="R86" s="1254"/>
      <c r="S86" s="1254"/>
      <c r="T86" s="1254"/>
      <c r="U86" s="1254"/>
      <c r="V86" s="1254"/>
      <c r="W86" s="1254"/>
      <c r="X86" s="1254"/>
      <c r="Y86" s="1254"/>
      <c r="Z86" s="1254"/>
      <c r="AA86" s="1254"/>
      <c r="AB86" s="1254"/>
      <c r="AC86" s="1254"/>
    </row>
    <row r="87" ht="14.75" spans="1:29">
      <c r="A87" s="1409"/>
      <c r="B87" s="1414"/>
      <c r="C87" s="1433">
        <v>100</v>
      </c>
      <c r="D87" s="1415">
        <f>C87+$K$29</f>
        <v>100</v>
      </c>
      <c r="E87" s="1415">
        <f t="shared" ref="E87:M87" si="19">D87+$K$29</f>
        <v>100</v>
      </c>
      <c r="F87" s="1415">
        <f t="shared" si="19"/>
        <v>100</v>
      </c>
      <c r="G87" s="1415">
        <f t="shared" si="19"/>
        <v>100</v>
      </c>
      <c r="H87" s="1415">
        <f t="shared" si="19"/>
        <v>100</v>
      </c>
      <c r="I87" s="1415">
        <f t="shared" si="19"/>
        <v>100</v>
      </c>
      <c r="J87" s="1415">
        <f t="shared" si="19"/>
        <v>100</v>
      </c>
      <c r="K87" s="1415">
        <f t="shared" si="19"/>
        <v>100</v>
      </c>
      <c r="L87" s="1415">
        <f t="shared" si="19"/>
        <v>100</v>
      </c>
      <c r="M87" s="1415">
        <f t="shared" si="19"/>
        <v>100</v>
      </c>
      <c r="N87" s="1461"/>
      <c r="O87" s="1461"/>
      <c r="P87" s="1672"/>
      <c r="Q87" s="1380"/>
      <c r="R87" s="1254"/>
      <c r="S87" s="1254"/>
      <c r="T87" s="1254"/>
      <c r="U87" s="1254"/>
      <c r="V87" s="1254"/>
      <c r="W87" s="1254"/>
      <c r="X87" s="1254"/>
      <c r="Y87" s="1254"/>
      <c r="Z87" s="1254"/>
      <c r="AA87" s="1254"/>
      <c r="AB87" s="1254"/>
      <c r="AC87" s="1254"/>
    </row>
    <row r="88" ht="14.75" spans="1:29">
      <c r="A88" s="1443"/>
      <c r="B88" s="1416" t="s">
        <v>1632</v>
      </c>
      <c r="C88" s="1335"/>
      <c r="D88" s="1335"/>
      <c r="E88" s="1335"/>
      <c r="F88" s="1335"/>
      <c r="G88" s="1335"/>
      <c r="H88" s="1335"/>
      <c r="I88" s="1335"/>
      <c r="J88" s="1335"/>
      <c r="K88" s="1455"/>
      <c r="L88" s="1456"/>
      <c r="M88" s="1457"/>
      <c r="N88" s="1458"/>
      <c r="O88" s="1458"/>
      <c r="P88" s="1672"/>
      <c r="Q88" s="1380"/>
      <c r="R88" s="1254"/>
      <c r="S88" s="1254"/>
      <c r="T88" s="1254"/>
      <c r="U88" s="1254"/>
      <c r="V88" s="1254"/>
      <c r="W88" s="1254"/>
      <c r="X88" s="1254"/>
      <c r="Y88" s="1254"/>
      <c r="Z88" s="1254"/>
      <c r="AA88" s="1254"/>
      <c r="AB88" s="1254"/>
      <c r="AC88" s="1254"/>
    </row>
    <row r="89" ht="14.75" spans="1:29">
      <c r="A89" s="1409"/>
      <c r="B89" s="1414"/>
      <c r="C89" s="1433">
        <v>100</v>
      </c>
      <c r="D89" s="1415">
        <f t="shared" ref="D89:M89" si="20">C89+$K30</f>
        <v>100</v>
      </c>
      <c r="E89" s="1415">
        <f t="shared" si="20"/>
        <v>100</v>
      </c>
      <c r="F89" s="1415">
        <f t="shared" si="20"/>
        <v>100</v>
      </c>
      <c r="G89" s="1415">
        <f t="shared" si="20"/>
        <v>100</v>
      </c>
      <c r="H89" s="1415">
        <f t="shared" si="20"/>
        <v>100</v>
      </c>
      <c r="I89" s="1415">
        <f t="shared" si="20"/>
        <v>100</v>
      </c>
      <c r="J89" s="1415">
        <f t="shared" si="20"/>
        <v>100</v>
      </c>
      <c r="K89" s="1415">
        <f t="shared" si="20"/>
        <v>100</v>
      </c>
      <c r="L89" s="1415">
        <f t="shared" si="20"/>
        <v>100</v>
      </c>
      <c r="M89" s="1415">
        <f t="shared" si="20"/>
        <v>100</v>
      </c>
      <c r="N89" s="1461"/>
      <c r="O89" s="1461"/>
      <c r="P89" s="1672"/>
      <c r="Q89" s="1380"/>
      <c r="R89" s="1254"/>
      <c r="S89" s="1254"/>
      <c r="T89" s="1254"/>
      <c r="U89" s="1254"/>
      <c r="V89" s="1254"/>
      <c r="W89" s="1254"/>
      <c r="X89" s="1254"/>
      <c r="Y89" s="1254"/>
      <c r="Z89" s="1254"/>
      <c r="AA89" s="1254"/>
      <c r="AB89" s="1254"/>
      <c r="AC89" s="1254"/>
    </row>
    <row r="90" s="1129" customFormat="1" ht="14.75" spans="1:29">
      <c r="A90" s="1440"/>
      <c r="B90" s="1412" t="s">
        <v>1633</v>
      </c>
      <c r="C90" s="1431" t="str">
        <f>C91&amp;"(含)"&amp;"-"&amp;D91</f>
        <v>(含)-</v>
      </c>
      <c r="D90" s="1431" t="str">
        <f t="shared" ref="D90:L90" si="21">D91&amp;"(含)"&amp;"-"&amp;E91</f>
        <v>(含)-</v>
      </c>
      <c r="E90" s="1431" t="str">
        <f t="shared" si="21"/>
        <v>(含)-</v>
      </c>
      <c r="F90" s="1431" t="str">
        <f t="shared" si="21"/>
        <v>(含)-</v>
      </c>
      <c r="G90" s="1431" t="str">
        <f t="shared" si="21"/>
        <v>(含)-</v>
      </c>
      <c r="H90" s="1431" t="str">
        <f t="shared" si="21"/>
        <v>(含)-</v>
      </c>
      <c r="I90" s="1431" t="str">
        <f t="shared" si="21"/>
        <v>(含)-</v>
      </c>
      <c r="J90" s="1431" t="str">
        <f t="shared" si="21"/>
        <v>(含)-</v>
      </c>
      <c r="K90" s="1431" t="str">
        <f t="shared" si="21"/>
        <v>(含)-</v>
      </c>
      <c r="L90" s="1431" t="str">
        <f t="shared" si="21"/>
        <v>(含)-</v>
      </c>
      <c r="M90" s="1483" t="str">
        <f>M91&amp;"(含)"&amp;"-"&amp;P91</f>
        <v>(含)-</v>
      </c>
      <c r="N90" s="1471"/>
      <c r="O90" s="1471"/>
      <c r="P90" s="1673"/>
      <c r="Q90" s="1503"/>
      <c r="R90" s="1504"/>
      <c r="S90" s="1504"/>
      <c r="T90" s="1504"/>
      <c r="U90" s="1504"/>
      <c r="V90" s="1504"/>
      <c r="W90" s="1504"/>
      <c r="X90" s="1504"/>
      <c r="Y90" s="1504"/>
      <c r="Z90" s="1504"/>
      <c r="AA90" s="1504"/>
      <c r="AB90" s="1504"/>
      <c r="AC90" s="1504"/>
    </row>
    <row r="91" s="1129" customFormat="1" spans="1:29">
      <c r="A91" s="1440"/>
      <c r="B91" s="1416"/>
      <c r="C91" s="1396"/>
      <c r="D91" s="1396"/>
      <c r="E91" s="1396"/>
      <c r="F91" s="1396"/>
      <c r="G91" s="1396"/>
      <c r="H91" s="1396"/>
      <c r="I91" s="1396"/>
      <c r="J91" s="1495"/>
      <c r="K91" s="1495"/>
      <c r="L91" s="1496"/>
      <c r="M91" s="1497"/>
      <c r="N91" s="1471"/>
      <c r="O91" s="1471"/>
      <c r="P91" s="1673"/>
      <c r="Q91" s="1503"/>
      <c r="R91" s="1504"/>
      <c r="S91" s="1504"/>
      <c r="T91" s="1504"/>
      <c r="U91" s="1504"/>
      <c r="V91" s="1504"/>
      <c r="W91" s="1504"/>
      <c r="X91" s="1504"/>
      <c r="Y91" s="1504"/>
      <c r="Z91" s="1504"/>
      <c r="AA91" s="1504"/>
      <c r="AB91" s="1504"/>
      <c r="AC91" s="1504"/>
    </row>
    <row r="92" s="1129" customFormat="1" ht="14.75" spans="1:29">
      <c r="A92" s="1419"/>
      <c r="B92" s="1414"/>
      <c r="C92" s="1422"/>
      <c r="D92" s="1411"/>
      <c r="E92" s="1411"/>
      <c r="F92" s="1411"/>
      <c r="G92" s="1411"/>
      <c r="H92" s="1411"/>
      <c r="I92" s="1411"/>
      <c r="J92" s="1411"/>
      <c r="K92" s="1411"/>
      <c r="L92" s="1411"/>
      <c r="M92" s="1460"/>
      <c r="N92" s="1471"/>
      <c r="O92" s="1471"/>
      <c r="P92" s="1673"/>
      <c r="Q92" s="1503"/>
      <c r="R92" s="1504"/>
      <c r="S92" s="1504"/>
      <c r="T92" s="1504"/>
      <c r="U92" s="1504"/>
      <c r="V92" s="1504"/>
      <c r="W92" s="1504"/>
      <c r="X92" s="1504"/>
      <c r="Y92" s="1504"/>
      <c r="Z92" s="1504"/>
      <c r="AA92" s="1504"/>
      <c r="AB92" s="1504"/>
      <c r="AC92" s="1504"/>
    </row>
    <row r="93" ht="14.75" spans="1:29">
      <c r="A93" s="1443"/>
      <c r="B93" s="1412" t="s">
        <v>1634</v>
      </c>
      <c r="C93" s="1420"/>
      <c r="D93" s="1420"/>
      <c r="E93" s="1437"/>
      <c r="F93" s="1437"/>
      <c r="G93" s="1437"/>
      <c r="H93" s="1437"/>
      <c r="I93" s="1437"/>
      <c r="J93" s="1437"/>
      <c r="K93" s="1488"/>
      <c r="L93" s="1489"/>
      <c r="M93" s="1490"/>
      <c r="N93" s="1458"/>
      <c r="O93" s="1458"/>
      <c r="P93" s="1672"/>
      <c r="Q93" s="1380"/>
      <c r="R93" s="1254"/>
      <c r="S93" s="1254"/>
      <c r="T93" s="1254"/>
      <c r="U93" s="1254"/>
      <c r="V93" s="1254"/>
      <c r="W93" s="1254"/>
      <c r="X93" s="1254"/>
      <c r="Y93" s="1254"/>
      <c r="Z93" s="1254"/>
      <c r="AA93" s="1254"/>
      <c r="AB93" s="1254"/>
      <c r="AC93" s="1254"/>
    </row>
    <row r="94" ht="14.75" spans="1:29">
      <c r="A94" s="1409"/>
      <c r="B94" s="1414"/>
      <c r="C94" s="1415">
        <v>100</v>
      </c>
      <c r="D94" s="1415">
        <f t="shared" ref="D94:M94" si="22">C94-$K32</f>
        <v>100</v>
      </c>
      <c r="E94" s="1415">
        <f t="shared" si="22"/>
        <v>100</v>
      </c>
      <c r="F94" s="1415">
        <f t="shared" si="22"/>
        <v>100</v>
      </c>
      <c r="G94" s="1415">
        <f t="shared" si="22"/>
        <v>100</v>
      </c>
      <c r="H94" s="1415">
        <f t="shared" si="22"/>
        <v>100</v>
      </c>
      <c r="I94" s="1415">
        <f t="shared" si="22"/>
        <v>100</v>
      </c>
      <c r="J94" s="1415">
        <f t="shared" si="22"/>
        <v>100</v>
      </c>
      <c r="K94" s="1415">
        <f t="shared" si="22"/>
        <v>100</v>
      </c>
      <c r="L94" s="1415">
        <f t="shared" si="22"/>
        <v>100</v>
      </c>
      <c r="M94" s="1465">
        <f t="shared" si="22"/>
        <v>100</v>
      </c>
      <c r="N94" s="1461"/>
      <c r="O94" s="1461"/>
      <c r="P94" s="1672"/>
      <c r="Q94" s="1380"/>
      <c r="R94" s="1254"/>
      <c r="S94" s="1254"/>
      <c r="T94" s="1254"/>
      <c r="U94" s="1254"/>
      <c r="V94" s="1254"/>
      <c r="W94" s="1254"/>
      <c r="X94" s="1254"/>
      <c r="Y94" s="1254"/>
      <c r="Z94" s="1254"/>
      <c r="AA94" s="1254"/>
      <c r="AB94" s="1254"/>
      <c r="AC94" s="1254"/>
    </row>
    <row r="95" ht="14.75" spans="1:29">
      <c r="A95" s="1443"/>
      <c r="B95" s="1412" t="s">
        <v>1635</v>
      </c>
      <c r="C95" s="1335"/>
      <c r="D95" s="1335"/>
      <c r="E95" s="1335"/>
      <c r="F95" s="1335"/>
      <c r="G95" s="1335"/>
      <c r="H95" s="1335"/>
      <c r="I95" s="1335"/>
      <c r="J95" s="1335"/>
      <c r="K95" s="1455"/>
      <c r="L95" s="1456"/>
      <c r="M95" s="1457"/>
      <c r="N95" s="1458"/>
      <c r="O95" s="1458"/>
      <c r="P95" s="1672"/>
      <c r="Q95" s="1380"/>
      <c r="R95" s="1254"/>
      <c r="S95" s="1254"/>
      <c r="T95" s="1254"/>
      <c r="U95" s="1254"/>
      <c r="V95" s="1254"/>
      <c r="W95" s="1254"/>
      <c r="X95" s="1254"/>
      <c r="Y95" s="1254"/>
      <c r="Z95" s="1254"/>
      <c r="AA95" s="1254"/>
      <c r="AB95" s="1254"/>
      <c r="AC95" s="1254"/>
    </row>
    <row r="96" ht="14.75" spans="1:29">
      <c r="A96" s="1409"/>
      <c r="B96" s="1414"/>
      <c r="C96" s="1415">
        <v>100</v>
      </c>
      <c r="D96" s="1415">
        <f>C96-$K33</f>
        <v>100</v>
      </c>
      <c r="E96" s="1415">
        <f>D96-$K33</f>
        <v>100</v>
      </c>
      <c r="F96" s="1415">
        <f>E96-$K33</f>
        <v>100</v>
      </c>
      <c r="G96" s="1415">
        <f>F96-$K33</f>
        <v>100</v>
      </c>
      <c r="H96" s="1415"/>
      <c r="I96" s="1415"/>
      <c r="J96" s="1415"/>
      <c r="K96" s="1415"/>
      <c r="L96" s="1415"/>
      <c r="M96" s="1465"/>
      <c r="N96" s="1461"/>
      <c r="O96" s="1461"/>
      <c r="P96" s="1672"/>
      <c r="Q96" s="1380"/>
      <c r="R96" s="1254"/>
      <c r="S96" s="1254"/>
      <c r="T96" s="1254"/>
      <c r="U96" s="1254"/>
      <c r="V96" s="1254"/>
      <c r="W96" s="1254"/>
      <c r="X96" s="1254"/>
      <c r="Y96" s="1254"/>
      <c r="Z96" s="1254"/>
      <c r="AA96" s="1254"/>
      <c r="AB96" s="1254"/>
      <c r="AC96" s="1254"/>
    </row>
    <row r="97" ht="14.75" spans="1:29">
      <c r="A97" s="1443"/>
      <c r="B97" s="1616">
        <f>B34</f>
        <v>111</v>
      </c>
      <c r="C97" s="1187"/>
      <c r="D97" s="1187"/>
      <c r="E97" s="1187"/>
      <c r="F97" s="1187"/>
      <c r="G97" s="1420"/>
      <c r="H97" s="1421"/>
      <c r="I97" s="1421"/>
      <c r="J97" s="1421"/>
      <c r="K97" s="1421"/>
      <c r="L97" s="1469"/>
      <c r="M97" s="1470"/>
      <c r="N97" s="1461"/>
      <c r="O97" s="1461"/>
      <c r="P97" s="1684"/>
      <c r="Q97" s="1627"/>
      <c r="R97" s="1254"/>
      <c r="S97" s="1254"/>
      <c r="T97" s="1254"/>
      <c r="U97" s="1254"/>
      <c r="V97" s="1254"/>
      <c r="W97" s="1254"/>
      <c r="X97" s="1254"/>
      <c r="Y97" s="1254"/>
      <c r="Z97" s="1254"/>
      <c r="AA97" s="1254"/>
      <c r="AB97" s="1254"/>
      <c r="AC97" s="1254"/>
    </row>
    <row r="98" ht="14.75" spans="1:29">
      <c r="A98" s="1409"/>
      <c r="B98" s="1414"/>
      <c r="C98" s="1422"/>
      <c r="D98" s="1411"/>
      <c r="E98" s="1411"/>
      <c r="F98" s="1411"/>
      <c r="G98" s="1422"/>
      <c r="H98" s="1423"/>
      <c r="I98" s="1423"/>
      <c r="J98" s="1423"/>
      <c r="K98" s="1423"/>
      <c r="L98" s="1423"/>
      <c r="M98" s="1473"/>
      <c r="N98" s="1461"/>
      <c r="O98" s="1461"/>
      <c r="P98" s="1672"/>
      <c r="Q98" s="1380"/>
      <c r="R98" s="1254"/>
      <c r="S98" s="1254"/>
      <c r="T98" s="1254"/>
      <c r="U98" s="1254"/>
      <c r="V98" s="1254"/>
      <c r="W98" s="1254"/>
      <c r="X98" s="1254"/>
      <c r="Y98" s="1254"/>
      <c r="Z98" s="1254"/>
      <c r="AA98" s="1254"/>
      <c r="AB98" s="1254"/>
      <c r="AC98" s="1254"/>
    </row>
    <row r="99" s="1129" customFormat="1" ht="14.75" spans="1:29">
      <c r="A99" s="1440"/>
      <c r="B99" s="1412">
        <f>B35</f>
        <v>111</v>
      </c>
      <c r="C99" s="1187"/>
      <c r="D99" s="1187"/>
      <c r="E99" s="1187"/>
      <c r="F99" s="1187"/>
      <c r="G99" s="1420"/>
      <c r="H99" s="1421"/>
      <c r="I99" s="1421"/>
      <c r="J99" s="1421"/>
      <c r="K99" s="1421"/>
      <c r="L99" s="1469"/>
      <c r="M99" s="1470"/>
      <c r="N99" s="1471"/>
      <c r="O99" s="1471"/>
      <c r="P99" s="1673"/>
      <c r="Q99" s="1503"/>
      <c r="R99" s="1504"/>
      <c r="S99" s="1504"/>
      <c r="T99" s="1504"/>
      <c r="U99" s="1504"/>
      <c r="V99" s="1504"/>
      <c r="W99" s="1504"/>
      <c r="X99" s="1504"/>
      <c r="Y99" s="1504"/>
      <c r="Z99" s="1504"/>
      <c r="AA99" s="1504"/>
      <c r="AB99" s="1504"/>
      <c r="AC99" s="1504"/>
    </row>
    <row r="100" s="1129" customFormat="1" ht="14.75" spans="1:29">
      <c r="A100" s="1419"/>
      <c r="B100" s="1410"/>
      <c r="C100" s="1422"/>
      <c r="D100" s="1411"/>
      <c r="E100" s="1411"/>
      <c r="F100" s="1411"/>
      <c r="G100" s="1422"/>
      <c r="H100" s="1423"/>
      <c r="I100" s="1423"/>
      <c r="J100" s="1423"/>
      <c r="K100" s="1423"/>
      <c r="L100" s="1423"/>
      <c r="M100" s="1473"/>
      <c r="N100" s="1471"/>
      <c r="O100" s="1471"/>
      <c r="P100" s="1673"/>
      <c r="Q100" s="1503"/>
      <c r="R100" s="1504"/>
      <c r="S100" s="1504"/>
      <c r="T100" s="1504"/>
      <c r="U100" s="1504"/>
      <c r="V100" s="1504"/>
      <c r="W100" s="1504"/>
      <c r="X100" s="1504"/>
      <c r="Y100" s="1504"/>
      <c r="Z100" s="1504"/>
      <c r="AA100" s="1504"/>
      <c r="AB100" s="1504"/>
      <c r="AC100" s="1504"/>
    </row>
    <row r="101" ht="14.75" spans="1:29">
      <c r="A101" s="1443"/>
      <c r="B101" s="1412">
        <f>B36</f>
        <v>111</v>
      </c>
      <c r="C101" s="1420"/>
      <c r="D101" s="1420"/>
      <c r="E101" s="1420"/>
      <c r="F101" s="1420"/>
      <c r="G101" s="1420"/>
      <c r="H101" s="1421"/>
      <c r="I101" s="1421"/>
      <c r="J101" s="1421"/>
      <c r="K101" s="1421"/>
      <c r="L101" s="1469"/>
      <c r="M101" s="1470"/>
      <c r="N101" s="1458"/>
      <c r="O101" s="1458"/>
      <c r="P101" s="1672"/>
      <c r="Q101" s="1380"/>
      <c r="R101" s="1254"/>
      <c r="S101" s="1254"/>
      <c r="T101" s="1254"/>
      <c r="U101" s="1254"/>
      <c r="V101" s="1254"/>
      <c r="W101" s="1254"/>
      <c r="X101" s="1254"/>
      <c r="Y101" s="1254"/>
      <c r="Z101" s="1254"/>
      <c r="AA101" s="1254"/>
      <c r="AB101" s="1254"/>
      <c r="AC101" s="1254"/>
    </row>
    <row r="102" ht="14.75" spans="1:29">
      <c r="A102" s="1409"/>
      <c r="B102" s="1414"/>
      <c r="C102" s="1422"/>
      <c r="D102" s="1422"/>
      <c r="E102" s="1422"/>
      <c r="F102" s="1422"/>
      <c r="G102" s="1422"/>
      <c r="H102" s="1423"/>
      <c r="I102" s="1423"/>
      <c r="J102" s="1423"/>
      <c r="K102" s="1423"/>
      <c r="L102" s="1423"/>
      <c r="M102" s="1473"/>
      <c r="N102" s="1461"/>
      <c r="O102" s="1461"/>
      <c r="P102" s="1672"/>
      <c r="Q102" s="1380"/>
      <c r="R102" s="1254"/>
      <c r="S102" s="1254"/>
      <c r="T102" s="1254"/>
      <c r="U102" s="1254"/>
      <c r="V102" s="1254"/>
      <c r="W102" s="1254"/>
      <c r="X102" s="1254"/>
      <c r="Y102" s="1254"/>
      <c r="Z102" s="1254"/>
      <c r="AA102" s="1254"/>
      <c r="AB102" s="1254"/>
      <c r="AC102" s="1254"/>
    </row>
    <row r="103" ht="14.75" spans="14:29">
      <c r="N103" s="1254"/>
      <c r="O103" s="1254"/>
      <c r="P103" s="1666"/>
      <c r="Q103" s="1254"/>
      <c r="R103" s="1254"/>
      <c r="S103" s="1254"/>
      <c r="T103" s="1254"/>
      <c r="U103" s="1254"/>
      <c r="V103" s="1254"/>
      <c r="W103" s="1254"/>
      <c r="X103" s="1254"/>
      <c r="Y103" s="1254"/>
      <c r="Z103" s="1254"/>
      <c r="AA103" s="1254"/>
      <c r="AB103" s="1254"/>
      <c r="AC103" s="12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547" customFormat="1" ht="28.5" customHeight="1" spans="1:29">
      <c r="A1" s="1548" t="s">
        <v>1627</v>
      </c>
      <c r="B1" s="1549" t="s">
        <v>1640</v>
      </c>
      <c r="C1" s="1550" t="s">
        <v>1007</v>
      </c>
      <c r="D1" s="1551"/>
      <c r="E1" s="1552"/>
      <c r="F1" s="1553"/>
      <c r="G1" s="1554" t="s">
        <v>1011</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26" customFormat="1" ht="28.5" customHeight="1" spans="1:29">
      <c r="A2" s="1556" t="s">
        <v>1012</v>
      </c>
      <c r="B2" s="1557" t="b">
        <f ca="1">IF(E1="项目模式",IF(C2="——",ROUND(C37*D3/10000,0),ROUND(C37*D3/10000,0)-D2),IF(E1="单套模式",IF(C2="——",ROUND(C37*D3/10000,4),ROUND(C37*D3/10000,4)-D2)))</f>
        <v>0</v>
      </c>
      <c r="C2" s="1558"/>
      <c r="D2" s="1506" t="e">
        <f ca="1">IF(E1="项目模式",SUMIF(INDIRECT("'"&amp;F2&amp;"'"&amp;"!A:A"),"承租人权益价值",INDIRECT("'"&amp;F2&amp;"'"&amp;"!c:c")),SUMIF(INDIRECT("'"&amp;F2&amp;"'"&amp;"!A:A"),"承租人权益价值（单套）",INDIRECT("'"&amp;F2&amp;"'"&amp;"!c:c")))</f>
        <v>#REF!</v>
      </c>
      <c r="E2" s="1559" t="s">
        <v>1013</v>
      </c>
      <c r="F2" s="1560"/>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1014</v>
      </c>
      <c r="B3" s="1144" t="e">
        <f ca="1">IF(C2="——",C37,ROUND(B2*10000/D3,0))</f>
        <v>#DIV/0!</v>
      </c>
      <c r="C3" s="1561" t="s">
        <v>1015</v>
      </c>
      <c r="D3" s="1562">
        <f>SUMIF('数据-汇总表'!$C19:$C33,D1,'数据-汇总表'!$E19:$E33)</f>
        <v>0</v>
      </c>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1016</v>
      </c>
      <c r="B4" s="1147"/>
      <c r="C4" s="1148" t="s">
        <v>1017</v>
      </c>
      <c r="D4" s="1149"/>
      <c r="E4" s="1150" t="s">
        <v>1018</v>
      </c>
      <c r="F4" s="1151"/>
      <c r="G4" s="1148" t="s">
        <v>1019</v>
      </c>
      <c r="H4" s="1149"/>
      <c r="I4" s="1148" t="s">
        <v>1020</v>
      </c>
      <c r="J4" s="1149"/>
      <c r="K4" s="1305" t="s">
        <v>1021</v>
      </c>
      <c r="L4" s="1306"/>
      <c r="M4" s="1307"/>
      <c r="N4" s="1307"/>
      <c r="O4" s="1307"/>
      <c r="P4" s="1308" t="s">
        <v>1022</v>
      </c>
      <c r="Q4" s="1356"/>
      <c r="R4" s="1357" t="s">
        <v>1018</v>
      </c>
      <c r="S4" s="1358"/>
      <c r="T4" s="1357" t="s">
        <v>1019</v>
      </c>
      <c r="U4" s="1358"/>
      <c r="V4" s="1346" t="s">
        <v>1020</v>
      </c>
      <c r="W4" s="1346"/>
      <c r="X4" s="1359"/>
      <c r="Y4" s="1357" t="s">
        <v>1022</v>
      </c>
      <c r="Z4" s="1358"/>
      <c r="AA4" s="1384" t="s">
        <v>1018</v>
      </c>
      <c r="AB4" s="1359" t="s">
        <v>1019</v>
      </c>
      <c r="AC4" s="1384" t="s">
        <v>1020</v>
      </c>
    </row>
    <row r="5" spans="1:29">
      <c r="A5" s="1152"/>
      <c r="B5" s="1153"/>
      <c r="C5" s="1154" t="s">
        <v>1023</v>
      </c>
      <c r="D5" s="1155"/>
      <c r="E5" s="1156" t="s">
        <v>1586</v>
      </c>
      <c r="F5" s="1157"/>
      <c r="G5" s="1154" t="s">
        <v>1587</v>
      </c>
      <c r="H5" s="1155"/>
      <c r="I5" s="1154" t="s">
        <v>1588</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1027</v>
      </c>
      <c r="D6" s="1508"/>
      <c r="E6" s="1509" t="s">
        <v>1027</v>
      </c>
      <c r="F6" s="1510"/>
      <c r="G6" s="1507" t="s">
        <v>1027</v>
      </c>
      <c r="H6" s="1508"/>
      <c r="I6" s="1507" t="s">
        <v>1027</v>
      </c>
      <c r="J6" s="1508"/>
      <c r="K6" s="1305" t="s">
        <v>1028</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1029</v>
      </c>
      <c r="B7" s="1165"/>
      <c r="C7" s="1166">
        <f>'数据-取费表'!B2</f>
        <v>45861</v>
      </c>
      <c r="D7" s="1167">
        <v>100</v>
      </c>
      <c r="E7" s="1168"/>
      <c r="F7" s="1169">
        <f>SUMIF(46:46,YEAR(E7)&amp;"-"&amp;MONTH(E7),47:47)</f>
        <v>0</v>
      </c>
      <c r="G7" s="1170"/>
      <c r="H7" s="1167">
        <f>SUMIF(46:46,YEAR(G7)&amp;"-"&amp;MONTH(G7),47:47)</f>
        <v>0</v>
      </c>
      <c r="I7" s="1168"/>
      <c r="J7" s="1167">
        <f>SUMIF(46:46,YEAR(I7)&amp;"-"&amp;MONTH(I7),47:47)</f>
        <v>0</v>
      </c>
      <c r="K7" s="1311"/>
      <c r="L7" s="1312"/>
      <c r="M7" s="1313"/>
      <c r="N7" s="1313"/>
      <c r="O7" s="1313"/>
      <c r="P7" s="1314" t="s">
        <v>1030</v>
      </c>
      <c r="Q7" s="1366"/>
      <c r="R7" s="1367" t="s">
        <v>1031</v>
      </c>
      <c r="S7" s="1368">
        <f t="shared" ref="S7:S14" si="0">F7</f>
        <v>0</v>
      </c>
      <c r="T7" s="1367" t="s">
        <v>1031</v>
      </c>
      <c r="U7" s="1368">
        <f t="shared" ref="U7:U14" si="1">H7</f>
        <v>0</v>
      </c>
      <c r="V7" s="1367" t="s">
        <v>1031</v>
      </c>
      <c r="W7" s="1368">
        <f t="shared" ref="W7:W14" si="2">J7</f>
        <v>0</v>
      </c>
      <c r="X7" s="1369"/>
      <c r="Y7" s="1314" t="s">
        <v>1030</v>
      </c>
      <c r="Z7" s="1370"/>
      <c r="AA7" s="1386" t="e">
        <f>D7/F7</f>
        <v>#DIV/0!</v>
      </c>
      <c r="AB7" s="1386" t="e">
        <f>D7/H7</f>
        <v>#DIV/0!</v>
      </c>
      <c r="AC7" s="1386" t="e">
        <f>D7/J7</f>
        <v>#DIV/0!</v>
      </c>
    </row>
    <row r="8" s="1127" customFormat="1" ht="14.75" spans="1:29">
      <c r="A8" s="1164" t="s">
        <v>1032</v>
      </c>
      <c r="B8" s="1165"/>
      <c r="C8" s="1171"/>
      <c r="D8" s="1167">
        <v>100</v>
      </c>
      <c r="E8" s="1171"/>
      <c r="F8" s="1169">
        <f>SUMIF(49:49,E8,50:50)-SUMIF(49:49,C8,50:50)+100</f>
        <v>100</v>
      </c>
      <c r="G8" s="1171"/>
      <c r="H8" s="1167">
        <f>SUMIF(49:49,G8,50:50)-SUMIF(49:49,C8,50:50)+100</f>
        <v>100</v>
      </c>
      <c r="I8" s="1171"/>
      <c r="J8" s="1167">
        <f>SUMIF(49:49,I8,50:50)-SUMIF(49:49,C8,50:50)+100</f>
        <v>100</v>
      </c>
      <c r="K8" s="1311"/>
      <c r="L8" s="1312"/>
      <c r="M8" s="1313"/>
      <c r="N8" s="1313"/>
      <c r="O8" s="1313"/>
      <c r="P8" s="1314" t="s">
        <v>1034</v>
      </c>
      <c r="Q8" s="1370"/>
      <c r="R8" s="1367" t="s">
        <v>1031</v>
      </c>
      <c r="S8" s="1368">
        <f t="shared" si="0"/>
        <v>100</v>
      </c>
      <c r="T8" s="1367" t="s">
        <v>1031</v>
      </c>
      <c r="U8" s="1368">
        <f t="shared" si="1"/>
        <v>100</v>
      </c>
      <c r="V8" s="1367" t="s">
        <v>1031</v>
      </c>
      <c r="W8" s="1368">
        <f t="shared" si="2"/>
        <v>100</v>
      </c>
      <c r="X8" s="1369"/>
      <c r="Y8" s="1314" t="s">
        <v>1034</v>
      </c>
      <c r="Z8" s="1370"/>
      <c r="AA8" s="1386">
        <f t="shared" ref="AA8:AA34" si="3">D8/F8</f>
        <v>1</v>
      </c>
      <c r="AB8" s="1386">
        <f t="shared" ref="AB8:AB34" si="4">D8/H8</f>
        <v>1</v>
      </c>
      <c r="AC8" s="1386">
        <f t="shared" ref="AC8:AC34" si="5">D8/J8</f>
        <v>1</v>
      </c>
    </row>
    <row r="9" s="1127" customFormat="1" spans="1:29">
      <c r="A9" s="1172" t="s">
        <v>1035</v>
      </c>
      <c r="B9" s="1173" t="s">
        <v>1036</v>
      </c>
      <c r="C9" s="1563"/>
      <c r="D9" s="1175">
        <v>100</v>
      </c>
      <c r="E9" s="1564"/>
      <c r="F9" s="1565">
        <f>SUMIF(51:51,E9,52:52)-SUMIF(51:51,C9,52:52)+100</f>
        <v>100</v>
      </c>
      <c r="G9" s="1564"/>
      <c r="H9" s="1175">
        <f>SUMIF(51:51,G9,52:52)-SUMIF(51:51,C9,52:52)+100</f>
        <v>100</v>
      </c>
      <c r="I9" s="1564"/>
      <c r="J9" s="1175">
        <f>SUMIF(51:51,I9,52:52)-SUMIF(51:51,C9,52:52)+100</f>
        <v>100</v>
      </c>
      <c r="K9" s="1311"/>
      <c r="L9" s="1312"/>
      <c r="M9" s="1313"/>
      <c r="N9" s="1313"/>
      <c r="O9" s="1315"/>
      <c r="P9" s="712" t="s">
        <v>1037</v>
      </c>
      <c r="Q9" s="1371" t="str">
        <f t="shared" ref="Q9:Q14" si="6">B9</f>
        <v>用途</v>
      </c>
      <c r="R9" s="1367" t="s">
        <v>1031</v>
      </c>
      <c r="S9" s="1368">
        <f t="shared" si="0"/>
        <v>100</v>
      </c>
      <c r="T9" s="1367" t="s">
        <v>1031</v>
      </c>
      <c r="U9" s="1368">
        <f t="shared" si="1"/>
        <v>100</v>
      </c>
      <c r="V9" s="1367" t="s">
        <v>1031</v>
      </c>
      <c r="W9" s="1368">
        <f t="shared" si="2"/>
        <v>100</v>
      </c>
      <c r="X9" s="1369"/>
      <c r="Y9" s="1371" t="s">
        <v>1038</v>
      </c>
      <c r="Z9" s="1387" t="str">
        <f t="shared" ref="Z9:Z14" si="7">Q9</f>
        <v>用途</v>
      </c>
      <c r="AA9" s="1386">
        <f t="shared" si="3"/>
        <v>1</v>
      </c>
      <c r="AB9" s="1386">
        <f t="shared" si="4"/>
        <v>1</v>
      </c>
      <c r="AC9" s="1386">
        <f t="shared" si="5"/>
        <v>1</v>
      </c>
    </row>
    <row r="10" s="1128" customFormat="1" ht="28" spans="1:29">
      <c r="A10" s="1176"/>
      <c r="B10" s="1177" t="s">
        <v>1039</v>
      </c>
      <c r="C10" s="1566"/>
      <c r="D10" s="1179">
        <v>100</v>
      </c>
      <c r="E10" s="1566"/>
      <c r="F10" s="1567">
        <f>SUMIF(53:53,E10,54:54)-SUMIF(53:53,C10,54:54)+100</f>
        <v>100</v>
      </c>
      <c r="G10" s="1566"/>
      <c r="H10" s="1179">
        <f>SUMIF(53:53,G10,54:54)-SUMIF(53:53,C10,54:54)+100</f>
        <v>100</v>
      </c>
      <c r="I10" s="1566"/>
      <c r="J10" s="1179">
        <f>SUMIF(53:53,I10,54:54)-SUMIF(53:53,C10,54:54)+100</f>
        <v>100</v>
      </c>
      <c r="K10" s="1311"/>
      <c r="L10" s="1317"/>
      <c r="M10" s="1318"/>
      <c r="N10" s="1318"/>
      <c r="O10" s="1319"/>
      <c r="P10" s="712"/>
      <c r="Q10" s="1371" t="str">
        <f t="shared" si="6"/>
        <v>土地使用年限（年）</v>
      </c>
      <c r="R10" s="1367" t="s">
        <v>1031</v>
      </c>
      <c r="S10" s="1368">
        <f t="shared" si="0"/>
        <v>100</v>
      </c>
      <c r="T10" s="1367" t="s">
        <v>1031</v>
      </c>
      <c r="U10" s="1368">
        <f t="shared" si="1"/>
        <v>100</v>
      </c>
      <c r="V10" s="1367" t="s">
        <v>1031</v>
      </c>
      <c r="W10" s="1368">
        <f t="shared" si="2"/>
        <v>100</v>
      </c>
      <c r="X10" s="1369"/>
      <c r="Y10" s="1371"/>
      <c r="Z10" s="1387" t="str">
        <f t="shared" si="7"/>
        <v>土地使用年限（年）</v>
      </c>
      <c r="AA10" s="1386">
        <f t="shared" si="3"/>
        <v>1</v>
      </c>
      <c r="AB10" s="1386">
        <f t="shared" si="4"/>
        <v>1</v>
      </c>
      <c r="AC10" s="1386">
        <f t="shared" si="5"/>
        <v>1</v>
      </c>
    </row>
    <row r="11" ht="15.5" spans="1:29">
      <c r="A11" s="1180"/>
      <c r="B11" s="1185">
        <v>111</v>
      </c>
      <c r="C11" s="1178"/>
      <c r="D11" s="1179">
        <v>100</v>
      </c>
      <c r="E11" s="1568"/>
      <c r="F11" s="1567">
        <f>SUMIF(55:55,E11,56:56)-SUMIF(55:55,C11,56:56)+100</f>
        <v>100</v>
      </c>
      <c r="G11" s="1568"/>
      <c r="H11" s="1179">
        <f>SUMIF(55:55,G11,56:56)-SUMIF(55:55,C11,56:56)+100</f>
        <v>100</v>
      </c>
      <c r="I11" s="1568"/>
      <c r="J11" s="1179">
        <f>SUMIF(55:55,I11,56:56)-SUMIF(55:55,C11,56:56)+100</f>
        <v>100</v>
      </c>
      <c r="K11" s="1329"/>
      <c r="L11" s="1321"/>
      <c r="M11" s="1307"/>
      <c r="N11" s="1307"/>
      <c r="O11" s="1322"/>
      <c r="P11" s="712"/>
      <c r="Q11" s="1371">
        <f t="shared" si="6"/>
        <v>111</v>
      </c>
      <c r="R11" s="1367" t="s">
        <v>1031</v>
      </c>
      <c r="S11" s="1368">
        <f t="shared" si="0"/>
        <v>100</v>
      </c>
      <c r="T11" s="1367" t="s">
        <v>1031</v>
      </c>
      <c r="U11" s="1368">
        <f t="shared" si="1"/>
        <v>100</v>
      </c>
      <c r="V11" s="1367" t="s">
        <v>1031</v>
      </c>
      <c r="W11" s="1368">
        <f t="shared" si="2"/>
        <v>100</v>
      </c>
      <c r="X11" s="1369"/>
      <c r="Y11" s="1371"/>
      <c r="Z11" s="1387">
        <f t="shared" si="7"/>
        <v>111</v>
      </c>
      <c r="AA11" s="1386">
        <f t="shared" si="3"/>
        <v>1</v>
      </c>
      <c r="AB11" s="1386">
        <f t="shared" si="4"/>
        <v>1</v>
      </c>
      <c r="AC11" s="1386">
        <f t="shared" si="5"/>
        <v>1</v>
      </c>
    </row>
    <row r="12" s="1127" customFormat="1" ht="15.5" spans="1:29">
      <c r="A12" s="1184"/>
      <c r="B12" s="1185">
        <v>111</v>
      </c>
      <c r="C12" s="1178"/>
      <c r="D12" s="1186">
        <v>100</v>
      </c>
      <c r="E12" s="1568"/>
      <c r="F12" s="1567">
        <f>SUMIF(57:57,E12,58:58)-SUMIF(57:57,C12,58:58)+100</f>
        <v>100</v>
      </c>
      <c r="G12" s="1568"/>
      <c r="H12" s="1179">
        <f>SUMIF(57:57,G12,58:58)-SUMIF(57:57,C12,58:58)+100</f>
        <v>100</v>
      </c>
      <c r="I12" s="1568"/>
      <c r="J12" s="1179">
        <f>SUMIF(57:57,I12,58:58)-SUMIF(57:57,C12,58:58)+100</f>
        <v>100</v>
      </c>
      <c r="K12" s="1329"/>
      <c r="L12" s="1312"/>
      <c r="M12" s="1313"/>
      <c r="N12" s="1313"/>
      <c r="O12" s="1315"/>
      <c r="P12" s="712"/>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386">
        <f t="shared" si="5"/>
        <v>1</v>
      </c>
    </row>
    <row r="13" ht="16.25" spans="1:29">
      <c r="A13" s="1180"/>
      <c r="B13" s="1185">
        <v>111</v>
      </c>
      <c r="C13" s="1189"/>
      <c r="D13" s="1190">
        <v>100</v>
      </c>
      <c r="E13" s="1568"/>
      <c r="F13" s="1567">
        <f>SUMIF(59:59,E13,60:60)-SUMIF(59:59,C13,60:60)+100</f>
        <v>100</v>
      </c>
      <c r="G13" s="1569"/>
      <c r="H13" s="1194">
        <f>SUMIF(59:59,G13,60:60)-SUMIF(59:59,C13,60:60)+100</f>
        <v>100</v>
      </c>
      <c r="I13" s="1568"/>
      <c r="J13" s="1190">
        <f>SUMIF(59:59,I13,60:60)-SUMIF(59:59,C13,60:60)+100</f>
        <v>100</v>
      </c>
      <c r="K13" s="1329"/>
      <c r="L13" s="1323"/>
      <c r="M13" s="1307"/>
      <c r="N13" s="1307"/>
      <c r="O13" s="1322"/>
      <c r="P13" s="712"/>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98" spans="1:29">
      <c r="A14" s="1195" t="s">
        <v>1043</v>
      </c>
      <c r="B14" s="1514" t="s">
        <v>1048</v>
      </c>
      <c r="C14" s="1197" t="str">
        <f>IF(B1="工业",估价对象房地状况!G4,估价对象房地状况!C6)</f>
        <v>估价对象周边道路状况、公共交通通达情况、停车便捷程度，综合评价交通便捷度较好</v>
      </c>
      <c r="D14" s="1198">
        <v>100</v>
      </c>
      <c r="E14" s="1199"/>
      <c r="F14" s="1570">
        <f>SUMIF(61:61,E15,62:62)-SUMIF(61:61,C15,62:62)+100</f>
        <v>100</v>
      </c>
      <c r="G14" s="1324"/>
      <c r="H14" s="1198">
        <f>SUMIF(61:61,G15,62:62)-SUMIF(61:61,C15,62:62)+100</f>
        <v>100</v>
      </c>
      <c r="I14" s="1199"/>
      <c r="J14" s="1198">
        <f>SUMIF(61:61,I15,62:62)-SUMIF(61:61,C15,62:62)+100</f>
        <v>100</v>
      </c>
      <c r="K14" s="1609"/>
      <c r="L14" s="1323"/>
      <c r="M14" s="1307"/>
      <c r="N14" s="1307"/>
      <c r="O14" s="1322"/>
      <c r="P14" s="1325" t="s">
        <v>1045</v>
      </c>
      <c r="Q14" s="712" t="str">
        <f t="shared" si="6"/>
        <v>交通便捷度</v>
      </c>
      <c r="R14" s="1372" t="s">
        <v>1031</v>
      </c>
      <c r="S14" s="1373">
        <f t="shared" si="0"/>
        <v>100</v>
      </c>
      <c r="T14" s="1372" t="s">
        <v>1031</v>
      </c>
      <c r="U14" s="1373">
        <f t="shared" si="1"/>
        <v>100</v>
      </c>
      <c r="V14" s="1372" t="s">
        <v>1031</v>
      </c>
      <c r="W14" s="1373">
        <f t="shared" si="2"/>
        <v>100</v>
      </c>
      <c r="X14" s="1359"/>
      <c r="Y14" s="1325" t="s">
        <v>1045</v>
      </c>
      <c r="Z14" s="1346" t="str">
        <f t="shared" si="7"/>
        <v>交通便捷度</v>
      </c>
      <c r="AA14" s="1388">
        <f t="shared" si="3"/>
        <v>1</v>
      </c>
      <c r="AB14" s="1388">
        <f t="shared" si="4"/>
        <v>1</v>
      </c>
      <c r="AC14" s="1388">
        <f t="shared" si="5"/>
        <v>1</v>
      </c>
    </row>
    <row r="15" ht="15.5" spans="1:29">
      <c r="A15" s="1180"/>
      <c r="B15" s="1516"/>
      <c r="C15" s="1201"/>
      <c r="D15" s="1202"/>
      <c r="E15" s="1201"/>
      <c r="F15" s="1571"/>
      <c r="G15" s="1201"/>
      <c r="H15" s="1203"/>
      <c r="I15" s="1201"/>
      <c r="J15" s="1202"/>
      <c r="K15" s="1610"/>
      <c r="L15" s="1323"/>
      <c r="M15" s="1307"/>
      <c r="N15" s="1307"/>
      <c r="O15" s="1322"/>
      <c r="P15" s="1326"/>
      <c r="Q15" s="712"/>
      <c r="R15" s="1372"/>
      <c r="S15" s="1373"/>
      <c r="T15" s="1372"/>
      <c r="U15" s="1373"/>
      <c r="V15" s="1372"/>
      <c r="W15" s="1373"/>
      <c r="X15" s="1359"/>
      <c r="Y15" s="1326"/>
      <c r="Z15" s="1346"/>
      <c r="AA15" s="1388">
        <v>1</v>
      </c>
      <c r="AB15" s="1388">
        <v>1</v>
      </c>
      <c r="AC15" s="1388">
        <v>1</v>
      </c>
    </row>
    <row r="16" ht="42" spans="1:29">
      <c r="A16" s="1180"/>
      <c r="B16" s="1518" t="s">
        <v>1049</v>
      </c>
      <c r="C16" s="1205" t="str">
        <f>IF(B1="工业",估价对象房地状况!G5,估价对象房地状况!C7)</f>
        <v>估价对象所在区域公共配套设施齐备情况</v>
      </c>
      <c r="D16" s="1207">
        <v>100</v>
      </c>
      <c r="E16" s="1521"/>
      <c r="F16" s="1572">
        <f>SUMIF(63:63,E17,64:64)-SUMIF(63:63,C17,64:64)+100</f>
        <v>100</v>
      </c>
      <c r="G16" s="1531"/>
      <c r="H16" s="1207">
        <f>SUMIF(63:63,G17,64:64)-SUMIF(63:63,C17,64:64)+100</f>
        <v>100</v>
      </c>
      <c r="I16" s="1521"/>
      <c r="J16" s="1207">
        <f>SUMIF(63:63,I17,64:64)-SUMIF(63:63,C17,64:64)+100</f>
        <v>100</v>
      </c>
      <c r="K16" s="1609"/>
      <c r="L16" s="1323"/>
      <c r="M16" s="1307"/>
      <c r="N16" s="1307"/>
      <c r="O16" s="1322"/>
      <c r="P16" s="1326"/>
      <c r="Q16" s="712" t="str">
        <f>B16</f>
        <v>公共配套设施</v>
      </c>
      <c r="R16" s="1372" t="s">
        <v>1031</v>
      </c>
      <c r="S16" s="1373">
        <f>F16</f>
        <v>100</v>
      </c>
      <c r="T16" s="1372" t="s">
        <v>1031</v>
      </c>
      <c r="U16" s="1373">
        <f>H16</f>
        <v>100</v>
      </c>
      <c r="V16" s="1372" t="s">
        <v>1031</v>
      </c>
      <c r="W16" s="1373">
        <f>J16</f>
        <v>100</v>
      </c>
      <c r="X16" s="1359"/>
      <c r="Y16" s="1326"/>
      <c r="Z16" s="1346" t="str">
        <f>Q16</f>
        <v>公共配套设施</v>
      </c>
      <c r="AA16" s="1388">
        <f t="shared" si="3"/>
        <v>1</v>
      </c>
      <c r="AB16" s="1388">
        <f t="shared" si="4"/>
        <v>1</v>
      </c>
      <c r="AC16" s="1388">
        <f t="shared" si="5"/>
        <v>1</v>
      </c>
    </row>
    <row r="17" ht="15.5" spans="1:29">
      <c r="A17" s="1180"/>
      <c r="B17" s="1227"/>
      <c r="C17" s="1519"/>
      <c r="D17" s="1202"/>
      <c r="E17" s="1201"/>
      <c r="F17" s="1571"/>
      <c r="G17" s="1201"/>
      <c r="H17" s="1202"/>
      <c r="I17" s="1201"/>
      <c r="J17" s="1202"/>
      <c r="K17" s="1610"/>
      <c r="L17" s="1323"/>
      <c r="M17" s="1307"/>
      <c r="N17" s="1307"/>
      <c r="O17" s="1322"/>
      <c r="P17" s="1326"/>
      <c r="Q17" s="712"/>
      <c r="R17" s="1372"/>
      <c r="S17" s="1373"/>
      <c r="T17" s="1372"/>
      <c r="U17" s="1373"/>
      <c r="V17" s="1372"/>
      <c r="W17" s="1373"/>
      <c r="X17" s="1359"/>
      <c r="Y17" s="1326"/>
      <c r="Z17" s="1346"/>
      <c r="AA17" s="1388">
        <v>1</v>
      </c>
      <c r="AB17" s="1388">
        <v>1</v>
      </c>
      <c r="AC17" s="1388">
        <v>1</v>
      </c>
    </row>
    <row r="18" ht="42" spans="1:29">
      <c r="A18" s="1180"/>
      <c r="B18" s="1522" t="s">
        <v>1050</v>
      </c>
      <c r="C18" s="1205" t="str">
        <f>IF(B1="工业",估价对象房地状况!G6,估价对象房地状况!C8)</f>
        <v>估价对象所在区域基础设施水平</v>
      </c>
      <c r="D18" s="1207">
        <v>100</v>
      </c>
      <c r="E18" s="1206"/>
      <c r="F18" s="1572">
        <f>SUMIF(65:65,E19,66:66)-SUMIF(65:65,C19,66:66)+100</f>
        <v>100</v>
      </c>
      <c r="G18" s="1327"/>
      <c r="H18" s="1207">
        <f>SUMIF(65:65,G19,66:66)-SUMIF(65:65,C19,66:66)+100</f>
        <v>100</v>
      </c>
      <c r="I18" s="1521"/>
      <c r="J18" s="1207">
        <f>SUMIF(65:65,I19,66:66)-SUMIF(65:65,C19,66:66)+100</f>
        <v>100</v>
      </c>
      <c r="K18" s="1609"/>
      <c r="L18" s="1323"/>
      <c r="M18" s="1307"/>
      <c r="N18" s="1307"/>
      <c r="O18" s="1322"/>
      <c r="P18" s="1326"/>
      <c r="Q18" s="712" t="str">
        <f>B18</f>
        <v>基础设施水平</v>
      </c>
      <c r="R18" s="1372" t="s">
        <v>1031</v>
      </c>
      <c r="S18" s="1373">
        <f>F18</f>
        <v>100</v>
      </c>
      <c r="T18" s="1372" t="s">
        <v>1031</v>
      </c>
      <c r="U18" s="1373">
        <f>H18</f>
        <v>100</v>
      </c>
      <c r="V18" s="1372" t="s">
        <v>1031</v>
      </c>
      <c r="W18" s="1373">
        <f>J18</f>
        <v>100</v>
      </c>
      <c r="X18" s="1359"/>
      <c r="Y18" s="1326"/>
      <c r="Z18" s="1346" t="str">
        <f>Q18</f>
        <v>基础设施水平</v>
      </c>
      <c r="AA18" s="1388">
        <f t="shared" ref="AA18" si="8">D18/F18</f>
        <v>1</v>
      </c>
      <c r="AB18" s="1388">
        <f t="shared" ref="AB18" si="9">D18/H18</f>
        <v>1</v>
      </c>
      <c r="AC18" s="1388">
        <f t="shared" ref="AC18" si="10">D18/J18</f>
        <v>1</v>
      </c>
    </row>
    <row r="19" ht="15.5" spans="1:29">
      <c r="A19" s="1180"/>
      <c r="B19" s="1522"/>
      <c r="C19" s="1519"/>
      <c r="D19" s="1203"/>
      <c r="E19" s="1519"/>
      <c r="F19" s="1573"/>
      <c r="G19" s="1519"/>
      <c r="H19" s="1202"/>
      <c r="I19" s="1201"/>
      <c r="J19" s="1202"/>
      <c r="K19" s="1611"/>
      <c r="L19" s="1323"/>
      <c r="M19" s="1307"/>
      <c r="N19" s="1307"/>
      <c r="O19" s="1322"/>
      <c r="P19" s="1326"/>
      <c r="Q19" s="712"/>
      <c r="R19" s="1372"/>
      <c r="S19" s="1373"/>
      <c r="T19" s="1372"/>
      <c r="U19" s="1373"/>
      <c r="V19" s="1372"/>
      <c r="W19" s="1373"/>
      <c r="X19" s="1359"/>
      <c r="Y19" s="1326"/>
      <c r="Z19" s="1346"/>
      <c r="AA19" s="1388">
        <v>1</v>
      </c>
      <c r="AB19" s="1388">
        <v>1</v>
      </c>
      <c r="AC19" s="1388">
        <v>1</v>
      </c>
    </row>
    <row r="20" ht="56" spans="1:29">
      <c r="A20" s="1180"/>
      <c r="B20" s="1518" t="s">
        <v>1051</v>
      </c>
      <c r="C20" s="1205" t="str">
        <f>IF(B1="工业",估价对象房地状况!G7,估价对象房地状况!C9)</f>
        <v>区域自然环境：；人文环境；综合评价环境状况一般</v>
      </c>
      <c r="D20" s="1207">
        <v>100</v>
      </c>
      <c r="E20" s="1521"/>
      <c r="F20" s="1572">
        <f>SUMIF(67:67,E21,68:68)-SUMIF(67:67,C21,68:68)+100</f>
        <v>100</v>
      </c>
      <c r="G20" s="1531"/>
      <c r="H20" s="1203">
        <f>SUMIF(67:67,G21,68:68)-SUMIF(67:67,C21,68:68)+100</f>
        <v>100</v>
      </c>
      <c r="I20" s="1206"/>
      <c r="J20" s="1203">
        <f>SUMIF(67:67,I21,68:68)-SUMIF(67:67,C21,68:68)+100</f>
        <v>100</v>
      </c>
      <c r="K20" s="1609"/>
      <c r="L20" s="1323"/>
      <c r="M20" s="1307"/>
      <c r="N20" s="1307"/>
      <c r="O20" s="1322"/>
      <c r="P20" s="1326"/>
      <c r="Q20" s="712" t="str">
        <f>B20</f>
        <v>自然及人文环境</v>
      </c>
      <c r="R20" s="1372" t="s">
        <v>1031</v>
      </c>
      <c r="S20" s="1373">
        <f>F20</f>
        <v>100</v>
      </c>
      <c r="T20" s="1372" t="s">
        <v>1031</v>
      </c>
      <c r="U20" s="1373">
        <f>H20</f>
        <v>100</v>
      </c>
      <c r="V20" s="1372" t="s">
        <v>1031</v>
      </c>
      <c r="W20" s="1373">
        <f>J20</f>
        <v>100</v>
      </c>
      <c r="X20" s="1359"/>
      <c r="Y20" s="1326"/>
      <c r="Z20" s="1346" t="str">
        <f>Q20</f>
        <v>自然及人文环境</v>
      </c>
      <c r="AA20" s="1388">
        <f t="shared" si="3"/>
        <v>1</v>
      </c>
      <c r="AB20" s="1388">
        <f t="shared" si="4"/>
        <v>1</v>
      </c>
      <c r="AC20" s="1388">
        <f t="shared" si="5"/>
        <v>1</v>
      </c>
    </row>
    <row r="21" ht="15.5" spans="1:29">
      <c r="A21" s="1180"/>
      <c r="B21" s="1227"/>
      <c r="C21" s="1201"/>
      <c r="D21" s="1202"/>
      <c r="E21" s="1201"/>
      <c r="F21" s="1571"/>
      <c r="G21" s="1201"/>
      <c r="H21" s="1202"/>
      <c r="I21" s="1201"/>
      <c r="J21" s="1202"/>
      <c r="K21" s="1610"/>
      <c r="L21" s="1323"/>
      <c r="M21" s="1307"/>
      <c r="N21" s="1307"/>
      <c r="O21" s="1322"/>
      <c r="P21" s="1326"/>
      <c r="Q21" s="712"/>
      <c r="R21" s="1372"/>
      <c r="S21" s="1373"/>
      <c r="T21" s="1372"/>
      <c r="U21" s="1373"/>
      <c r="V21" s="1372"/>
      <c r="W21" s="1373"/>
      <c r="X21" s="1359"/>
      <c r="Y21" s="1326"/>
      <c r="Z21" s="1346"/>
      <c r="AA21" s="1388">
        <v>1</v>
      </c>
      <c r="AB21" s="1388">
        <v>1</v>
      </c>
      <c r="AC21" s="1388">
        <v>1</v>
      </c>
    </row>
    <row r="22" ht="15.5" spans="1:29">
      <c r="A22" s="1180"/>
      <c r="B22" s="1518" t="s">
        <v>1055</v>
      </c>
      <c r="C22" s="1212"/>
      <c r="D22" s="1203">
        <v>100</v>
      </c>
      <c r="E22" s="1212"/>
      <c r="F22" s="1574">
        <f>SUMIF(69:69,E22,70:70)-SUMIF(69:69,C22,70:70)+100</f>
        <v>100</v>
      </c>
      <c r="G22" s="1212"/>
      <c r="H22" s="1190">
        <f>SUMIF(69:69,G22,70:70)-SUMIF(69:69,C22,70:70)+100</f>
        <v>100</v>
      </c>
      <c r="I22" s="1212"/>
      <c r="J22" s="1190">
        <f>SUMIF(69:69,I22,70:70)-SUMIF(69:69,C22,70:70)+100</f>
        <v>100</v>
      </c>
      <c r="K22" s="1330"/>
      <c r="L22" s="1323"/>
      <c r="M22" s="1307"/>
      <c r="N22" s="1307"/>
      <c r="O22" s="1322"/>
      <c r="P22" s="1326"/>
      <c r="Q22" s="712" t="str">
        <f>B22</f>
        <v>楼层</v>
      </c>
      <c r="R22" s="1372" t="s">
        <v>1031</v>
      </c>
      <c r="S22" s="1373">
        <f>F22</f>
        <v>100</v>
      </c>
      <c r="T22" s="1372" t="s">
        <v>1031</v>
      </c>
      <c r="U22" s="1373">
        <f>H22</f>
        <v>100</v>
      </c>
      <c r="V22" s="1372" t="s">
        <v>1031</v>
      </c>
      <c r="W22" s="1373">
        <f>J22</f>
        <v>100</v>
      </c>
      <c r="X22" s="1359"/>
      <c r="Y22" s="1326"/>
      <c r="Z22" s="1346" t="str">
        <f>Q22</f>
        <v>楼层</v>
      </c>
      <c r="AA22" s="1388">
        <f t="shared" si="3"/>
        <v>1</v>
      </c>
      <c r="AB22" s="1388">
        <f t="shared" si="4"/>
        <v>1</v>
      </c>
      <c r="AC22" s="1388">
        <f t="shared" si="5"/>
        <v>1</v>
      </c>
    </row>
    <row r="23" ht="15.5" spans="1:29">
      <c r="A23" s="1152"/>
      <c r="B23" s="1185">
        <v>111</v>
      </c>
      <c r="C23" s="1178"/>
      <c r="D23" s="1190">
        <v>100</v>
      </c>
      <c r="E23" s="1189"/>
      <c r="F23" s="1574">
        <f>SUMIF(71:71,E23,72:72)-SUMIF(71:71,C23,72:72)+100</f>
        <v>100</v>
      </c>
      <c r="G23" s="1189"/>
      <c r="H23" s="1190">
        <f>SUMIF(71:71,G23,72:72)-SUMIF(71:71,C23,72:72)+100</f>
        <v>100</v>
      </c>
      <c r="I23" s="1189"/>
      <c r="J23" s="1190">
        <f>SUMIF(71:71,I23,72:72)-SUMIF(71:71,C23,72:72)+100</f>
        <v>100</v>
      </c>
      <c r="K23" s="1329"/>
      <c r="L23" s="1323"/>
      <c r="M23" s="1307"/>
      <c r="N23" s="1307"/>
      <c r="O23" s="1322"/>
      <c r="P23" s="1326"/>
      <c r="Q23" s="712">
        <f>B23</f>
        <v>111</v>
      </c>
      <c r="R23" s="1372" t="s">
        <v>1031</v>
      </c>
      <c r="S23" s="1373">
        <f>F23</f>
        <v>100</v>
      </c>
      <c r="T23" s="1372" t="s">
        <v>1031</v>
      </c>
      <c r="U23" s="1373">
        <f>H23</f>
        <v>100</v>
      </c>
      <c r="V23" s="1372" t="s">
        <v>1031</v>
      </c>
      <c r="W23" s="1373">
        <f>J23</f>
        <v>100</v>
      </c>
      <c r="X23" s="1359"/>
      <c r="Y23" s="1326"/>
      <c r="Z23" s="1346">
        <f>Q23</f>
        <v>111</v>
      </c>
      <c r="AA23" s="1388">
        <f t="shared" si="3"/>
        <v>1</v>
      </c>
      <c r="AB23" s="1388">
        <f t="shared" si="4"/>
        <v>1</v>
      </c>
      <c r="AC23" s="1388">
        <f t="shared" si="5"/>
        <v>1</v>
      </c>
    </row>
    <row r="24" ht="15.5" spans="1:29">
      <c r="A24" s="1180"/>
      <c r="B24" s="1185">
        <v>111</v>
      </c>
      <c r="C24" s="1178"/>
      <c r="D24" s="1190">
        <v>100</v>
      </c>
      <c r="E24" s="1189"/>
      <c r="F24" s="1574">
        <f>SUMIF(73:73,E24,74:74)-SUMIF(73:73,C24,74:74)+100</f>
        <v>100</v>
      </c>
      <c r="G24" s="1189"/>
      <c r="H24" s="1190">
        <f>SUMIF(73:73,G24,74:74)-SUMIF(73:73,C24,74:74)+100</f>
        <v>100</v>
      </c>
      <c r="I24" s="1189"/>
      <c r="J24" s="1190">
        <f>SUMIF(73:73,I24,74:74)-SUMIF(73:73,C24,74:74)+100</f>
        <v>100</v>
      </c>
      <c r="K24" s="1329"/>
      <c r="L24" s="1323"/>
      <c r="M24" s="1307"/>
      <c r="N24" s="1307"/>
      <c r="O24" s="1322"/>
      <c r="P24" s="1326"/>
      <c r="Q24" s="712">
        <f t="shared" ref="Q24:Q34" si="11">B24</f>
        <v>111</v>
      </c>
      <c r="R24" s="1372" t="s">
        <v>1031</v>
      </c>
      <c r="S24" s="1373">
        <f>F24</f>
        <v>100</v>
      </c>
      <c r="T24" s="1372" t="s">
        <v>1031</v>
      </c>
      <c r="U24" s="1373">
        <f>H24</f>
        <v>100</v>
      </c>
      <c r="V24" s="1372" t="s">
        <v>1031</v>
      </c>
      <c r="W24" s="1373">
        <f>J24</f>
        <v>100</v>
      </c>
      <c r="X24" s="1359"/>
      <c r="Y24" s="1326"/>
      <c r="Z24" s="1346">
        <f>Q24</f>
        <v>111</v>
      </c>
      <c r="AA24" s="1388">
        <f t="shared" si="3"/>
        <v>1</v>
      </c>
      <c r="AB24" s="1388">
        <f t="shared" si="4"/>
        <v>1</v>
      </c>
      <c r="AC24" s="1388">
        <f t="shared" si="5"/>
        <v>1</v>
      </c>
    </row>
    <row r="25" s="1127" customFormat="1" ht="16.25" spans="1:29">
      <c r="A25" s="1184"/>
      <c r="B25" s="1185">
        <v>111</v>
      </c>
      <c r="C25" s="1575"/>
      <c r="D25" s="1576">
        <v>100</v>
      </c>
      <c r="E25" s="1575"/>
      <c r="F25" s="1577">
        <f>SUMIF(75:75,E25,76:76)-SUMIF(75:75,C25,76:76)+100</f>
        <v>100</v>
      </c>
      <c r="G25" s="1575"/>
      <c r="H25" s="1576">
        <f>SUMIF(75:75,G25,76:76)-SUMIF(75:75,C25,76:76)+100</f>
        <v>100</v>
      </c>
      <c r="I25" s="1575"/>
      <c r="J25" s="1576">
        <f>SUMIF(75:75,I25,76:76)-SUMIF(75:75,C25,76:76)+100</f>
        <v>100</v>
      </c>
      <c r="K25" s="1329"/>
      <c r="L25" s="1312"/>
      <c r="M25" s="1313"/>
      <c r="N25" s="1313"/>
      <c r="O25" s="1315"/>
      <c r="P25" s="1326"/>
      <c r="Q25" s="1371">
        <f t="shared" si="11"/>
        <v>111</v>
      </c>
      <c r="R25" s="1367" t="s">
        <v>1031</v>
      </c>
      <c r="S25" s="1368">
        <f>F25</f>
        <v>100</v>
      </c>
      <c r="T25" s="1367" t="s">
        <v>1031</v>
      </c>
      <c r="U25" s="1368">
        <f>H25</f>
        <v>100</v>
      </c>
      <c r="V25" s="1367" t="s">
        <v>1031</v>
      </c>
      <c r="W25" s="1368">
        <f>J25</f>
        <v>100</v>
      </c>
      <c r="X25" s="1369"/>
      <c r="Y25" s="1326"/>
      <c r="Z25" s="1387">
        <f>Q25</f>
        <v>111</v>
      </c>
      <c r="AA25" s="1388">
        <f t="shared" si="3"/>
        <v>1</v>
      </c>
      <c r="AB25" s="1388">
        <f t="shared" si="4"/>
        <v>1</v>
      </c>
      <c r="AC25" s="1388">
        <f t="shared" si="5"/>
        <v>1</v>
      </c>
    </row>
    <row r="26" ht="15.5" spans="1:29">
      <c r="A26" s="1578" t="s">
        <v>1056</v>
      </c>
      <c r="B26" s="1173" t="s">
        <v>1061</v>
      </c>
      <c r="C26" s="1579"/>
      <c r="D26" s="1229">
        <v>100</v>
      </c>
      <c r="E26" s="1579"/>
      <c r="F26" s="1580">
        <f>SUMIF(77:77,E26,78:78)-SUMIF(77:77,C26,78:78)+100</f>
        <v>100</v>
      </c>
      <c r="G26" s="1579"/>
      <c r="H26" s="1229">
        <f>SUMIF(77:77,G26,78:78)-SUMIF(77:77,C26,78:78)+100</f>
        <v>100</v>
      </c>
      <c r="I26" s="1579"/>
      <c r="J26" s="1229">
        <f>SUMIF(77:77,I26,78:78)-SUMIF(77:77,C26,78:78)+100</f>
        <v>100</v>
      </c>
      <c r="K26" s="1330"/>
      <c r="L26" s="1323"/>
      <c r="M26" s="1307"/>
      <c r="N26" s="1307"/>
      <c r="O26" s="1322"/>
      <c r="P26" s="1331" t="s">
        <v>1058</v>
      </c>
      <c r="Q26" s="712" t="str">
        <f t="shared" si="11"/>
        <v>公共部分装修</v>
      </c>
      <c r="R26" s="1372" t="s">
        <v>1031</v>
      </c>
      <c r="S26" s="1373">
        <f t="shared" ref="S26:S34" si="12">F26</f>
        <v>100</v>
      </c>
      <c r="T26" s="1372" t="s">
        <v>1031</v>
      </c>
      <c r="U26" s="1373">
        <f t="shared" ref="U26:U34" si="13">H26</f>
        <v>100</v>
      </c>
      <c r="V26" s="1372" t="s">
        <v>1031</v>
      </c>
      <c r="W26" s="1373">
        <f t="shared" ref="W26:W34" si="14">J26</f>
        <v>100</v>
      </c>
      <c r="X26" s="1359"/>
      <c r="Y26" s="1334" t="s">
        <v>1058</v>
      </c>
      <c r="Z26" s="1346" t="str">
        <f t="shared" ref="Z26:Z34" si="15">Q26</f>
        <v>公共部分装修</v>
      </c>
      <c r="AA26" s="1388">
        <f t="shared" si="3"/>
        <v>1</v>
      </c>
      <c r="AB26" s="1388">
        <f t="shared" si="4"/>
        <v>1</v>
      </c>
      <c r="AC26" s="1388">
        <f t="shared" si="5"/>
        <v>1</v>
      </c>
    </row>
    <row r="27" s="1129" customFormat="1" ht="15.5" spans="1:29">
      <c r="A27" s="1235"/>
      <c r="B27" s="1177" t="s">
        <v>1631</v>
      </c>
      <c r="C27" s="1581"/>
      <c r="D27" s="1179">
        <v>100</v>
      </c>
      <c r="E27" s="1582"/>
      <c r="F27" s="1574" t="e">
        <f>LOOKUP(E27,80:80,81:81)-LOOKUP(C27,80:80,81:81)+100</f>
        <v>#N/A</v>
      </c>
      <c r="G27" s="1583"/>
      <c r="H27" s="1190" t="e">
        <f>LOOKUP(G27,80:80,81:81)-LOOKUP(C27,80:80,81:81)+100</f>
        <v>#N/A</v>
      </c>
      <c r="I27" s="1583"/>
      <c r="J27" s="1190" t="e">
        <f>LOOKUP(I27,80:80,81:81)-LOOKUP(C27,80:80,81:81)+100</f>
        <v>#N/A</v>
      </c>
      <c r="K27" s="1330"/>
      <c r="L27" s="1321"/>
      <c r="M27" s="1332"/>
      <c r="N27" s="1332"/>
      <c r="O27" s="1333"/>
      <c r="P27" s="1334"/>
      <c r="Q27" s="1613" t="str">
        <f t="shared" si="11"/>
        <v>成新率</v>
      </c>
      <c r="R27" s="1374" t="s">
        <v>1031</v>
      </c>
      <c r="S27" s="1375" t="e">
        <f t="shared" si="12"/>
        <v>#N/A</v>
      </c>
      <c r="T27" s="1374" t="s">
        <v>1031</v>
      </c>
      <c r="U27" s="1375" t="e">
        <f t="shared" si="13"/>
        <v>#N/A</v>
      </c>
      <c r="V27" s="1374" t="s">
        <v>1031</v>
      </c>
      <c r="W27" s="1375" t="e">
        <f t="shared" si="14"/>
        <v>#N/A</v>
      </c>
      <c r="X27" s="1376"/>
      <c r="Y27" s="1334"/>
      <c r="Z27" s="1389" t="str">
        <f t="shared" si="15"/>
        <v>成新率</v>
      </c>
      <c r="AA27" s="1388" t="e">
        <f t="shared" si="3"/>
        <v>#N/A</v>
      </c>
      <c r="AB27" s="1388" t="e">
        <f t="shared" si="4"/>
        <v>#N/A</v>
      </c>
      <c r="AC27" s="1388" t="e">
        <f t="shared" si="5"/>
        <v>#N/A</v>
      </c>
    </row>
    <row r="28" ht="15.5" spans="1:29">
      <c r="A28" s="1230"/>
      <c r="B28" s="1177" t="s">
        <v>1632</v>
      </c>
      <c r="C28" s="1584"/>
      <c r="D28" s="1190">
        <v>100</v>
      </c>
      <c r="E28" s="1584"/>
      <c r="F28" s="1574">
        <f>SUMIF(82:82,E28,83:83)-SUMIF(82:82,C28,83:83)+100</f>
        <v>100</v>
      </c>
      <c r="G28" s="1584"/>
      <c r="H28" s="1190">
        <f>SUMIF(82:82,G28,83:83)-SUMIF(82:82,C28,83:83)+100</f>
        <v>100</v>
      </c>
      <c r="I28" s="1584"/>
      <c r="J28" s="1190">
        <f>SUMIF(82:82,I28,83:83)-SUMIF(82:82,C28,83:83)+100</f>
        <v>100</v>
      </c>
      <c r="K28" s="1330"/>
      <c r="L28" s="1323"/>
      <c r="M28" s="1307"/>
      <c r="N28" s="1307"/>
      <c r="O28" s="1322"/>
      <c r="P28" s="1334"/>
      <c r="Q28" s="712" t="str">
        <f t="shared" si="11"/>
        <v>物业等级</v>
      </c>
      <c r="R28" s="1372" t="s">
        <v>1031</v>
      </c>
      <c r="S28" s="1373">
        <f t="shared" si="12"/>
        <v>100</v>
      </c>
      <c r="T28" s="1372" t="s">
        <v>1031</v>
      </c>
      <c r="U28" s="1373">
        <f t="shared" si="13"/>
        <v>100</v>
      </c>
      <c r="V28" s="1372" t="s">
        <v>1031</v>
      </c>
      <c r="W28" s="1373">
        <f t="shared" si="14"/>
        <v>100</v>
      </c>
      <c r="X28" s="1359"/>
      <c r="Y28" s="1334"/>
      <c r="Z28" s="1346" t="str">
        <f t="shared" si="15"/>
        <v>物业等级</v>
      </c>
      <c r="AA28" s="1388">
        <f t="shared" si="3"/>
        <v>1</v>
      </c>
      <c r="AB28" s="1388">
        <f t="shared" si="4"/>
        <v>1</v>
      </c>
      <c r="AC28" s="1388">
        <f t="shared" si="5"/>
        <v>1</v>
      </c>
    </row>
    <row r="29" ht="15.5" spans="1:29">
      <c r="A29" s="1230"/>
      <c r="B29" s="1177" t="s">
        <v>1641</v>
      </c>
      <c r="C29" s="1585"/>
      <c r="D29" s="1190">
        <v>100</v>
      </c>
      <c r="E29" s="1585"/>
      <c r="F29" s="1574">
        <f>SUMIF(84:84,E29,85:85)-SUMIF(84:84,C29,85:85)+100</f>
        <v>100</v>
      </c>
      <c r="G29" s="1585"/>
      <c r="H29" s="1190">
        <f>SUMIF(84:84,G29,85:85)-SUMIF(84:84,C29,85:85)+100</f>
        <v>100</v>
      </c>
      <c r="I29" s="1585"/>
      <c r="J29" s="1190">
        <f>SUMIF(84:84,I29,85:85)-SUMIF(84:84,C29,85:85)+100</f>
        <v>100</v>
      </c>
      <c r="K29" s="1330"/>
      <c r="L29" s="1323"/>
      <c r="M29" s="1307"/>
      <c r="N29" s="1307"/>
      <c r="O29" s="1322"/>
      <c r="P29" s="1334"/>
      <c r="Q29" s="712" t="str">
        <f t="shared" si="11"/>
        <v>有无电梯</v>
      </c>
      <c r="R29" s="1372" t="s">
        <v>1031</v>
      </c>
      <c r="S29" s="1373">
        <f t="shared" si="12"/>
        <v>100</v>
      </c>
      <c r="T29" s="1372" t="s">
        <v>1031</v>
      </c>
      <c r="U29" s="1373">
        <f t="shared" si="13"/>
        <v>100</v>
      </c>
      <c r="V29" s="1372" t="s">
        <v>1031</v>
      </c>
      <c r="W29" s="1373">
        <f t="shared" si="14"/>
        <v>100</v>
      </c>
      <c r="X29" s="1359"/>
      <c r="Y29" s="1334"/>
      <c r="Z29" s="1346" t="str">
        <f t="shared" si="15"/>
        <v>有无电梯</v>
      </c>
      <c r="AA29" s="1388">
        <f t="shared" si="3"/>
        <v>1</v>
      </c>
      <c r="AB29" s="1388">
        <f t="shared" si="4"/>
        <v>1</v>
      </c>
      <c r="AC29" s="1388">
        <f t="shared" si="5"/>
        <v>1</v>
      </c>
    </row>
    <row r="30" ht="15.5" spans="1:29">
      <c r="A30" s="1230"/>
      <c r="B30" s="1177" t="s">
        <v>606</v>
      </c>
      <c r="C30" s="1568"/>
      <c r="D30" s="1190">
        <v>100</v>
      </c>
      <c r="E30" s="1568"/>
      <c r="F30" s="1574" t="e">
        <f>LOOKUP(E30,87:87,88:88)-LOOKUP(C30,87:87,88:88)+100</f>
        <v>#N/A</v>
      </c>
      <c r="G30" s="1568"/>
      <c r="H30" s="1190" t="e">
        <f>LOOKUP(G30,87:87,88:88)-LOOKUP(C30,87:87,88:88)+100</f>
        <v>#N/A</v>
      </c>
      <c r="I30" s="1568"/>
      <c r="J30" s="1190" t="e">
        <f>LOOKUP(I30,87:87,88:88)-LOOKUP(C30,87:87,88:88)+100</f>
        <v>#N/A</v>
      </c>
      <c r="K30" s="1329"/>
      <c r="L30" s="1323"/>
      <c r="M30" s="1307"/>
      <c r="N30" s="1307"/>
      <c r="O30" s="1322"/>
      <c r="P30" s="1334"/>
      <c r="Q30" s="712" t="str">
        <f t="shared" si="11"/>
        <v>建筑面积</v>
      </c>
      <c r="R30" s="1372" t="s">
        <v>1031</v>
      </c>
      <c r="S30" s="1373" t="e">
        <f t="shared" si="12"/>
        <v>#N/A</v>
      </c>
      <c r="T30" s="1372" t="s">
        <v>1031</v>
      </c>
      <c r="U30" s="1373" t="e">
        <f t="shared" si="13"/>
        <v>#N/A</v>
      </c>
      <c r="V30" s="1372" t="s">
        <v>1031</v>
      </c>
      <c r="W30" s="1373" t="e">
        <f t="shared" si="14"/>
        <v>#N/A</v>
      </c>
      <c r="X30" s="1359"/>
      <c r="Y30" s="1334"/>
      <c r="Z30" s="1346" t="str">
        <f t="shared" si="15"/>
        <v>建筑面积</v>
      </c>
      <c r="AA30" s="1388" t="e">
        <f t="shared" si="3"/>
        <v>#N/A</v>
      </c>
      <c r="AB30" s="1388" t="e">
        <f t="shared" si="4"/>
        <v>#N/A</v>
      </c>
      <c r="AC30" s="1388" t="e">
        <f t="shared" si="5"/>
        <v>#N/A</v>
      </c>
    </row>
    <row r="31" s="1127" customFormat="1" ht="15.5" spans="1:29">
      <c r="A31" s="1232"/>
      <c r="B31" s="1177" t="s">
        <v>1642</v>
      </c>
      <c r="C31" s="1585"/>
      <c r="D31" s="1179">
        <v>100</v>
      </c>
      <c r="E31" s="1585"/>
      <c r="F31" s="1574">
        <f>SUMIF(89:89,E31,90:90)-SUMIF(89:89,C31,90:90)+100</f>
        <v>100</v>
      </c>
      <c r="G31" s="1585"/>
      <c r="H31" s="1190">
        <f>SUMIF(89:89,G31,90:90)-SUMIF(89:89,C31,90:90)+100</f>
        <v>100</v>
      </c>
      <c r="I31" s="1585"/>
      <c r="J31" s="1190">
        <f>SUMIF(89:89,I31,90:90)-SUMIF(89:89,C31,90:90)+100</f>
        <v>100</v>
      </c>
      <c r="K31" s="1330"/>
      <c r="L31" s="1312"/>
      <c r="M31" s="1313"/>
      <c r="N31" s="1313"/>
      <c r="O31" s="1315"/>
      <c r="P31" s="1334"/>
      <c r="Q31" s="1371" t="str">
        <f t="shared" si="11"/>
        <v>是否封闭</v>
      </c>
      <c r="R31" s="1367" t="s">
        <v>1031</v>
      </c>
      <c r="S31" s="1368">
        <f t="shared" si="12"/>
        <v>100</v>
      </c>
      <c r="T31" s="1367" t="s">
        <v>1031</v>
      </c>
      <c r="U31" s="1368">
        <f t="shared" si="13"/>
        <v>100</v>
      </c>
      <c r="V31" s="1367" t="s">
        <v>1031</v>
      </c>
      <c r="W31" s="1368">
        <f t="shared" si="14"/>
        <v>100</v>
      </c>
      <c r="X31" s="1369"/>
      <c r="Y31" s="1334"/>
      <c r="Z31" s="1387" t="str">
        <f t="shared" si="15"/>
        <v>是否封闭</v>
      </c>
      <c r="AA31" s="1386">
        <f t="shared" si="3"/>
        <v>1</v>
      </c>
      <c r="AB31" s="1386">
        <f t="shared" si="4"/>
        <v>1</v>
      </c>
      <c r="AC31" s="1386">
        <f t="shared" si="5"/>
        <v>1</v>
      </c>
    </row>
    <row r="32" ht="15.5" spans="1:29">
      <c r="A32" s="1230"/>
      <c r="B32" s="1185">
        <v>111</v>
      </c>
      <c r="C32" s="1178"/>
      <c r="D32" s="1190">
        <v>100</v>
      </c>
      <c r="E32" s="1568"/>
      <c r="F32" s="1574">
        <f>SUMIF(91:91,E32,92:92)-SUMIF(91:91,C32,92:92)+100</f>
        <v>100</v>
      </c>
      <c r="G32" s="1568"/>
      <c r="H32" s="1190">
        <f>SUMIF(91:91,G32,92:92)-SUMIF(91:91,C32,92:92)+100</f>
        <v>100</v>
      </c>
      <c r="I32" s="1568"/>
      <c r="J32" s="1190">
        <f>SUMIF(91:91,I32,92:92)-SUMIF(91:91,C32,92:92)+100</f>
        <v>100</v>
      </c>
      <c r="K32" s="1329"/>
      <c r="L32" s="1323"/>
      <c r="M32" s="1307"/>
      <c r="N32" s="1307"/>
      <c r="O32" s="1322"/>
      <c r="P32" s="1334" t="s">
        <v>1058</v>
      </c>
      <c r="Q32" s="712">
        <f t="shared" si="11"/>
        <v>111</v>
      </c>
      <c r="R32" s="1372" t="s">
        <v>1031</v>
      </c>
      <c r="S32" s="1373">
        <f t="shared" si="12"/>
        <v>100</v>
      </c>
      <c r="T32" s="1372" t="s">
        <v>1031</v>
      </c>
      <c r="U32" s="1373">
        <f t="shared" si="13"/>
        <v>100</v>
      </c>
      <c r="V32" s="1372" t="s">
        <v>1031</v>
      </c>
      <c r="W32" s="1373">
        <f t="shared" si="14"/>
        <v>100</v>
      </c>
      <c r="X32" s="1359"/>
      <c r="Y32" s="1334" t="s">
        <v>1058</v>
      </c>
      <c r="Z32" s="1346">
        <f t="shared" si="15"/>
        <v>111</v>
      </c>
      <c r="AA32" s="1388">
        <f t="shared" si="3"/>
        <v>1</v>
      </c>
      <c r="AB32" s="1388">
        <f t="shared" si="4"/>
        <v>1</v>
      </c>
      <c r="AC32" s="1388">
        <f t="shared" si="5"/>
        <v>1</v>
      </c>
    </row>
    <row r="33" ht="15.5" spans="1:29">
      <c r="A33" s="1230"/>
      <c r="B33" s="1185">
        <v>111</v>
      </c>
      <c r="C33" s="1178"/>
      <c r="D33" s="1190">
        <v>100</v>
      </c>
      <c r="E33" s="1568"/>
      <c r="F33" s="1574">
        <f>SUMIF(93:93,E33,94:94)-SUMIF(93:93,C33,94:94)+100</f>
        <v>100</v>
      </c>
      <c r="G33" s="1568"/>
      <c r="H33" s="1190">
        <f>SUMIF(93:93,G33,94:94)-SUMIF(93:93,C33,94:94)+100</f>
        <v>100</v>
      </c>
      <c r="I33" s="1568"/>
      <c r="J33" s="1190">
        <f>SUMIF(93:93,I33,94:94)-SUMIF(93:93,C33,94:94)+100</f>
        <v>100</v>
      </c>
      <c r="K33" s="1329"/>
      <c r="L33" s="1323"/>
      <c r="M33" s="1307"/>
      <c r="N33" s="1307"/>
      <c r="O33" s="1322"/>
      <c r="P33" s="1334"/>
      <c r="Q33" s="712">
        <f t="shared" si="11"/>
        <v>111</v>
      </c>
      <c r="R33" s="1372" t="s">
        <v>1031</v>
      </c>
      <c r="S33" s="1373">
        <f t="shared" si="12"/>
        <v>100</v>
      </c>
      <c r="T33" s="1372" t="s">
        <v>1031</v>
      </c>
      <c r="U33" s="1373">
        <f t="shared" si="13"/>
        <v>100</v>
      </c>
      <c r="V33" s="1372" t="s">
        <v>1031</v>
      </c>
      <c r="W33" s="1373">
        <f t="shared" si="14"/>
        <v>100</v>
      </c>
      <c r="X33" s="1359"/>
      <c r="Y33" s="1334"/>
      <c r="Z33" s="1346">
        <f t="shared" si="15"/>
        <v>111</v>
      </c>
      <c r="AA33" s="1388">
        <f t="shared" si="3"/>
        <v>1</v>
      </c>
      <c r="AB33" s="1388">
        <f t="shared" si="4"/>
        <v>1</v>
      </c>
      <c r="AC33" s="1388">
        <f t="shared" si="5"/>
        <v>1</v>
      </c>
    </row>
    <row r="34" ht="16.25" spans="1:29">
      <c r="A34" s="1586"/>
      <c r="B34" s="1192">
        <v>111</v>
      </c>
      <c r="C34" s="1193"/>
      <c r="D34" s="1194">
        <v>100</v>
      </c>
      <c r="E34" s="1569"/>
      <c r="F34" s="1587">
        <f>SUMIF(95:95,E34,96:96)-SUMIF(95:95,C34,96:96)+100</f>
        <v>100</v>
      </c>
      <c r="G34" s="1569"/>
      <c r="H34" s="1194">
        <f>SUMIF(95:95,G34,96:96)-SUMIF(95:95,C34,96:96)+100</f>
        <v>100</v>
      </c>
      <c r="I34" s="1569"/>
      <c r="J34" s="1194">
        <f>SUMIF(95:95,I34,96:96)-SUMIF(95:95,C34,96:96)+100</f>
        <v>100</v>
      </c>
      <c r="K34" s="1329"/>
      <c r="L34" s="1323"/>
      <c r="M34" s="1307"/>
      <c r="N34" s="1307"/>
      <c r="O34" s="1322"/>
      <c r="P34" s="1334"/>
      <c r="Q34" s="712">
        <f t="shared" si="11"/>
        <v>111</v>
      </c>
      <c r="R34" s="1372" t="s">
        <v>1031</v>
      </c>
      <c r="S34" s="1373">
        <f t="shared" si="12"/>
        <v>100</v>
      </c>
      <c r="T34" s="1372" t="s">
        <v>1031</v>
      </c>
      <c r="U34" s="1373">
        <f t="shared" si="13"/>
        <v>100</v>
      </c>
      <c r="V34" s="1372" t="s">
        <v>1031</v>
      </c>
      <c r="W34" s="1373">
        <f t="shared" si="14"/>
        <v>100</v>
      </c>
      <c r="X34" s="1359"/>
      <c r="Y34" s="1334"/>
      <c r="Z34" s="1346">
        <f t="shared" si="15"/>
        <v>111</v>
      </c>
      <c r="AA34" s="1388">
        <f t="shared" si="3"/>
        <v>1</v>
      </c>
      <c r="AB34" s="1388">
        <f t="shared" si="4"/>
        <v>1</v>
      </c>
      <c r="AC34" s="1388">
        <f t="shared" si="5"/>
        <v>1</v>
      </c>
    </row>
    <row r="35" spans="1:29">
      <c r="A35" s="1237" t="s">
        <v>1074</v>
      </c>
      <c r="B35" s="1588"/>
      <c r="C35" s="1589" t="s">
        <v>124</v>
      </c>
      <c r="D35" s="1590"/>
      <c r="E35" s="1591"/>
      <c r="F35" s="1592"/>
      <c r="G35" s="1593"/>
      <c r="H35" s="1594"/>
      <c r="I35" s="1591"/>
      <c r="J35" s="1594"/>
      <c r="K35" s="1337"/>
      <c r="L35" s="1338"/>
      <c r="M35" s="1254"/>
      <c r="N35" s="1307"/>
      <c r="O35" s="1254"/>
      <c r="P35" s="712" t="str">
        <f>A35</f>
        <v>成交单价（元/平方米）</v>
      </c>
      <c r="Q35" s="712"/>
      <c r="R35" s="1388">
        <f>E35</f>
        <v>0</v>
      </c>
      <c r="S35" s="1388"/>
      <c r="T35" s="1388">
        <f>G35</f>
        <v>0</v>
      </c>
      <c r="U35" s="1388"/>
      <c r="V35" s="1388">
        <f>I35</f>
        <v>0</v>
      </c>
      <c r="W35" s="1388"/>
      <c r="X35" s="1295"/>
      <c r="Y35" s="1390"/>
      <c r="Z35" s="1295"/>
      <c r="AA35" s="1295"/>
      <c r="AB35" s="1295"/>
      <c r="AC35" s="1295"/>
    </row>
    <row r="36" ht="14.75" spans="1:29">
      <c r="A36" s="1245" t="s">
        <v>1075</v>
      </c>
      <c r="B36" s="1595"/>
      <c r="C36" s="1596" t="e">
        <f>R37</f>
        <v>#DIV/0!</v>
      </c>
      <c r="D36" s="1248" t="s">
        <v>1076</v>
      </c>
      <c r="E36" s="1597" t="e">
        <f>R36</f>
        <v>#DIV/0!</v>
      </c>
      <c r="F36" s="1249"/>
      <c r="G36" s="1596" t="e">
        <f>T36</f>
        <v>#DIV/0!</v>
      </c>
      <c r="H36" s="1249"/>
      <c r="I36" s="1597" t="e">
        <f>V36</f>
        <v>#DIV/0!</v>
      </c>
      <c r="J36" s="1249"/>
      <c r="K36" s="1339">
        <f>F36+H36+J36</f>
        <v>0</v>
      </c>
      <c r="L36" s="1338"/>
      <c r="M36" s="1254"/>
      <c r="N36" s="1307"/>
      <c r="O36" s="1254"/>
      <c r="P36" s="712" t="str">
        <f>A36</f>
        <v>比较价值（元/平方米）</v>
      </c>
      <c r="Q36" s="712"/>
      <c r="R36" s="1388" t="e">
        <f>IF(F1="售价",ROUND(PRODUCT(R35,AA7:AA34),0),ROUND(PRODUCT(R35,AA7:AA34),1))</f>
        <v>#DIV/0!</v>
      </c>
      <c r="S36" s="1388"/>
      <c r="T36" s="1388" t="e">
        <f>IF(F1="售价",ROUND(PRODUCT(T35,AB7:AB34),0),ROUND(PRODUCT(T35,AB7:AB34),1))</f>
        <v>#DIV/0!</v>
      </c>
      <c r="U36" s="1388"/>
      <c r="V36" s="1388" t="e">
        <f>IF(F1="售价",ROUND(PRODUCT(V35,AC7:AC34),0),ROUND(PRODUCT(V35,AC7:AC34),1))</f>
        <v>#DIV/0!</v>
      </c>
      <c r="W36" s="1388"/>
      <c r="X36" s="1295"/>
      <c r="Y36" s="1295"/>
      <c r="Z36" s="1295"/>
      <c r="AA36" s="1295"/>
      <c r="AB36" s="1295"/>
      <c r="AC36" s="1295"/>
    </row>
    <row r="37" ht="14.75" spans="1:29">
      <c r="A37" s="1251" t="s">
        <v>1077</v>
      </c>
      <c r="B37" s="1252"/>
      <c r="C37" s="1598" t="e">
        <f>R37</f>
        <v>#DIV/0!</v>
      </c>
      <c r="D37" s="1598"/>
      <c r="E37" s="1598"/>
      <c r="F37" s="1598"/>
      <c r="G37" s="1598"/>
      <c r="H37" s="1598"/>
      <c r="I37" s="1598"/>
      <c r="J37" s="1598"/>
      <c r="K37" s="1340"/>
      <c r="L37" s="1338"/>
      <c r="M37" s="1254"/>
      <c r="N37" s="1254"/>
      <c r="O37" s="1254"/>
      <c r="P37" s="1341" t="str">
        <f>A37</f>
        <v>估价对象XX用房的比较价值（楼面单价，元/平方米）</v>
      </c>
      <c r="Q37" s="1378"/>
      <c r="R37" s="1614" t="e">
        <f>IF(F1="售价",ROUND(IF(D36="简单平均",AVERAGE(R36:W36),R36*F36+T36*H36+V36*J36),0),ROUND(IF(D36="简单平均",AVERAGE(R36:V36),R36*F36+T36*H36+V36*J36),1))</f>
        <v>#DIV/0!</v>
      </c>
      <c r="S37" s="1614"/>
      <c r="T37" s="1614"/>
      <c r="U37" s="1614"/>
      <c r="V37" s="1614"/>
      <c r="W37" s="1614"/>
      <c r="X37" s="1295"/>
      <c r="Y37" s="1295"/>
      <c r="Z37" s="1295"/>
      <c r="AA37" s="1295"/>
      <c r="AB37" s="1295"/>
      <c r="AC37" s="1295"/>
    </row>
    <row r="38" spans="1:30">
      <c r="A38" s="1254"/>
      <c r="B38" s="1254"/>
      <c r="C38" s="1254"/>
      <c r="D38" s="1254"/>
      <c r="E38" s="1254"/>
      <c r="F38" s="1254"/>
      <c r="G38" s="1255"/>
      <c r="H38" s="1254"/>
      <c r="I38" s="1254"/>
      <c r="J38" s="1254"/>
      <c r="K38" s="1342"/>
      <c r="L38" s="1343"/>
      <c r="M38" s="1254"/>
      <c r="N38" s="1254"/>
      <c r="O38" s="1254"/>
      <c r="P38" s="1254"/>
      <c r="Q38" s="1254"/>
      <c r="R38" s="1254"/>
      <c r="S38" s="1254"/>
      <c r="T38" s="1254"/>
      <c r="U38" s="1254"/>
      <c r="V38" s="1254"/>
      <c r="W38" s="1254"/>
      <c r="X38" s="1254"/>
      <c r="Y38" s="1254"/>
      <c r="Z38" s="1254"/>
      <c r="AA38" s="1254"/>
      <c r="AB38" s="1254"/>
      <c r="AC38" s="1254"/>
      <c r="AD38" s="1254"/>
    </row>
    <row r="39" spans="1:30">
      <c r="A39" s="1254"/>
      <c r="B39" s="1254"/>
      <c r="C39" s="1254"/>
      <c r="D39" s="1254"/>
      <c r="E39" s="1254"/>
      <c r="F39" s="1254"/>
      <c r="G39" s="1254"/>
      <c r="H39" s="1254"/>
      <c r="I39" s="1254"/>
      <c r="J39" s="1254"/>
      <c r="K39" s="1342"/>
      <c r="L39" s="1343"/>
      <c r="M39" s="1254"/>
      <c r="N39" s="1254"/>
      <c r="O39" s="1254"/>
      <c r="P39" s="1254"/>
      <c r="Q39" s="1254"/>
      <c r="R39" s="1254"/>
      <c r="S39" s="1254"/>
      <c r="T39" s="1254"/>
      <c r="U39" s="1254"/>
      <c r="V39" s="1254"/>
      <c r="W39" s="1254"/>
      <c r="X39" s="1254"/>
      <c r="Y39" s="1254"/>
      <c r="Z39" s="1254"/>
      <c r="AA39" s="1254"/>
      <c r="AB39" s="1254"/>
      <c r="AC39" s="1254"/>
      <c r="AD39" s="1254"/>
    </row>
    <row r="40" ht="13.5" customHeight="1" spans="1:30">
      <c r="A40" s="1254"/>
      <c r="B40" s="1254"/>
      <c r="C40" s="1256" t="s">
        <v>1078</v>
      </c>
      <c r="D40" s="756"/>
      <c r="E40" s="1257" t="e">
        <f>IF(E35&lt;E36,E36/E35-1,E35/E36-1)</f>
        <v>#DIV/0!</v>
      </c>
      <c r="F40" s="1258" t="e">
        <f>IF(OR(E40&gt;=0.3,E40&lt;=-0.3),"超过30%","")</f>
        <v>#DIV/0!</v>
      </c>
      <c r="G40" s="1257" t="e">
        <f>IF(G35&lt;G36,G36/G35-1,G35/G36-1)</f>
        <v>#DIV/0!</v>
      </c>
      <c r="H40" s="1258" t="e">
        <f>IF(OR(G40&gt;=0.3,G40&lt;=-0.3),"超过30%","")</f>
        <v>#DIV/0!</v>
      </c>
      <c r="I40" s="1257" t="e">
        <f>IF(I35&lt;I36,I36/I35-1,I35/I36-1)</f>
        <v>#DIV/0!</v>
      </c>
      <c r="J40" s="1258" t="e">
        <f>IF(OR(I40&gt;=0.3,I40&lt;=-0.3),"超过30%","")</f>
        <v>#DIV/0!</v>
      </c>
      <c r="K40" s="1342"/>
      <c r="L40" s="1343"/>
      <c r="M40" s="1254"/>
      <c r="N40" s="1254"/>
      <c r="O40" s="1254"/>
      <c r="P40" s="1254"/>
      <c r="Q40" s="1254"/>
      <c r="R40" s="1254"/>
      <c r="S40" s="1254"/>
      <c r="T40" s="1254"/>
      <c r="U40" s="1254"/>
      <c r="V40" s="1254"/>
      <c r="W40" s="1254"/>
      <c r="X40" s="1254"/>
      <c r="Y40" s="1254"/>
      <c r="Z40" s="1254"/>
      <c r="AA40" s="1254"/>
      <c r="AB40" s="1254"/>
      <c r="AC40" s="1254"/>
      <c r="AD40" s="1254"/>
    </row>
    <row r="41" ht="13.5" customHeight="1" spans="1:30">
      <c r="A41" s="1254"/>
      <c r="B41" s="1254"/>
      <c r="C41" s="1256" t="s">
        <v>1079</v>
      </c>
      <c r="D41" s="755"/>
      <c r="E41" s="1257" t="e">
        <f>IF(E36&lt;G36,G36/E36-1,E36/G36-1)</f>
        <v>#DIV/0!</v>
      </c>
      <c r="F41" s="1258" t="e">
        <f>IF(OR(E41&gt;=0.2,E41&lt;=-0.2),"超过20%","")</f>
        <v>#DIV/0!</v>
      </c>
      <c r="G41" s="1257" t="e">
        <f>IF(G36&lt;I36,I36/G36-1,G36/I36-1)</f>
        <v>#DIV/0!</v>
      </c>
      <c r="H41" s="1258" t="e">
        <f>IF(OR(G41&gt;=0.2,G41&lt;=-0.2),"超过20%","")</f>
        <v>#DIV/0!</v>
      </c>
      <c r="I41" s="1257" t="e">
        <f>IF(I36&lt;E36,E36/I36-1,I36/E36-1)</f>
        <v>#DIV/0!</v>
      </c>
      <c r="J41" s="1258" t="e">
        <f>IF(OR(I41&gt;=0.2,I41&lt;=-0.2),"超过20%","")</f>
        <v>#DIV/0!</v>
      </c>
      <c r="K41" s="1342"/>
      <c r="L41" s="1343"/>
      <c r="M41" s="1254"/>
      <c r="N41" s="1254"/>
      <c r="O41" s="1254"/>
      <c r="P41" s="1254"/>
      <c r="Q41" s="1254"/>
      <c r="R41" s="1254"/>
      <c r="S41" s="1254"/>
      <c r="T41" s="1254"/>
      <c r="U41" s="1254"/>
      <c r="V41" s="1254"/>
      <c r="W41" s="1254"/>
      <c r="X41" s="1254"/>
      <c r="Y41" s="1254"/>
      <c r="Z41" s="1254"/>
      <c r="AA41" s="1254"/>
      <c r="AB41" s="1254"/>
      <c r="AC41" s="1254"/>
      <c r="AD41" s="1254"/>
    </row>
    <row r="42" s="1130" customFormat="1" ht="13.5" customHeight="1" spans="1:30">
      <c r="A42" s="1259"/>
      <c r="B42" s="1259"/>
      <c r="C42" s="1256" t="s">
        <v>1080</v>
      </c>
      <c r="D42" s="755"/>
      <c r="E42" s="1257" t="e">
        <f>IF(E35&lt;G35,G35/E35-1,E35/G35-1)</f>
        <v>#DIV/0!</v>
      </c>
      <c r="F42" s="1258" t="e">
        <f>IF(OR(E42&gt;=0.3,E42&lt;=-0.3),"超过30%","")</f>
        <v>#DIV/0!</v>
      </c>
      <c r="G42" s="1257" t="e">
        <f>IF(G35&lt;I35,I35/G35-1,G35/I35-1)</f>
        <v>#DIV/0!</v>
      </c>
      <c r="H42" s="1258" t="e">
        <f>IF(OR(G42&gt;=0.3,G42&lt;=-0.3),"超过30%","")</f>
        <v>#DIV/0!</v>
      </c>
      <c r="I42" s="1257" t="e">
        <f>IF(I35&lt;E35,E35/I35-1,I35/E35-1)</f>
        <v>#DIV/0!</v>
      </c>
      <c r="J42" s="1258" t="e">
        <f>IF(OR(I42&gt;=0.3,I42&lt;=-0.3),"超过30%","")</f>
        <v>#DIV/0!</v>
      </c>
      <c r="K42" s="1344"/>
      <c r="L42" s="1345"/>
      <c r="M42" s="1259"/>
      <c r="N42" s="1259"/>
      <c r="O42" s="1259"/>
      <c r="P42" s="1259"/>
      <c r="Q42" s="1259"/>
      <c r="R42" s="1259"/>
      <c r="S42" s="1259"/>
      <c r="T42" s="1259"/>
      <c r="U42" s="1259"/>
      <c r="V42" s="1259"/>
      <c r="W42" s="1259"/>
      <c r="X42" s="1259"/>
      <c r="Y42" s="1259"/>
      <c r="Z42" s="1259"/>
      <c r="AA42" s="1259"/>
      <c r="AB42" s="1259"/>
      <c r="AC42" s="1259"/>
      <c r="AD42" s="1259"/>
    </row>
    <row r="43" s="1130" customFormat="1" spans="1:30">
      <c r="A43" s="1259"/>
      <c r="B43" s="1260"/>
      <c r="C43" s="1599"/>
      <c r="D43" s="1259"/>
      <c r="E43" s="1259"/>
      <c r="F43" s="1259"/>
      <c r="G43" s="1259"/>
      <c r="H43" s="1259"/>
      <c r="I43" s="1259"/>
      <c r="J43" s="1259"/>
      <c r="K43" s="1344"/>
      <c r="L43" s="1345"/>
      <c r="M43" s="1259"/>
      <c r="N43" s="1259"/>
      <c r="O43" s="1259"/>
      <c r="P43" s="1259"/>
      <c r="Q43" s="1259"/>
      <c r="R43" s="1259"/>
      <c r="S43" s="1259"/>
      <c r="T43" s="1259"/>
      <c r="U43" s="1259"/>
      <c r="V43" s="1259"/>
      <c r="W43" s="1259"/>
      <c r="X43" s="1259"/>
      <c r="Y43" s="1259"/>
      <c r="Z43" s="1259"/>
      <c r="AA43" s="1259"/>
      <c r="AB43" s="1259"/>
      <c r="AC43" s="1259"/>
      <c r="AD43" s="1259"/>
    </row>
    <row r="44" spans="1:30">
      <c r="A44" s="1254"/>
      <c r="B44" s="1260"/>
      <c r="C44" s="1599"/>
      <c r="D44" s="1254"/>
      <c r="E44" s="1254"/>
      <c r="F44" s="1254"/>
      <c r="G44" s="1254"/>
      <c r="H44" s="1254"/>
      <c r="I44" s="1254"/>
      <c r="J44" s="1254"/>
      <c r="K44" s="1342"/>
      <c r="L44" s="1343"/>
      <c r="M44" s="1254"/>
      <c r="N44" s="1254"/>
      <c r="O44" s="1254"/>
      <c r="P44" s="1254"/>
      <c r="Q44" s="1254"/>
      <c r="R44" s="1254"/>
      <c r="S44" s="1254"/>
      <c r="T44" s="1254"/>
      <c r="U44" s="1254"/>
      <c r="V44" s="1254"/>
      <c r="W44" s="1254"/>
      <c r="X44" s="1254"/>
      <c r="Y44" s="1254"/>
      <c r="Z44" s="1254"/>
      <c r="AA44" s="1254"/>
      <c r="AB44" s="1254"/>
      <c r="AC44" s="1254"/>
      <c r="AD44" s="1254"/>
    </row>
    <row r="45" ht="21.75" spans="1:30">
      <c r="A45" s="1294" t="s">
        <v>1081</v>
      </c>
      <c r="B45" s="1295"/>
      <c r="C45" s="1296"/>
      <c r="D45" s="1296"/>
      <c r="E45" s="1296"/>
      <c r="F45" s="1297"/>
      <c r="G45" s="1297"/>
      <c r="H45" s="1296"/>
      <c r="I45" s="1296"/>
      <c r="J45" s="1296"/>
      <c r="K45" s="1352"/>
      <c r="L45" s="1353"/>
      <c r="M45" s="1296"/>
      <c r="N45" s="1355"/>
      <c r="O45" s="1355"/>
      <c r="P45" s="1355"/>
      <c r="Q45" s="1380"/>
      <c r="R45" s="1254"/>
      <c r="S45" s="1254"/>
      <c r="T45" s="1254"/>
      <c r="U45" s="1254"/>
      <c r="V45" s="1254"/>
      <c r="W45" s="1254"/>
      <c r="X45" s="1254"/>
      <c r="Y45" s="1254"/>
      <c r="Z45" s="1254"/>
      <c r="AA45" s="1254"/>
      <c r="AB45" s="1254"/>
      <c r="AC45" s="1254"/>
      <c r="AD45" s="1254"/>
    </row>
    <row r="46" s="1132" customFormat="1" spans="1:30">
      <c r="A46" s="1600" t="s">
        <v>1029</v>
      </c>
      <c r="B46" s="1601"/>
      <c r="C46" s="1602" t="str">
        <f>YEAR(C7)&amp;"-"&amp;MONTH(C7)</f>
        <v>2025-7</v>
      </c>
      <c r="D46" s="1603">
        <f>EDATE(C46,-1)</f>
        <v>45809</v>
      </c>
      <c r="E46" s="1603">
        <f t="shared" ref="E46:O46" si="16">EDATE(D46,-1)</f>
        <v>45778</v>
      </c>
      <c r="F46" s="1603">
        <f t="shared" si="16"/>
        <v>45748</v>
      </c>
      <c r="G46" s="1603">
        <f t="shared" si="16"/>
        <v>45717</v>
      </c>
      <c r="H46" s="1603">
        <f t="shared" si="16"/>
        <v>45689</v>
      </c>
      <c r="I46" s="1603">
        <f t="shared" si="16"/>
        <v>45658</v>
      </c>
      <c r="J46" s="1603">
        <f t="shared" si="16"/>
        <v>45627</v>
      </c>
      <c r="K46" s="1603">
        <f t="shared" si="16"/>
        <v>45597</v>
      </c>
      <c r="L46" s="1603">
        <f t="shared" si="16"/>
        <v>45566</v>
      </c>
      <c r="M46" s="1603">
        <f t="shared" si="16"/>
        <v>45536</v>
      </c>
      <c r="N46" s="1603">
        <f t="shared" si="16"/>
        <v>45505</v>
      </c>
      <c r="O46" s="1603">
        <f t="shared" si="16"/>
        <v>45474</v>
      </c>
      <c r="P46" s="1445"/>
      <c r="Q46" s="1501"/>
      <c r="R46" s="1501"/>
      <c r="S46" s="1501"/>
      <c r="T46" s="1501"/>
      <c r="U46" s="1501"/>
      <c r="V46" s="1501"/>
      <c r="W46" s="1501"/>
      <c r="X46" s="1501"/>
      <c r="Y46" s="1501"/>
      <c r="Z46" s="1501"/>
      <c r="AA46" s="1501"/>
      <c r="AB46" s="1501"/>
      <c r="AC46" s="1501"/>
      <c r="AD46" s="1501"/>
    </row>
    <row r="47" s="1127" customFormat="1" spans="1:30">
      <c r="A47" s="1604"/>
      <c r="B47" s="1402"/>
      <c r="C47" s="1605">
        <v>100</v>
      </c>
      <c r="D47" s="1406"/>
      <c r="E47" s="1406"/>
      <c r="F47" s="1406"/>
      <c r="G47" s="1406"/>
      <c r="H47" s="1406"/>
      <c r="I47" s="1406"/>
      <c r="J47" s="1406"/>
      <c r="K47" s="1406"/>
      <c r="L47" s="1406"/>
      <c r="M47" s="1612"/>
      <c r="N47" s="1406"/>
      <c r="O47" s="1454"/>
      <c r="P47" s="1380"/>
      <c r="Q47" s="1502"/>
      <c r="R47" s="1502"/>
      <c r="S47" s="1502"/>
      <c r="T47" s="1502"/>
      <c r="U47" s="1502"/>
      <c r="V47" s="1502"/>
      <c r="W47" s="1502"/>
      <c r="X47" s="1502"/>
      <c r="Y47" s="1502"/>
      <c r="Z47" s="1502"/>
      <c r="AA47" s="1502"/>
      <c r="AB47" s="1502"/>
      <c r="AC47" s="1502"/>
      <c r="AD47" s="1502"/>
    </row>
    <row r="48" s="1127" customFormat="1" ht="14.75" spans="1:30">
      <c r="A48" s="1397" t="s">
        <v>1082</v>
      </c>
      <c r="B48" s="1398"/>
      <c r="C48" s="1399"/>
      <c r="D48" s="1400"/>
      <c r="E48" s="1400"/>
      <c r="F48" s="1400"/>
      <c r="G48" s="1400"/>
      <c r="H48" s="1400"/>
      <c r="I48" s="1400"/>
      <c r="J48" s="1400"/>
      <c r="K48" s="1400"/>
      <c r="L48" s="1400"/>
      <c r="M48" s="1448"/>
      <c r="N48" s="1400"/>
      <c r="O48" s="1449"/>
      <c r="P48" s="1380"/>
      <c r="Q48" s="1380"/>
      <c r="R48" s="1502"/>
      <c r="S48" s="1502"/>
      <c r="T48" s="1502"/>
      <c r="U48" s="1502"/>
      <c r="V48" s="1502"/>
      <c r="W48" s="1502"/>
      <c r="X48" s="1502"/>
      <c r="Y48" s="1502"/>
      <c r="Z48" s="1502"/>
      <c r="AA48" s="1502"/>
      <c r="AB48" s="1502"/>
      <c r="AC48" s="1502"/>
      <c r="AD48" s="1502"/>
    </row>
    <row r="49" s="1127" customFormat="1" spans="1:30">
      <c r="A49" s="1401" t="s">
        <v>1032</v>
      </c>
      <c r="B49" s="1402"/>
      <c r="C49" s="1403" t="s">
        <v>1083</v>
      </c>
      <c r="D49" s="1404"/>
      <c r="E49" s="1404"/>
      <c r="F49" s="1404"/>
      <c r="G49" s="1404"/>
      <c r="H49" s="1404"/>
      <c r="I49" s="1404"/>
      <c r="J49" s="1404"/>
      <c r="K49" s="1404"/>
      <c r="L49" s="1450"/>
      <c r="M49" s="1451"/>
      <c r="N49" s="1452"/>
      <c r="O49" s="1452"/>
      <c r="P49" s="1453"/>
      <c r="Q49" s="1380"/>
      <c r="R49" s="1502"/>
      <c r="S49" s="1502"/>
      <c r="T49" s="1502"/>
      <c r="U49" s="1502"/>
      <c r="V49" s="1502"/>
      <c r="W49" s="1502"/>
      <c r="X49" s="1502"/>
      <c r="Y49" s="1502"/>
      <c r="Z49" s="1502"/>
      <c r="AA49" s="1502"/>
      <c r="AB49" s="1502"/>
      <c r="AC49" s="1502"/>
      <c r="AD49" s="1502"/>
    </row>
    <row r="50" s="1127" customFormat="1" ht="14.75" spans="1:30">
      <c r="A50" s="1401"/>
      <c r="B50" s="1402"/>
      <c r="C50" s="1405">
        <v>100</v>
      </c>
      <c r="D50" s="1406"/>
      <c r="E50" s="1406"/>
      <c r="F50" s="1406"/>
      <c r="G50" s="1406"/>
      <c r="H50" s="1406"/>
      <c r="I50" s="1406"/>
      <c r="J50" s="1406"/>
      <c r="K50" s="1406"/>
      <c r="L50" s="1406"/>
      <c r="M50" s="1454"/>
      <c r="N50" s="1452"/>
      <c r="O50" s="1452"/>
      <c r="P50" s="1380"/>
      <c r="Q50" s="1380"/>
      <c r="R50" s="1502"/>
      <c r="S50" s="1502"/>
      <c r="T50" s="1502"/>
      <c r="U50" s="1502"/>
      <c r="V50" s="1502"/>
      <c r="W50" s="1502"/>
      <c r="X50" s="1502"/>
      <c r="Y50" s="1502"/>
      <c r="Z50" s="1502"/>
      <c r="AA50" s="1502"/>
      <c r="AB50" s="1502"/>
      <c r="AC50" s="1502"/>
      <c r="AD50" s="1502"/>
    </row>
    <row r="51" spans="1:30">
      <c r="A51" s="1407" t="s">
        <v>1084</v>
      </c>
      <c r="B51" s="1408" t="s">
        <v>1036</v>
      </c>
      <c r="C51" s="1430">
        <f>C9</f>
        <v>0</v>
      </c>
      <c r="D51" s="1335"/>
      <c r="E51" s="1335"/>
      <c r="F51" s="1335"/>
      <c r="G51" s="1335"/>
      <c r="H51" s="1335"/>
      <c r="I51" s="1335"/>
      <c r="J51" s="1335"/>
      <c r="K51" s="1455"/>
      <c r="L51" s="1456"/>
      <c r="M51" s="1457"/>
      <c r="N51" s="1458"/>
      <c r="O51" s="1458"/>
      <c r="P51" s="1459"/>
      <c r="Q51" s="1380"/>
      <c r="R51" s="1254"/>
      <c r="S51" s="1254"/>
      <c r="T51" s="1254"/>
      <c r="U51" s="1254"/>
      <c r="V51" s="1254"/>
      <c r="W51" s="1254"/>
      <c r="X51" s="1254"/>
      <c r="Y51" s="1254"/>
      <c r="Z51" s="1254"/>
      <c r="AA51" s="1254"/>
      <c r="AB51" s="1254"/>
      <c r="AC51" s="1254"/>
      <c r="AD51" s="1254"/>
    </row>
    <row r="52" ht="14.75" spans="1:30">
      <c r="A52" s="1409"/>
      <c r="B52" s="1410"/>
      <c r="C52" s="1411">
        <v>100</v>
      </c>
      <c r="D52" s="1411"/>
      <c r="E52" s="1411"/>
      <c r="F52" s="1411"/>
      <c r="G52" s="1411"/>
      <c r="H52" s="1411"/>
      <c r="I52" s="1411"/>
      <c r="J52" s="1411"/>
      <c r="K52" s="1411"/>
      <c r="L52" s="1411"/>
      <c r="M52" s="1460"/>
      <c r="N52" s="1461"/>
      <c r="O52" s="1461"/>
      <c r="P52" s="1459"/>
      <c r="Q52" s="1380"/>
      <c r="R52" s="1254"/>
      <c r="S52" s="1254"/>
      <c r="T52" s="1254"/>
      <c r="U52" s="1254"/>
      <c r="V52" s="1254"/>
      <c r="W52" s="1254"/>
      <c r="X52" s="1254"/>
      <c r="Y52" s="1254"/>
      <c r="Z52" s="1254"/>
      <c r="AA52" s="1254"/>
      <c r="AB52" s="1254"/>
      <c r="AC52" s="1254"/>
      <c r="AD52" s="1254"/>
    </row>
    <row r="53" ht="28.75" spans="1:30">
      <c r="A53" s="1409"/>
      <c r="B53" s="1412" t="s">
        <v>1039</v>
      </c>
      <c r="C53" s="1437"/>
      <c r="D53" s="1437"/>
      <c r="E53" s="1437"/>
      <c r="F53" s="1437"/>
      <c r="G53" s="1437"/>
      <c r="H53" s="1437"/>
      <c r="I53" s="1437"/>
      <c r="J53" s="1437"/>
      <c r="K53" s="1488"/>
      <c r="L53" s="1489"/>
      <c r="M53" s="1490"/>
      <c r="N53" s="1458"/>
      <c r="O53" s="1458"/>
      <c r="P53" s="1459"/>
      <c r="Q53" s="1380"/>
      <c r="R53" s="1254"/>
      <c r="S53" s="1254"/>
      <c r="T53" s="1254"/>
      <c r="U53" s="1254"/>
      <c r="V53" s="1254"/>
      <c r="W53" s="1254"/>
      <c r="X53" s="1254"/>
      <c r="Y53" s="1254"/>
      <c r="Z53" s="1254"/>
      <c r="AA53" s="1254"/>
      <c r="AB53" s="1254"/>
      <c r="AC53" s="1254"/>
      <c r="AD53" s="1254"/>
    </row>
    <row r="54" ht="14.75" spans="1:30">
      <c r="A54" s="1409"/>
      <c r="B54" s="1414"/>
      <c r="C54" s="1411"/>
      <c r="D54" s="1411"/>
      <c r="E54" s="1411"/>
      <c r="F54" s="1411"/>
      <c r="G54" s="1411"/>
      <c r="H54" s="1411"/>
      <c r="I54" s="1411"/>
      <c r="J54" s="1411"/>
      <c r="K54" s="1411"/>
      <c r="L54" s="1411"/>
      <c r="M54" s="1460"/>
      <c r="N54" s="1461"/>
      <c r="O54" s="1461"/>
      <c r="P54" s="1459"/>
      <c r="Q54" s="1380"/>
      <c r="R54" s="1254"/>
      <c r="S54" s="1254"/>
      <c r="T54" s="1254"/>
      <c r="U54" s="1254"/>
      <c r="V54" s="1254"/>
      <c r="W54" s="1254"/>
      <c r="X54" s="1254"/>
      <c r="Y54" s="1254"/>
      <c r="Z54" s="1254"/>
      <c r="AA54" s="1254"/>
      <c r="AB54" s="1254"/>
      <c r="AC54" s="1254"/>
      <c r="AD54" s="1254"/>
    </row>
    <row r="55" ht="14.75" spans="1:30">
      <c r="A55" s="1409"/>
      <c r="B55" s="1436">
        <f>B11</f>
        <v>111</v>
      </c>
      <c r="C55" s="1187"/>
      <c r="D55" s="1187"/>
      <c r="E55" s="1187"/>
      <c r="F55" s="1187"/>
      <c r="G55" s="1187"/>
      <c r="H55" s="1187"/>
      <c r="I55" s="1187"/>
      <c r="J55" s="1187"/>
      <c r="K55" s="1466"/>
      <c r="L55" s="1467"/>
      <c r="M55" s="1468"/>
      <c r="N55" s="1458"/>
      <c r="O55" s="1458"/>
      <c r="P55" s="1459"/>
      <c r="Q55" s="1380"/>
      <c r="R55" s="1254"/>
      <c r="S55" s="1254"/>
      <c r="T55" s="1254"/>
      <c r="U55" s="1254"/>
      <c r="V55" s="1254"/>
      <c r="W55" s="1254"/>
      <c r="X55" s="1254"/>
      <c r="Y55" s="1254"/>
      <c r="Z55" s="1254"/>
      <c r="AA55" s="1254"/>
      <c r="AB55" s="1254"/>
      <c r="AC55" s="1254"/>
      <c r="AD55" s="1254"/>
    </row>
    <row r="56" ht="14.75" spans="1:30">
      <c r="A56" s="1409"/>
      <c r="B56" s="1410"/>
      <c r="C56" s="1422"/>
      <c r="D56" s="1411"/>
      <c r="E56" s="1411"/>
      <c r="F56" s="1411"/>
      <c r="G56" s="1411"/>
      <c r="H56" s="1411"/>
      <c r="I56" s="1411"/>
      <c r="J56" s="1411"/>
      <c r="K56" s="1411"/>
      <c r="L56" s="1411"/>
      <c r="M56" s="1460"/>
      <c r="N56" s="1461"/>
      <c r="O56" s="1461"/>
      <c r="P56" s="1459"/>
      <c r="Q56" s="1380"/>
      <c r="R56" s="1254"/>
      <c r="S56" s="1254"/>
      <c r="T56" s="1254"/>
      <c r="U56" s="1254"/>
      <c r="V56" s="1254"/>
      <c r="W56" s="1254"/>
      <c r="X56" s="1254"/>
      <c r="Y56" s="1254"/>
      <c r="Z56" s="1254"/>
      <c r="AA56" s="1254"/>
      <c r="AB56" s="1254"/>
      <c r="AC56" s="1254"/>
      <c r="AD56" s="1254"/>
    </row>
    <row r="57" s="1129" customFormat="1" ht="14.75" spans="1:30">
      <c r="A57" s="1419"/>
      <c r="B57" s="1412">
        <f>B12</f>
        <v>111</v>
      </c>
      <c r="C57" s="1187"/>
      <c r="D57" s="1187"/>
      <c r="E57" s="1187"/>
      <c r="F57" s="1187"/>
      <c r="G57" s="1420"/>
      <c r="H57" s="1421"/>
      <c r="I57" s="1421"/>
      <c r="J57" s="1421"/>
      <c r="K57" s="1421"/>
      <c r="L57" s="1469"/>
      <c r="M57" s="1470"/>
      <c r="N57" s="1471"/>
      <c r="O57" s="1471"/>
      <c r="P57" s="1472"/>
      <c r="Q57" s="1503"/>
      <c r="R57" s="1504"/>
      <c r="S57" s="1504"/>
      <c r="T57" s="1504"/>
      <c r="U57" s="1504"/>
      <c r="V57" s="1504"/>
      <c r="W57" s="1504"/>
      <c r="X57" s="1504"/>
      <c r="Y57" s="1504"/>
      <c r="Z57" s="1504"/>
      <c r="AA57" s="1504"/>
      <c r="AB57" s="1504"/>
      <c r="AC57" s="1504"/>
      <c r="AD57" s="1504"/>
    </row>
    <row r="58" s="1129" customFormat="1" ht="14.75" spans="1:30">
      <c r="A58" s="1419"/>
      <c r="B58" s="1414"/>
      <c r="C58" s="1422"/>
      <c r="D58" s="1411"/>
      <c r="E58" s="1411"/>
      <c r="F58" s="1411"/>
      <c r="G58" s="1411"/>
      <c r="H58" s="1411"/>
      <c r="I58" s="1411"/>
      <c r="J58" s="1411"/>
      <c r="K58" s="1411"/>
      <c r="L58" s="1411"/>
      <c r="M58" s="1460"/>
      <c r="N58" s="1461"/>
      <c r="O58" s="1461"/>
      <c r="P58" s="1472"/>
      <c r="Q58" s="1503"/>
      <c r="R58" s="1504"/>
      <c r="S58" s="1504"/>
      <c r="T58" s="1504"/>
      <c r="U58" s="1504"/>
      <c r="V58" s="1504"/>
      <c r="W58" s="1504"/>
      <c r="X58" s="1504"/>
      <c r="Y58" s="1504"/>
      <c r="Z58" s="1504"/>
      <c r="AA58" s="1504"/>
      <c r="AB58" s="1504"/>
      <c r="AC58" s="1504"/>
      <c r="AD58" s="1504"/>
    </row>
    <row r="59" s="1129" customFormat="1" ht="14.75" spans="1:30">
      <c r="A59" s="1419"/>
      <c r="B59" s="1412">
        <f>B13</f>
        <v>111</v>
      </c>
      <c r="C59" s="1187"/>
      <c r="D59" s="1187"/>
      <c r="E59" s="1187"/>
      <c r="F59" s="1187"/>
      <c r="G59" s="1420"/>
      <c r="H59" s="1421"/>
      <c r="I59" s="1421"/>
      <c r="J59" s="1421"/>
      <c r="K59" s="1421"/>
      <c r="L59" s="1469"/>
      <c r="M59" s="1470"/>
      <c r="N59" s="1471"/>
      <c r="O59" s="1471"/>
      <c r="P59" s="1332"/>
      <c r="Q59" s="1505"/>
      <c r="R59" s="1504"/>
      <c r="S59" s="1504"/>
      <c r="T59" s="1504"/>
      <c r="U59" s="1504"/>
      <c r="V59" s="1504"/>
      <c r="W59" s="1504"/>
      <c r="X59" s="1504"/>
      <c r="Y59" s="1504"/>
      <c r="Z59" s="1504"/>
      <c r="AA59" s="1504"/>
      <c r="AB59" s="1504"/>
      <c r="AC59" s="1504"/>
      <c r="AD59" s="1504"/>
    </row>
    <row r="60" s="1129" customFormat="1" ht="14.75" spans="1:30">
      <c r="A60" s="1419"/>
      <c r="B60" s="1414"/>
      <c r="C60" s="1422"/>
      <c r="D60" s="1422"/>
      <c r="E60" s="1422"/>
      <c r="F60" s="1422"/>
      <c r="G60" s="1422"/>
      <c r="H60" s="1423"/>
      <c r="I60" s="1423"/>
      <c r="J60" s="1423"/>
      <c r="K60" s="1423"/>
      <c r="L60" s="1423"/>
      <c r="M60" s="1473"/>
      <c r="N60" s="1471"/>
      <c r="O60" s="1471"/>
      <c r="P60" s="1472"/>
      <c r="Q60" s="1503"/>
      <c r="R60" s="1504"/>
      <c r="S60" s="1504"/>
      <c r="T60" s="1504"/>
      <c r="U60" s="1504"/>
      <c r="V60" s="1504"/>
      <c r="W60" s="1504"/>
      <c r="X60" s="1504"/>
      <c r="Y60" s="1504"/>
      <c r="Z60" s="1504"/>
      <c r="AA60" s="1504"/>
      <c r="AB60" s="1504"/>
      <c r="AC60" s="1504"/>
      <c r="AD60" s="1504"/>
    </row>
    <row r="61" ht="14.75" spans="1:30">
      <c r="A61" s="1407" t="s">
        <v>1043</v>
      </c>
      <c r="B61" s="1408" t="s">
        <v>1048</v>
      </c>
      <c r="C61" s="1429" t="s">
        <v>1087</v>
      </c>
      <c r="D61" s="1429" t="s">
        <v>1088</v>
      </c>
      <c r="E61" s="1429" t="s">
        <v>1089</v>
      </c>
      <c r="F61" s="1429" t="s">
        <v>1090</v>
      </c>
      <c r="G61" s="1429" t="s">
        <v>1091</v>
      </c>
      <c r="H61" s="1430"/>
      <c r="I61" s="1430"/>
      <c r="J61" s="1430"/>
      <c r="K61" s="1478"/>
      <c r="L61" s="1479"/>
      <c r="M61" s="1480"/>
      <c r="N61" s="1458"/>
      <c r="O61" s="1458"/>
      <c r="P61" s="1481"/>
      <c r="Q61" s="1380"/>
      <c r="R61" s="1254"/>
      <c r="S61" s="1254"/>
      <c r="T61" s="1254"/>
      <c r="U61" s="1254"/>
      <c r="V61" s="1254"/>
      <c r="W61" s="1254"/>
      <c r="X61" s="1254"/>
      <c r="Y61" s="1254"/>
      <c r="Z61" s="1254"/>
      <c r="AA61" s="1254"/>
      <c r="AB61" s="1254"/>
      <c r="AC61" s="1254"/>
      <c r="AD61" s="1254"/>
    </row>
    <row r="62" ht="14.75" spans="1:30">
      <c r="A62" s="1409"/>
      <c r="B62" s="1414"/>
      <c r="C62" s="1415">
        <v>100</v>
      </c>
      <c r="D62" s="1415">
        <f>C62-$K14</f>
        <v>100</v>
      </c>
      <c r="E62" s="1415">
        <f>D62-$K14</f>
        <v>100</v>
      </c>
      <c r="F62" s="1415">
        <f>E62-$K14</f>
        <v>100</v>
      </c>
      <c r="G62" s="1415">
        <f>F62-$K14</f>
        <v>100</v>
      </c>
      <c r="H62" s="1415"/>
      <c r="I62" s="1415"/>
      <c r="J62" s="1415"/>
      <c r="K62" s="1415"/>
      <c r="L62" s="1415"/>
      <c r="M62" s="1465"/>
      <c r="N62" s="1461"/>
      <c r="O62" s="1461"/>
      <c r="P62" s="1459"/>
      <c r="Q62" s="1380"/>
      <c r="R62" s="1254"/>
      <c r="S62" s="1254"/>
      <c r="T62" s="1254"/>
      <c r="U62" s="1254"/>
      <c r="V62" s="1254"/>
      <c r="W62" s="1254"/>
      <c r="X62" s="1254"/>
      <c r="Y62" s="1254"/>
      <c r="Z62" s="1254"/>
      <c r="AA62" s="1254"/>
      <c r="AB62" s="1254"/>
      <c r="AC62" s="1254"/>
      <c r="AD62" s="1254"/>
    </row>
    <row r="63" ht="28.75" spans="1:30">
      <c r="A63" s="1409"/>
      <c r="B63" s="1412" t="s">
        <v>1643</v>
      </c>
      <c r="C63" s="1431" t="s">
        <v>1087</v>
      </c>
      <c r="D63" s="1431" t="s">
        <v>1088</v>
      </c>
      <c r="E63" s="1431" t="s">
        <v>1089</v>
      </c>
      <c r="F63" s="1431" t="s">
        <v>1090</v>
      </c>
      <c r="G63" s="1431" t="s">
        <v>1091</v>
      </c>
      <c r="H63" s="1413"/>
      <c r="I63" s="1413"/>
      <c r="J63" s="1413"/>
      <c r="K63" s="1462"/>
      <c r="L63" s="1463"/>
      <c r="M63" s="1464"/>
      <c r="N63" s="1458"/>
      <c r="O63" s="1458"/>
      <c r="P63" s="1459"/>
      <c r="Q63" s="1380"/>
      <c r="R63" s="1254"/>
      <c r="S63" s="1254"/>
      <c r="T63" s="1254"/>
      <c r="U63" s="1254"/>
      <c r="V63" s="1254"/>
      <c r="W63" s="1254"/>
      <c r="X63" s="1254"/>
      <c r="Y63" s="1254"/>
      <c r="Z63" s="1254"/>
      <c r="AA63" s="1254"/>
      <c r="AB63" s="1254"/>
      <c r="AC63" s="1254"/>
      <c r="AD63" s="1254"/>
    </row>
    <row r="64" ht="14.75" spans="1:30">
      <c r="A64" s="1409"/>
      <c r="B64" s="1414"/>
      <c r="C64" s="1415">
        <v>100</v>
      </c>
      <c r="D64" s="1415">
        <f>C64-$K16</f>
        <v>100</v>
      </c>
      <c r="E64" s="1415">
        <f>D64-$K16</f>
        <v>100</v>
      </c>
      <c r="F64" s="1415">
        <f>E64-$K16</f>
        <v>100</v>
      </c>
      <c r="G64" s="1415">
        <f>F64-$K16</f>
        <v>100</v>
      </c>
      <c r="H64" s="1415"/>
      <c r="I64" s="1415"/>
      <c r="J64" s="1415"/>
      <c r="K64" s="1415"/>
      <c r="L64" s="1415"/>
      <c r="M64" s="1465"/>
      <c r="N64" s="1461"/>
      <c r="O64" s="1461"/>
      <c r="P64" s="1459"/>
      <c r="Q64" s="1380"/>
      <c r="R64" s="1254"/>
      <c r="S64" s="1254"/>
      <c r="T64" s="1254"/>
      <c r="U64" s="1254"/>
      <c r="V64" s="1254"/>
      <c r="W64" s="1254"/>
      <c r="X64" s="1254"/>
      <c r="Y64" s="1254"/>
      <c r="Z64" s="1254"/>
      <c r="AA64" s="1254"/>
      <c r="AB64" s="1254"/>
      <c r="AC64" s="1254"/>
      <c r="AD64" s="1254"/>
    </row>
    <row r="65" ht="14.75" spans="1:30">
      <c r="A65" s="1409"/>
      <c r="B65" s="1416" t="s">
        <v>1050</v>
      </c>
      <c r="C65" s="1436" t="s">
        <v>1092</v>
      </c>
      <c r="D65" s="1436" t="s">
        <v>1093</v>
      </c>
      <c r="E65" s="1436" t="s">
        <v>1094</v>
      </c>
      <c r="F65" s="1436" t="s">
        <v>1095</v>
      </c>
      <c r="G65" s="1436" t="s">
        <v>1096</v>
      </c>
      <c r="H65" s="1413"/>
      <c r="I65" s="1413"/>
      <c r="J65" s="1413"/>
      <c r="K65" s="1413"/>
      <c r="L65" s="1413"/>
      <c r="M65" s="1618"/>
      <c r="N65" s="1461"/>
      <c r="O65" s="1461"/>
      <c r="P65" s="1459"/>
      <c r="Q65" s="1380"/>
      <c r="R65" s="1254"/>
      <c r="S65" s="1254"/>
      <c r="T65" s="1254"/>
      <c r="U65" s="1254"/>
      <c r="V65" s="1254"/>
      <c r="W65" s="1254"/>
      <c r="X65" s="1254"/>
      <c r="Y65" s="1254"/>
      <c r="Z65" s="1254"/>
      <c r="AA65" s="1254"/>
      <c r="AB65" s="1254"/>
      <c r="AC65" s="1254"/>
      <c r="AD65" s="1254"/>
    </row>
    <row r="66" ht="14.75" spans="1:30">
      <c r="A66" s="1409"/>
      <c r="B66" s="1416"/>
      <c r="C66" s="1415">
        <v>100</v>
      </c>
      <c r="D66" s="1415">
        <f>C66-$K18</f>
        <v>100</v>
      </c>
      <c r="E66" s="1415">
        <f>D66-$K18</f>
        <v>100</v>
      </c>
      <c r="F66" s="1415">
        <f>E66-$K18</f>
        <v>100</v>
      </c>
      <c r="G66" s="1415">
        <f>F66-$K18</f>
        <v>100</v>
      </c>
      <c r="H66" s="1436"/>
      <c r="I66" s="1436"/>
      <c r="J66" s="1436"/>
      <c r="K66" s="1436"/>
      <c r="L66" s="1436"/>
      <c r="M66" s="1203"/>
      <c r="N66" s="1461"/>
      <c r="O66" s="1461"/>
      <c r="P66" s="1459"/>
      <c r="Q66" s="1380"/>
      <c r="R66" s="1254"/>
      <c r="S66" s="1254"/>
      <c r="T66" s="1254"/>
      <c r="U66" s="1254"/>
      <c r="V66" s="1254"/>
      <c r="W66" s="1254"/>
      <c r="X66" s="1254"/>
      <c r="Y66" s="1254"/>
      <c r="Z66" s="1254"/>
      <c r="AA66" s="1254"/>
      <c r="AB66" s="1254"/>
      <c r="AC66" s="1254"/>
      <c r="AD66" s="1254"/>
    </row>
    <row r="67" ht="14.75" spans="1:30">
      <c r="A67" s="1409"/>
      <c r="B67" s="1412" t="s">
        <v>1051</v>
      </c>
      <c r="C67" s="1431" t="s">
        <v>1087</v>
      </c>
      <c r="D67" s="1431" t="s">
        <v>1088</v>
      </c>
      <c r="E67" s="1431" t="s">
        <v>1089</v>
      </c>
      <c r="F67" s="1431" t="s">
        <v>1090</v>
      </c>
      <c r="G67" s="1431" t="s">
        <v>1091</v>
      </c>
      <c r="H67" s="1413"/>
      <c r="I67" s="1413"/>
      <c r="J67" s="1413"/>
      <c r="K67" s="1462"/>
      <c r="L67" s="1463"/>
      <c r="M67" s="1464"/>
      <c r="N67" s="1458"/>
      <c r="O67" s="1458"/>
      <c r="P67" s="1459"/>
      <c r="Q67" s="1380"/>
      <c r="R67" s="1254"/>
      <c r="S67" s="1254"/>
      <c r="T67" s="1254"/>
      <c r="U67" s="1254"/>
      <c r="V67" s="1254"/>
      <c r="W67" s="1254"/>
      <c r="X67" s="1254"/>
      <c r="Y67" s="1254"/>
      <c r="Z67" s="1254"/>
      <c r="AA67" s="1254"/>
      <c r="AB67" s="1254"/>
      <c r="AC67" s="1254"/>
      <c r="AD67" s="1254"/>
    </row>
    <row r="68" ht="14.75" spans="1:30">
      <c r="A68" s="1409"/>
      <c r="B68" s="1414"/>
      <c r="C68" s="1415">
        <v>100</v>
      </c>
      <c r="D68" s="1415">
        <f>C68-$K20</f>
        <v>100</v>
      </c>
      <c r="E68" s="1415">
        <f>D68-$K20</f>
        <v>100</v>
      </c>
      <c r="F68" s="1415">
        <f>E68-$K20</f>
        <v>100</v>
      </c>
      <c r="G68" s="1415">
        <f>F68-$K20</f>
        <v>100</v>
      </c>
      <c r="H68" s="1415"/>
      <c r="I68" s="1415"/>
      <c r="J68" s="1415"/>
      <c r="K68" s="1415"/>
      <c r="L68" s="1415"/>
      <c r="M68" s="1465"/>
      <c r="N68" s="1461"/>
      <c r="O68" s="1461"/>
      <c r="P68" s="1459"/>
      <c r="Q68" s="1380"/>
      <c r="R68" s="1254"/>
      <c r="S68" s="1254"/>
      <c r="T68" s="1254"/>
      <c r="U68" s="1254"/>
      <c r="V68" s="1254"/>
      <c r="W68" s="1254"/>
      <c r="X68" s="1254"/>
      <c r="Y68" s="1254"/>
      <c r="Z68" s="1254"/>
      <c r="AA68" s="1254"/>
      <c r="AB68" s="1254"/>
      <c r="AC68" s="1254"/>
      <c r="AD68" s="1254"/>
    </row>
    <row r="69" ht="14.75" spans="1:30">
      <c r="A69" s="1409"/>
      <c r="B69" s="1412" t="s">
        <v>1055</v>
      </c>
      <c r="C69" s="1420"/>
      <c r="D69" s="1420"/>
      <c r="E69" s="1420"/>
      <c r="F69" s="1420"/>
      <c r="G69" s="1420"/>
      <c r="H69" s="1437"/>
      <c r="I69" s="1437"/>
      <c r="J69" s="1437"/>
      <c r="K69" s="1488"/>
      <c r="L69" s="1489"/>
      <c r="M69" s="1490"/>
      <c r="N69" s="1458"/>
      <c r="O69" s="1458"/>
      <c r="P69" s="1459"/>
      <c r="Q69" s="1380"/>
      <c r="R69" s="1254"/>
      <c r="S69" s="1254"/>
      <c r="T69" s="1254"/>
      <c r="U69" s="1254"/>
      <c r="V69" s="1254"/>
      <c r="W69" s="1254"/>
      <c r="X69" s="1254"/>
      <c r="Y69" s="1254"/>
      <c r="Z69" s="1254"/>
      <c r="AA69" s="1254"/>
      <c r="AB69" s="1254"/>
      <c r="AC69" s="1254"/>
      <c r="AD69" s="1254"/>
    </row>
    <row r="70" ht="14.75" spans="1:30">
      <c r="A70" s="1409"/>
      <c r="B70" s="1414"/>
      <c r="C70" s="1415">
        <v>100</v>
      </c>
      <c r="D70" s="1415">
        <f>C70-$K22</f>
        <v>100</v>
      </c>
      <c r="E70" s="1415"/>
      <c r="F70" s="1415"/>
      <c r="G70" s="1415"/>
      <c r="H70" s="1415"/>
      <c r="I70" s="1415"/>
      <c r="J70" s="1415"/>
      <c r="K70" s="1415"/>
      <c r="L70" s="1415"/>
      <c r="M70" s="1465"/>
      <c r="N70" s="1461"/>
      <c r="O70" s="1461"/>
      <c r="P70" s="1459"/>
      <c r="Q70" s="1380"/>
      <c r="R70" s="1254"/>
      <c r="S70" s="1254"/>
      <c r="T70" s="1254"/>
      <c r="U70" s="1254"/>
      <c r="V70" s="1254"/>
      <c r="W70" s="1254"/>
      <c r="X70" s="1254"/>
      <c r="Y70" s="1254"/>
      <c r="Z70" s="1254"/>
      <c r="AA70" s="1254"/>
      <c r="AB70" s="1254"/>
      <c r="AC70" s="1254"/>
      <c r="AD70" s="1254"/>
    </row>
    <row r="71" s="1127" customFormat="1" ht="14.75" spans="1:30">
      <c r="A71" s="1432"/>
      <c r="B71" s="1412">
        <f>B23</f>
        <v>111</v>
      </c>
      <c r="C71" s="1187"/>
      <c r="D71" s="1187"/>
      <c r="E71" s="1187"/>
      <c r="F71" s="1187"/>
      <c r="G71" s="1420"/>
      <c r="H71" s="1420"/>
      <c r="I71" s="1420"/>
      <c r="J71" s="1420"/>
      <c r="K71" s="1420"/>
      <c r="L71" s="1619"/>
      <c r="M71" s="1620"/>
      <c r="N71" s="1452"/>
      <c r="O71" s="1452"/>
      <c r="P71" s="1459"/>
      <c r="Q71" s="1380"/>
      <c r="R71" s="1502"/>
      <c r="S71" s="1502"/>
      <c r="T71" s="1502"/>
      <c r="U71" s="1502"/>
      <c r="V71" s="1502"/>
      <c r="W71" s="1502"/>
      <c r="X71" s="1502"/>
      <c r="Y71" s="1502"/>
      <c r="Z71" s="1502"/>
      <c r="AA71" s="1502"/>
      <c r="AB71" s="1502"/>
      <c r="AC71" s="1502"/>
      <c r="AD71" s="1502"/>
    </row>
    <row r="72" s="1127" customFormat="1" ht="14.75" spans="1:30">
      <c r="A72" s="1432"/>
      <c r="B72" s="1414"/>
      <c r="C72" s="1422"/>
      <c r="D72" s="1411"/>
      <c r="E72" s="1411"/>
      <c r="F72" s="1411"/>
      <c r="G72" s="1411"/>
      <c r="H72" s="1411"/>
      <c r="I72" s="1411"/>
      <c r="J72" s="1411"/>
      <c r="K72" s="1411"/>
      <c r="L72" s="1411"/>
      <c r="M72" s="1460"/>
      <c r="N72" s="1461"/>
      <c r="O72" s="1461"/>
      <c r="P72" s="1459"/>
      <c r="Q72" s="1380"/>
      <c r="R72" s="1502"/>
      <c r="S72" s="1502"/>
      <c r="T72" s="1502"/>
      <c r="U72" s="1502"/>
      <c r="V72" s="1502"/>
      <c r="W72" s="1502"/>
      <c r="X72" s="1502"/>
      <c r="Y72" s="1502"/>
      <c r="Z72" s="1502"/>
      <c r="AA72" s="1502"/>
      <c r="AB72" s="1502"/>
      <c r="AC72" s="1502"/>
      <c r="AD72" s="1502"/>
    </row>
    <row r="73" s="1127" customFormat="1" ht="14.75" spans="1:30">
      <c r="A73" s="1432"/>
      <c r="B73" s="1412">
        <f>B24</f>
        <v>111</v>
      </c>
      <c r="C73" s="1187"/>
      <c r="D73" s="1187"/>
      <c r="E73" s="1187"/>
      <c r="F73" s="1187"/>
      <c r="G73" s="1420"/>
      <c r="H73" s="1420"/>
      <c r="I73" s="1420"/>
      <c r="J73" s="1420"/>
      <c r="K73" s="1420"/>
      <c r="L73" s="1420"/>
      <c r="M73" s="1620"/>
      <c r="N73" s="1452"/>
      <c r="O73" s="1452"/>
      <c r="P73" s="1459"/>
      <c r="Q73" s="1380"/>
      <c r="R73" s="1502"/>
      <c r="S73" s="1502"/>
      <c r="T73" s="1502"/>
      <c r="U73" s="1502"/>
      <c r="V73" s="1502"/>
      <c r="W73" s="1502"/>
      <c r="X73" s="1502"/>
      <c r="Y73" s="1502"/>
      <c r="Z73" s="1502"/>
      <c r="AA73" s="1502"/>
      <c r="AB73" s="1502"/>
      <c r="AC73" s="1502"/>
      <c r="AD73" s="1502"/>
    </row>
    <row r="74" s="1127" customFormat="1" ht="14.75" spans="1:30">
      <c r="A74" s="1432"/>
      <c r="B74" s="1414"/>
      <c r="C74" s="1422"/>
      <c r="D74" s="1411"/>
      <c r="E74" s="1411"/>
      <c r="F74" s="1411"/>
      <c r="G74" s="1411"/>
      <c r="H74" s="1411"/>
      <c r="I74" s="1411"/>
      <c r="J74" s="1411"/>
      <c r="K74" s="1411"/>
      <c r="L74" s="1411"/>
      <c r="M74" s="1460"/>
      <c r="N74" s="1461"/>
      <c r="O74" s="1461"/>
      <c r="P74" s="1459"/>
      <c r="Q74" s="1380"/>
      <c r="R74" s="1502"/>
      <c r="S74" s="1502"/>
      <c r="T74" s="1502"/>
      <c r="U74" s="1502"/>
      <c r="V74" s="1502"/>
      <c r="W74" s="1502"/>
      <c r="X74" s="1502"/>
      <c r="Y74" s="1502"/>
      <c r="Z74" s="1502"/>
      <c r="AA74" s="1502"/>
      <c r="AB74" s="1502"/>
      <c r="AC74" s="1502"/>
      <c r="AD74" s="1502"/>
    </row>
    <row r="75" s="1129" customFormat="1" ht="14.75" spans="1:30">
      <c r="A75" s="1419"/>
      <c r="B75" s="1412">
        <f>B25</f>
        <v>111</v>
      </c>
      <c r="C75" s="1187"/>
      <c r="D75" s="1187"/>
      <c r="E75" s="1187"/>
      <c r="F75" s="1187"/>
      <c r="G75" s="1420"/>
      <c r="H75" s="1421"/>
      <c r="I75" s="1421"/>
      <c r="J75" s="1421"/>
      <c r="K75" s="1421"/>
      <c r="L75" s="1469"/>
      <c r="M75" s="1470"/>
      <c r="N75" s="1471"/>
      <c r="O75" s="1471"/>
      <c r="P75" s="1472"/>
      <c r="Q75" s="1503"/>
      <c r="R75" s="1504"/>
      <c r="S75" s="1504"/>
      <c r="T75" s="1504"/>
      <c r="U75" s="1504"/>
      <c r="V75" s="1504"/>
      <c r="W75" s="1504"/>
      <c r="X75" s="1504"/>
      <c r="Y75" s="1504"/>
      <c r="Z75" s="1504"/>
      <c r="AA75" s="1504"/>
      <c r="AB75" s="1504"/>
      <c r="AC75" s="1504"/>
      <c r="AD75" s="1504"/>
    </row>
    <row r="76" s="1129" customFormat="1" ht="14.75" spans="1:30">
      <c r="A76" s="1419"/>
      <c r="B76" s="1414"/>
      <c r="C76" s="1422"/>
      <c r="D76" s="1422"/>
      <c r="E76" s="1422"/>
      <c r="F76" s="1422"/>
      <c r="G76" s="1411"/>
      <c r="H76" s="1411"/>
      <c r="I76" s="1411"/>
      <c r="J76" s="1411"/>
      <c r="K76" s="1411"/>
      <c r="L76" s="1411"/>
      <c r="M76" s="1460"/>
      <c r="N76" s="1471"/>
      <c r="O76" s="1471"/>
      <c r="P76" s="1472"/>
      <c r="Q76" s="1503"/>
      <c r="R76" s="1504"/>
      <c r="S76" s="1504"/>
      <c r="T76" s="1504"/>
      <c r="U76" s="1504"/>
      <c r="V76" s="1504"/>
      <c r="W76" s="1504"/>
      <c r="X76" s="1504"/>
      <c r="Y76" s="1504"/>
      <c r="Z76" s="1504"/>
      <c r="AA76" s="1504"/>
      <c r="AB76" s="1504"/>
      <c r="AC76" s="1504"/>
      <c r="AD76" s="1504"/>
    </row>
    <row r="77" ht="14.75" spans="1:30">
      <c r="A77" s="1407" t="s">
        <v>1056</v>
      </c>
      <c r="B77" s="1408" t="s">
        <v>1061</v>
      </c>
      <c r="C77" s="1420"/>
      <c r="D77" s="1420"/>
      <c r="E77" s="1335"/>
      <c r="F77" s="1335"/>
      <c r="G77" s="1335"/>
      <c r="H77" s="1335"/>
      <c r="I77" s="1335"/>
      <c r="J77" s="1335"/>
      <c r="K77" s="1455"/>
      <c r="L77" s="1456"/>
      <c r="M77" s="1457"/>
      <c r="N77" s="1458"/>
      <c r="O77" s="1458"/>
      <c r="P77" s="1459"/>
      <c r="Q77" s="1380"/>
      <c r="R77" s="1254"/>
      <c r="S77" s="1254"/>
      <c r="T77" s="1254"/>
      <c r="U77" s="1254"/>
      <c r="V77" s="1254"/>
      <c r="W77" s="1254"/>
      <c r="X77" s="1254"/>
      <c r="Y77" s="1254"/>
      <c r="Z77" s="1254"/>
      <c r="AA77" s="1254"/>
      <c r="AB77" s="1254"/>
      <c r="AC77" s="1254"/>
      <c r="AD77" s="1254"/>
    </row>
    <row r="78" ht="14.75" spans="1:30">
      <c r="A78" s="1409"/>
      <c r="B78" s="1414"/>
      <c r="C78" s="1415">
        <v>100</v>
      </c>
      <c r="D78" s="1415">
        <f t="shared" ref="D78:M78" si="17">C78-$K26</f>
        <v>100</v>
      </c>
      <c r="E78" s="1415">
        <f t="shared" si="17"/>
        <v>100</v>
      </c>
      <c r="F78" s="1415">
        <f t="shared" si="17"/>
        <v>100</v>
      </c>
      <c r="G78" s="1415">
        <f t="shared" si="17"/>
        <v>100</v>
      </c>
      <c r="H78" s="1415">
        <f t="shared" si="17"/>
        <v>100</v>
      </c>
      <c r="I78" s="1415">
        <f t="shared" si="17"/>
        <v>100</v>
      </c>
      <c r="J78" s="1415">
        <f t="shared" si="17"/>
        <v>100</v>
      </c>
      <c r="K78" s="1415">
        <f t="shared" si="17"/>
        <v>100</v>
      </c>
      <c r="L78" s="1415">
        <f t="shared" si="17"/>
        <v>100</v>
      </c>
      <c r="M78" s="1465">
        <f t="shared" si="17"/>
        <v>100</v>
      </c>
      <c r="N78" s="1461"/>
      <c r="O78" s="1461"/>
      <c r="P78" s="1459"/>
      <c r="Q78" s="1380"/>
      <c r="R78" s="1254"/>
      <c r="S78" s="1254"/>
      <c r="T78" s="1254"/>
      <c r="U78" s="1254"/>
      <c r="V78" s="1254"/>
      <c r="W78" s="1254"/>
      <c r="X78" s="1254"/>
      <c r="Y78" s="1254"/>
      <c r="Z78" s="1254"/>
      <c r="AA78" s="1254"/>
      <c r="AB78" s="1254"/>
      <c r="AC78" s="1254"/>
      <c r="AD78" s="1254"/>
    </row>
    <row r="79" ht="14.75" spans="1:30">
      <c r="A79" s="1409"/>
      <c r="B79" s="1412" t="s">
        <v>1631</v>
      </c>
      <c r="C79" s="1431" t="str">
        <f>C80&amp;"(含)"&amp;"-"&amp;D80</f>
        <v>0.5(含)-0.6</v>
      </c>
      <c r="D79" s="1431" t="str">
        <f>D80&amp;"(含)"&amp;"-"&amp;E80</f>
        <v>0.6(含)-0.7</v>
      </c>
      <c r="E79" s="1431" t="str">
        <f>E80&amp;"(含)"&amp;"-"&amp;F80</f>
        <v>0.7(含)-0.8</v>
      </c>
      <c r="F79" s="1431" t="str">
        <f>F80&amp;"(含)"&amp;"-"&amp;G80</f>
        <v>0.8(含)-0.9</v>
      </c>
      <c r="G79" s="1431" t="str">
        <f>G80&amp;"(含)"&amp;"-"&amp;ROUND(H80,0)&amp;"(含)"</f>
        <v>0.9(含)-1(含)</v>
      </c>
      <c r="H79" s="1431"/>
      <c r="I79" s="1413"/>
      <c r="J79" s="1413"/>
      <c r="K79" s="1462"/>
      <c r="L79" s="1463"/>
      <c r="M79" s="1464"/>
      <c r="N79" s="1452"/>
      <c r="O79" s="1452"/>
      <c r="P79" s="1459"/>
      <c r="Q79" s="1380"/>
      <c r="R79" s="1254"/>
      <c r="S79" s="1254"/>
      <c r="T79" s="1254"/>
      <c r="U79" s="1254"/>
      <c r="V79" s="1254"/>
      <c r="W79" s="1254"/>
      <c r="X79" s="1254"/>
      <c r="Y79" s="1254"/>
      <c r="Z79" s="1254"/>
      <c r="AA79" s="1254"/>
      <c r="AB79" s="1254"/>
      <c r="AC79" s="1254"/>
      <c r="AD79" s="1254"/>
    </row>
    <row r="80" spans="1:30">
      <c r="A80" s="1409"/>
      <c r="B80" s="1416"/>
      <c r="C80" s="891">
        <v>0.5</v>
      </c>
      <c r="D80" s="891">
        <v>0.6</v>
      </c>
      <c r="E80" s="891">
        <v>0.7</v>
      </c>
      <c r="F80" s="891">
        <v>0.8</v>
      </c>
      <c r="G80" s="891">
        <v>0.9</v>
      </c>
      <c r="H80" s="891">
        <v>1.0001</v>
      </c>
      <c r="I80" s="1436"/>
      <c r="J80" s="1436"/>
      <c r="K80" s="1621"/>
      <c r="L80" s="1622"/>
      <c r="M80" s="1623"/>
      <c r="N80" s="1452"/>
      <c r="O80" s="1452"/>
      <c r="P80" s="1459"/>
      <c r="Q80" s="1380"/>
      <c r="R80" s="1254"/>
      <c r="S80" s="1254"/>
      <c r="T80" s="1254"/>
      <c r="U80" s="1254"/>
      <c r="V80" s="1254"/>
      <c r="W80" s="1254"/>
      <c r="X80" s="1254"/>
      <c r="Y80" s="1254"/>
      <c r="Z80" s="1254"/>
      <c r="AA80" s="1254"/>
      <c r="AB80" s="1254"/>
      <c r="AC80" s="1254"/>
      <c r="AD80" s="1254"/>
    </row>
    <row r="81" s="1129" customFormat="1" ht="14.75" spans="1:30">
      <c r="A81" s="1419"/>
      <c r="B81" s="1414"/>
      <c r="C81" s="1433">
        <v>100</v>
      </c>
      <c r="D81" s="1415">
        <f t="shared" ref="D81:M81" si="18">C81+$K27</f>
        <v>100</v>
      </c>
      <c r="E81" s="1415">
        <f t="shared" si="18"/>
        <v>100</v>
      </c>
      <c r="F81" s="1415">
        <f t="shared" si="18"/>
        <v>100</v>
      </c>
      <c r="G81" s="1415">
        <f t="shared" si="18"/>
        <v>100</v>
      </c>
      <c r="H81" s="1415">
        <f t="shared" si="18"/>
        <v>100</v>
      </c>
      <c r="I81" s="1415">
        <f t="shared" si="18"/>
        <v>100</v>
      </c>
      <c r="J81" s="1415">
        <f t="shared" si="18"/>
        <v>100</v>
      </c>
      <c r="K81" s="1415">
        <f t="shared" si="18"/>
        <v>100</v>
      </c>
      <c r="L81" s="1415">
        <f t="shared" si="18"/>
        <v>100</v>
      </c>
      <c r="M81" s="1415">
        <f t="shared" si="18"/>
        <v>100</v>
      </c>
      <c r="N81" s="1461"/>
      <c r="O81" s="1461"/>
      <c r="P81" s="1472"/>
      <c r="Q81" s="1503"/>
      <c r="R81" s="1504"/>
      <c r="S81" s="1504"/>
      <c r="T81" s="1504"/>
      <c r="U81" s="1504"/>
      <c r="V81" s="1504"/>
      <c r="W81" s="1504"/>
      <c r="X81" s="1504"/>
      <c r="Y81" s="1504"/>
      <c r="Z81" s="1504"/>
      <c r="AA81" s="1504"/>
      <c r="AB81" s="1504"/>
      <c r="AC81" s="1504"/>
      <c r="AD81" s="1504"/>
    </row>
    <row r="82" ht="14.75" spans="1:30">
      <c r="A82" s="1443"/>
      <c r="B82" s="1416" t="s">
        <v>1632</v>
      </c>
      <c r="C82" s="1420"/>
      <c r="D82" s="1420"/>
      <c r="E82" s="1437"/>
      <c r="F82" s="1437"/>
      <c r="G82" s="1437"/>
      <c r="H82" s="1437"/>
      <c r="I82" s="1437"/>
      <c r="J82" s="1437"/>
      <c r="K82" s="1488"/>
      <c r="L82" s="1489"/>
      <c r="M82" s="1490"/>
      <c r="N82" s="1458"/>
      <c r="O82" s="1458"/>
      <c r="P82" s="1459"/>
      <c r="Q82" s="1380"/>
      <c r="R82" s="1254"/>
      <c r="S82" s="1254"/>
      <c r="T82" s="1254"/>
      <c r="U82" s="1254"/>
      <c r="V82" s="1254"/>
      <c r="W82" s="1254"/>
      <c r="X82" s="1254"/>
      <c r="Y82" s="1254"/>
      <c r="Z82" s="1254"/>
      <c r="AA82" s="1254"/>
      <c r="AB82" s="1254"/>
      <c r="AC82" s="1254"/>
      <c r="AD82" s="1254"/>
    </row>
    <row r="83" ht="14.75" spans="1:30">
      <c r="A83" s="1409"/>
      <c r="B83" s="1414"/>
      <c r="C83" s="1415">
        <v>100</v>
      </c>
      <c r="D83" s="1415">
        <f t="shared" ref="D83:M83" si="19">C83-$K28</f>
        <v>100</v>
      </c>
      <c r="E83" s="1415">
        <f t="shared" si="19"/>
        <v>100</v>
      </c>
      <c r="F83" s="1415">
        <f t="shared" si="19"/>
        <v>100</v>
      </c>
      <c r="G83" s="1415">
        <f t="shared" si="19"/>
        <v>100</v>
      </c>
      <c r="H83" s="1415">
        <f t="shared" si="19"/>
        <v>100</v>
      </c>
      <c r="I83" s="1415">
        <f t="shared" si="19"/>
        <v>100</v>
      </c>
      <c r="J83" s="1415">
        <f t="shared" si="19"/>
        <v>100</v>
      </c>
      <c r="K83" s="1415">
        <f t="shared" si="19"/>
        <v>100</v>
      </c>
      <c r="L83" s="1415">
        <f t="shared" si="19"/>
        <v>100</v>
      </c>
      <c r="M83" s="1465">
        <f t="shared" si="19"/>
        <v>100</v>
      </c>
      <c r="N83" s="1461"/>
      <c r="O83" s="1461"/>
      <c r="P83" s="1459"/>
      <c r="Q83" s="1380"/>
      <c r="R83" s="1254"/>
      <c r="S83" s="1254"/>
      <c r="T83" s="1254"/>
      <c r="U83" s="1254"/>
      <c r="V83" s="1254"/>
      <c r="W83" s="1254"/>
      <c r="X83" s="1254"/>
      <c r="Y83" s="1254"/>
      <c r="Z83" s="1254"/>
      <c r="AA83" s="1254"/>
      <c r="AB83" s="1254"/>
      <c r="AC83" s="1254"/>
      <c r="AD83" s="1254"/>
    </row>
    <row r="84" ht="14.75" spans="1:30">
      <c r="A84" s="1443"/>
      <c r="B84" s="1412" t="s">
        <v>1641</v>
      </c>
      <c r="C84" s="1420"/>
      <c r="D84" s="1420"/>
      <c r="E84" s="1420"/>
      <c r="F84" s="1420"/>
      <c r="G84" s="1420"/>
      <c r="H84" s="1420"/>
      <c r="I84" s="1437"/>
      <c r="J84" s="1437"/>
      <c r="K84" s="1488"/>
      <c r="L84" s="1489"/>
      <c r="M84" s="1490"/>
      <c r="N84" s="1458"/>
      <c r="O84" s="1458"/>
      <c r="P84" s="1459"/>
      <c r="Q84" s="1380"/>
      <c r="R84" s="1254"/>
      <c r="S84" s="1254"/>
      <c r="T84" s="1254"/>
      <c r="U84" s="1254"/>
      <c r="V84" s="1254"/>
      <c r="W84" s="1254"/>
      <c r="X84" s="1254"/>
      <c r="Y84" s="1254"/>
      <c r="Z84" s="1254"/>
      <c r="AA84" s="1254"/>
      <c r="AB84" s="1254"/>
      <c r="AC84" s="1254"/>
      <c r="AD84" s="1254"/>
    </row>
    <row r="85" ht="14.75" spans="1:30">
      <c r="A85" s="1409"/>
      <c r="B85" s="1414"/>
      <c r="C85" s="1433">
        <v>100</v>
      </c>
      <c r="D85" s="1415">
        <f t="shared" ref="D85:M85" si="20">C85+$K29</f>
        <v>100</v>
      </c>
      <c r="E85" s="1415">
        <f t="shared" si="20"/>
        <v>100</v>
      </c>
      <c r="F85" s="1415">
        <f t="shared" si="20"/>
        <v>100</v>
      </c>
      <c r="G85" s="1415">
        <f t="shared" si="20"/>
        <v>100</v>
      </c>
      <c r="H85" s="1415">
        <f t="shared" si="20"/>
        <v>100</v>
      </c>
      <c r="I85" s="1415">
        <f t="shared" si="20"/>
        <v>100</v>
      </c>
      <c r="J85" s="1415">
        <f t="shared" si="20"/>
        <v>100</v>
      </c>
      <c r="K85" s="1415">
        <f t="shared" si="20"/>
        <v>100</v>
      </c>
      <c r="L85" s="1415">
        <f t="shared" si="20"/>
        <v>100</v>
      </c>
      <c r="M85" s="1415">
        <f t="shared" si="20"/>
        <v>100</v>
      </c>
      <c r="N85" s="1461"/>
      <c r="O85" s="1461"/>
      <c r="P85" s="1459"/>
      <c r="Q85" s="1380"/>
      <c r="R85" s="1254"/>
      <c r="S85" s="1254"/>
      <c r="T85" s="1254"/>
      <c r="U85" s="1254"/>
      <c r="V85" s="1254"/>
      <c r="W85" s="1254"/>
      <c r="X85" s="1254"/>
      <c r="Y85" s="1254"/>
      <c r="Z85" s="1254"/>
      <c r="AA85" s="1254"/>
      <c r="AB85" s="1254"/>
      <c r="AC85" s="1254"/>
      <c r="AD85" s="1254"/>
    </row>
    <row r="86" ht="14.75" spans="1:30">
      <c r="A86" s="1443"/>
      <c r="B86" s="1416" t="s">
        <v>606</v>
      </c>
      <c r="C86" s="1431" t="str">
        <f t="shared" ref="C86:L86" si="21">C87&amp;"(含)"&amp;"-"&amp;D87</f>
        <v>(含)-</v>
      </c>
      <c r="D86" s="1431" t="str">
        <f t="shared" si="21"/>
        <v>(含)-</v>
      </c>
      <c r="E86" s="1431" t="str">
        <f t="shared" si="21"/>
        <v>(含)-</v>
      </c>
      <c r="F86" s="1431" t="str">
        <f t="shared" si="21"/>
        <v>(含)-</v>
      </c>
      <c r="G86" s="1431" t="str">
        <f t="shared" si="21"/>
        <v>(含)-</v>
      </c>
      <c r="H86" s="1431" t="str">
        <f t="shared" si="21"/>
        <v>(含)-</v>
      </c>
      <c r="I86" s="1431" t="str">
        <f t="shared" si="21"/>
        <v>(含)-</v>
      </c>
      <c r="J86" s="1431" t="str">
        <f t="shared" si="21"/>
        <v>(含)-</v>
      </c>
      <c r="K86" s="1431" t="str">
        <f t="shared" si="21"/>
        <v>(含)-</v>
      </c>
      <c r="L86" s="1431" t="str">
        <f t="shared" si="21"/>
        <v>(含)-</v>
      </c>
      <c r="M86" s="1483" t="str">
        <f>M87&amp;"(含)"&amp;"-"&amp;P87</f>
        <v>(含)-</v>
      </c>
      <c r="N86" s="1458"/>
      <c r="O86" s="1458"/>
      <c r="P86" s="1459"/>
      <c r="Q86" s="1380"/>
      <c r="R86" s="1254"/>
      <c r="S86" s="1254"/>
      <c r="T86" s="1254"/>
      <c r="U86" s="1254"/>
      <c r="V86" s="1254"/>
      <c r="W86" s="1254"/>
      <c r="X86" s="1254"/>
      <c r="Y86" s="1254"/>
      <c r="Z86" s="1254"/>
      <c r="AA86" s="1254"/>
      <c r="AB86" s="1254"/>
      <c r="AC86" s="1254"/>
      <c r="AD86" s="1254"/>
    </row>
    <row r="87" spans="1:30">
      <c r="A87" s="1443"/>
      <c r="B87" s="1416"/>
      <c r="C87" s="1396"/>
      <c r="D87" s="1396"/>
      <c r="E87" s="1396"/>
      <c r="F87" s="1396"/>
      <c r="G87" s="1396"/>
      <c r="H87" s="1396"/>
      <c r="I87" s="1396"/>
      <c r="J87" s="1495"/>
      <c r="K87" s="1495"/>
      <c r="L87" s="1496"/>
      <c r="M87" s="1497"/>
      <c r="N87" s="1458"/>
      <c r="O87" s="1458"/>
      <c r="P87" s="1459"/>
      <c r="Q87" s="1380"/>
      <c r="R87" s="1254"/>
      <c r="S87" s="1254"/>
      <c r="T87" s="1254"/>
      <c r="U87" s="1254"/>
      <c r="V87" s="1254"/>
      <c r="W87" s="1254"/>
      <c r="X87" s="1254"/>
      <c r="Y87" s="1254"/>
      <c r="Z87" s="1254"/>
      <c r="AA87" s="1254"/>
      <c r="AB87" s="1254"/>
      <c r="AC87" s="1254"/>
      <c r="AD87" s="1254"/>
    </row>
    <row r="88" ht="14.75" spans="1:30">
      <c r="A88" s="1409"/>
      <c r="B88" s="1414"/>
      <c r="C88" s="1422"/>
      <c r="D88" s="1411"/>
      <c r="E88" s="1411"/>
      <c r="F88" s="1411"/>
      <c r="G88" s="1411"/>
      <c r="H88" s="1411"/>
      <c r="I88" s="1411"/>
      <c r="J88" s="1411"/>
      <c r="K88" s="1411"/>
      <c r="L88" s="1411"/>
      <c r="M88" s="1411"/>
      <c r="N88" s="1461"/>
      <c r="O88" s="1461"/>
      <c r="P88" s="1459"/>
      <c r="Q88" s="1380"/>
      <c r="R88" s="1254"/>
      <c r="S88" s="1254"/>
      <c r="T88" s="1254"/>
      <c r="U88" s="1254"/>
      <c r="V88" s="1254"/>
      <c r="W88" s="1254"/>
      <c r="X88" s="1254"/>
      <c r="Y88" s="1254"/>
      <c r="Z88" s="1254"/>
      <c r="AA88" s="1254"/>
      <c r="AB88" s="1254"/>
      <c r="AC88" s="1254"/>
      <c r="AD88" s="1254"/>
    </row>
    <row r="89" s="1129" customFormat="1" ht="14.75" spans="1:30">
      <c r="A89" s="1440"/>
      <c r="B89" s="1412" t="s">
        <v>1642</v>
      </c>
      <c r="C89" s="1420"/>
      <c r="D89" s="1420"/>
      <c r="E89" s="1420"/>
      <c r="F89" s="1420"/>
      <c r="G89" s="1420"/>
      <c r="H89" s="1420"/>
      <c r="I89" s="1420"/>
      <c r="J89" s="1420"/>
      <c r="K89" s="1420"/>
      <c r="L89" s="1420"/>
      <c r="M89" s="1620"/>
      <c r="N89" s="1471"/>
      <c r="O89" s="1471"/>
      <c r="P89" s="1472"/>
      <c r="Q89" s="1503"/>
      <c r="R89" s="1504"/>
      <c r="S89" s="1504"/>
      <c r="T89" s="1504"/>
      <c r="U89" s="1504"/>
      <c r="V89" s="1504"/>
      <c r="W89" s="1504"/>
      <c r="X89" s="1504"/>
      <c r="Y89" s="1504"/>
      <c r="Z89" s="1504"/>
      <c r="AA89" s="1504"/>
      <c r="AB89" s="1504"/>
      <c r="AC89" s="1504"/>
      <c r="AD89" s="1504"/>
    </row>
    <row r="90" s="1129" customFormat="1" ht="14.75" spans="1:30">
      <c r="A90" s="1419"/>
      <c r="B90" s="1414"/>
      <c r="C90" s="1422"/>
      <c r="D90" s="1411"/>
      <c r="E90" s="1411"/>
      <c r="F90" s="1411"/>
      <c r="G90" s="1411"/>
      <c r="H90" s="1411"/>
      <c r="I90" s="1411"/>
      <c r="J90" s="1411"/>
      <c r="K90" s="1411"/>
      <c r="L90" s="1411"/>
      <c r="M90" s="1460"/>
      <c r="N90" s="1471"/>
      <c r="O90" s="1471"/>
      <c r="P90" s="1472"/>
      <c r="Q90" s="1503"/>
      <c r="R90" s="1504"/>
      <c r="S90" s="1504"/>
      <c r="T90" s="1504"/>
      <c r="U90" s="1504"/>
      <c r="V90" s="1504"/>
      <c r="W90" s="1504"/>
      <c r="X90" s="1504"/>
      <c r="Y90" s="1504"/>
      <c r="Z90" s="1504"/>
      <c r="AA90" s="1504"/>
      <c r="AB90" s="1504"/>
      <c r="AC90" s="1504"/>
      <c r="AD90" s="1504"/>
    </row>
    <row r="91" ht="14.75" spans="1:30">
      <c r="A91" s="1443"/>
      <c r="B91" s="1412">
        <f>B32</f>
        <v>111</v>
      </c>
      <c r="C91" s="1187"/>
      <c r="D91" s="1187"/>
      <c r="E91" s="1187"/>
      <c r="F91" s="1187"/>
      <c r="G91" s="1420"/>
      <c r="H91" s="1421"/>
      <c r="I91" s="1421"/>
      <c r="J91" s="1421"/>
      <c r="K91" s="1421"/>
      <c r="L91" s="1469"/>
      <c r="M91" s="1470"/>
      <c r="N91" s="1458"/>
      <c r="O91" s="1458"/>
      <c r="P91" s="1459"/>
      <c r="Q91" s="1380"/>
      <c r="R91" s="1254"/>
      <c r="S91" s="1254"/>
      <c r="T91" s="1254"/>
      <c r="U91" s="1254"/>
      <c r="V91" s="1254"/>
      <c r="W91" s="1254"/>
      <c r="X91" s="1254"/>
      <c r="Y91" s="1254"/>
      <c r="Z91" s="1254"/>
      <c r="AA91" s="1254"/>
      <c r="AB91" s="1254"/>
      <c r="AC91" s="1254"/>
      <c r="AD91" s="1254"/>
    </row>
    <row r="92" ht="14.75" spans="1:30">
      <c r="A92" s="1409"/>
      <c r="B92" s="1414"/>
      <c r="C92" s="1422"/>
      <c r="D92" s="1411"/>
      <c r="E92" s="1411"/>
      <c r="F92" s="1411"/>
      <c r="G92" s="1422"/>
      <c r="H92" s="1423"/>
      <c r="I92" s="1423"/>
      <c r="J92" s="1423"/>
      <c r="K92" s="1423"/>
      <c r="L92" s="1423"/>
      <c r="M92" s="1473"/>
      <c r="N92" s="1461"/>
      <c r="O92" s="1461"/>
      <c r="P92" s="1459"/>
      <c r="Q92" s="1380"/>
      <c r="R92" s="1254"/>
      <c r="S92" s="1254"/>
      <c r="T92" s="1254"/>
      <c r="U92" s="1254"/>
      <c r="V92" s="1254"/>
      <c r="W92" s="1254"/>
      <c r="X92" s="1254"/>
      <c r="Y92" s="1254"/>
      <c r="Z92" s="1254"/>
      <c r="AA92" s="1254"/>
      <c r="AB92" s="1254"/>
      <c r="AC92" s="1254"/>
      <c r="AD92" s="1254"/>
    </row>
    <row r="93" ht="14.75" spans="1:30">
      <c r="A93" s="1443"/>
      <c r="B93" s="1412">
        <f>B33</f>
        <v>111</v>
      </c>
      <c r="C93" s="1187"/>
      <c r="D93" s="1187"/>
      <c r="E93" s="1187"/>
      <c r="F93" s="1187"/>
      <c r="G93" s="1420"/>
      <c r="H93" s="1421"/>
      <c r="I93" s="1421"/>
      <c r="J93" s="1421"/>
      <c r="K93" s="1421"/>
      <c r="L93" s="1469"/>
      <c r="M93" s="1470"/>
      <c r="N93" s="1458"/>
      <c r="O93" s="1458"/>
      <c r="P93" s="1459"/>
      <c r="Q93" s="1380"/>
      <c r="R93" s="1254"/>
      <c r="S93" s="1254"/>
      <c r="T93" s="1254"/>
      <c r="U93" s="1254"/>
      <c r="V93" s="1254"/>
      <c r="W93" s="1254"/>
      <c r="X93" s="1254"/>
      <c r="Y93" s="1254"/>
      <c r="Z93" s="1254"/>
      <c r="AA93" s="1254"/>
      <c r="AB93" s="1254"/>
      <c r="AC93" s="1254"/>
      <c r="AD93" s="1254"/>
    </row>
    <row r="94" ht="14.75" spans="1:30">
      <c r="A94" s="1409"/>
      <c r="B94" s="1414"/>
      <c r="C94" s="1422"/>
      <c r="D94" s="1411"/>
      <c r="E94" s="1411"/>
      <c r="F94" s="1411"/>
      <c r="G94" s="1422"/>
      <c r="H94" s="1423"/>
      <c r="I94" s="1423"/>
      <c r="J94" s="1423"/>
      <c r="K94" s="1423"/>
      <c r="L94" s="1423"/>
      <c r="M94" s="1473"/>
      <c r="N94" s="1461"/>
      <c r="O94" s="1461"/>
      <c r="P94" s="1459"/>
      <c r="Q94" s="1380"/>
      <c r="R94" s="1254"/>
      <c r="S94" s="1254"/>
      <c r="T94" s="1254"/>
      <c r="U94" s="1254"/>
      <c r="V94" s="1254"/>
      <c r="W94" s="1254"/>
      <c r="X94" s="1254"/>
      <c r="Y94" s="1254"/>
      <c r="Z94" s="1254"/>
      <c r="AA94" s="1254"/>
      <c r="AB94" s="1254"/>
      <c r="AC94" s="1254"/>
      <c r="AD94" s="1254"/>
    </row>
    <row r="95" ht="14.75" spans="1:30">
      <c r="A95" s="1443"/>
      <c r="B95" s="1616">
        <f>B34</f>
        <v>111</v>
      </c>
      <c r="C95" s="1187"/>
      <c r="D95" s="1187"/>
      <c r="E95" s="1187"/>
      <c r="F95" s="1187"/>
      <c r="G95" s="1420"/>
      <c r="H95" s="1421"/>
      <c r="I95" s="1421"/>
      <c r="J95" s="1421"/>
      <c r="K95" s="1421"/>
      <c r="L95" s="1469"/>
      <c r="M95" s="1470"/>
      <c r="N95" s="1461"/>
      <c r="O95" s="1461"/>
      <c r="P95" s="1624"/>
      <c r="Q95" s="1627"/>
      <c r="R95" s="1254"/>
      <c r="S95" s="1254"/>
      <c r="T95" s="1254"/>
      <c r="U95" s="1254"/>
      <c r="V95" s="1254"/>
      <c r="W95" s="1254"/>
      <c r="X95" s="1254"/>
      <c r="Y95" s="1254"/>
      <c r="Z95" s="1254"/>
      <c r="AA95" s="1254"/>
      <c r="AB95" s="1254"/>
      <c r="AC95" s="1254"/>
      <c r="AD95" s="1254"/>
    </row>
    <row r="96" ht="14.75" spans="1:30">
      <c r="A96" s="1409"/>
      <c r="B96" s="1414"/>
      <c r="C96" s="1422"/>
      <c r="D96" s="1422"/>
      <c r="E96" s="1422"/>
      <c r="F96" s="1422"/>
      <c r="G96" s="1422"/>
      <c r="H96" s="1423"/>
      <c r="I96" s="1423"/>
      <c r="J96" s="1423"/>
      <c r="K96" s="1423"/>
      <c r="L96" s="1423"/>
      <c r="M96" s="1473"/>
      <c r="N96" s="1461"/>
      <c r="O96" s="1461"/>
      <c r="P96" s="1459"/>
      <c r="Q96" s="1380"/>
      <c r="R96" s="1254"/>
      <c r="S96" s="1254"/>
      <c r="T96" s="1254"/>
      <c r="U96" s="1254"/>
      <c r="V96" s="1254"/>
      <c r="W96" s="1254"/>
      <c r="X96" s="1254"/>
      <c r="Y96" s="1254"/>
      <c r="Z96" s="1254"/>
      <c r="AA96" s="1254"/>
      <c r="AB96" s="1254"/>
      <c r="AC96" s="1254"/>
      <c r="AD96" s="1254"/>
    </row>
    <row r="97" ht="14.75" spans="14:30">
      <c r="N97" s="1254"/>
      <c r="O97" s="1254"/>
      <c r="P97" s="1254"/>
      <c r="Q97" s="1254"/>
      <c r="R97" s="1254"/>
      <c r="S97" s="1254"/>
      <c r="T97" s="1254"/>
      <c r="U97" s="1254"/>
      <c r="V97" s="1254"/>
      <c r="W97" s="1254"/>
      <c r="X97" s="1254"/>
      <c r="Y97" s="1254"/>
      <c r="Z97" s="1254"/>
      <c r="AA97" s="1254"/>
      <c r="AB97" s="1254"/>
      <c r="AC97" s="1254"/>
      <c r="AD97" s="1254"/>
    </row>
    <row r="98" spans="1:30">
      <c r="A98" s="1617"/>
      <c r="B98" s="1617"/>
      <c r="C98" s="1617"/>
      <c r="D98" s="1617"/>
      <c r="E98" s="1617"/>
      <c r="F98" s="1617"/>
      <c r="G98" s="1617"/>
      <c r="H98" s="1617"/>
      <c r="I98" s="1617"/>
      <c r="J98" s="1617"/>
      <c r="K98" s="1625"/>
      <c r="L98" s="1626"/>
      <c r="M98" s="1617"/>
      <c r="N98" s="1254"/>
      <c r="O98" s="1254"/>
      <c r="P98" s="1254"/>
      <c r="Q98" s="1254"/>
      <c r="R98" s="1254"/>
      <c r="S98" s="1254"/>
      <c r="T98" s="1254"/>
      <c r="U98" s="1254"/>
      <c r="V98" s="1254"/>
      <c r="W98" s="1254"/>
      <c r="X98" s="1254"/>
      <c r="Y98" s="1254"/>
      <c r="Z98" s="1254"/>
      <c r="AA98" s="1254"/>
      <c r="AB98" s="1254"/>
      <c r="AC98" s="1254"/>
      <c r="AD98" s="1254"/>
    </row>
    <row r="99" spans="1:30">
      <c r="A99" s="1617"/>
      <c r="B99" s="1617"/>
      <c r="C99" s="1617"/>
      <c r="D99" s="1617"/>
      <c r="E99" s="1617"/>
      <c r="F99" s="1617"/>
      <c r="G99" s="1617"/>
      <c r="H99" s="1617"/>
      <c r="I99" s="1617"/>
      <c r="J99" s="1617"/>
      <c r="K99" s="1625"/>
      <c r="L99" s="1626"/>
      <c r="M99" s="1617"/>
      <c r="N99" s="1254"/>
      <c r="O99" s="1254"/>
      <c r="P99" s="1254"/>
      <c r="Q99" s="1254"/>
      <c r="R99" s="1254"/>
      <c r="S99" s="1254"/>
      <c r="T99" s="1254"/>
      <c r="U99" s="1254"/>
      <c r="V99" s="1254"/>
      <c r="W99" s="1254"/>
      <c r="X99" s="1254"/>
      <c r="Y99" s="1254"/>
      <c r="Z99" s="1254"/>
      <c r="AA99" s="1254"/>
      <c r="AB99" s="1254"/>
      <c r="AC99" s="1254"/>
      <c r="AD99" s="1254"/>
    </row>
    <row r="100" spans="1:30">
      <c r="A100" s="1617"/>
      <c r="B100" s="1617"/>
      <c r="C100" s="1617"/>
      <c r="D100" s="1617"/>
      <c r="E100" s="1617"/>
      <c r="F100" s="1617"/>
      <c r="G100" s="1617"/>
      <c r="H100" s="1617"/>
      <c r="I100" s="1617"/>
      <c r="J100" s="1617"/>
      <c r="K100" s="1625"/>
      <c r="L100" s="1626"/>
      <c r="M100" s="1617"/>
      <c r="N100" s="1254"/>
      <c r="O100" s="1254"/>
      <c r="P100" s="1254"/>
      <c r="Q100" s="1254"/>
      <c r="R100" s="1254"/>
      <c r="S100" s="1254"/>
      <c r="T100" s="1254"/>
      <c r="U100" s="1254"/>
      <c r="V100" s="1254"/>
      <c r="W100" s="1254"/>
      <c r="X100" s="1254"/>
      <c r="Y100" s="1254"/>
      <c r="Z100" s="1254"/>
      <c r="AA100" s="1254"/>
      <c r="AB100" s="1254"/>
      <c r="AC100" s="1254"/>
      <c r="AD100" s="1254"/>
    </row>
    <row r="101" spans="1:30">
      <c r="A101" s="1617"/>
      <c r="B101" s="1617"/>
      <c r="C101" s="1617"/>
      <c r="D101" s="1617"/>
      <c r="E101" s="1617"/>
      <c r="F101" s="1617"/>
      <c r="G101" s="1617"/>
      <c r="H101" s="1617"/>
      <c r="I101" s="1617"/>
      <c r="J101" s="1617"/>
      <c r="K101" s="1625"/>
      <c r="L101" s="1626"/>
      <c r="M101" s="1617"/>
      <c r="N101" s="1254"/>
      <c r="O101" s="1254"/>
      <c r="P101" s="1254"/>
      <c r="Q101" s="1254"/>
      <c r="R101" s="1254"/>
      <c r="S101" s="1254"/>
      <c r="T101" s="1254"/>
      <c r="U101" s="1254"/>
      <c r="V101" s="1254"/>
      <c r="W101" s="1254"/>
      <c r="X101" s="1254"/>
      <c r="Y101" s="1254"/>
      <c r="Z101" s="1254"/>
      <c r="AA101" s="1254"/>
      <c r="AB101" s="1254"/>
      <c r="AC101" s="1254"/>
      <c r="AD101" s="1254"/>
    </row>
    <row r="102" spans="1:30">
      <c r="A102" s="1617"/>
      <c r="B102" s="1617"/>
      <c r="C102" s="1617"/>
      <c r="D102" s="1617"/>
      <c r="E102" s="1617"/>
      <c r="F102" s="1617"/>
      <c r="G102" s="1617"/>
      <c r="H102" s="1617"/>
      <c r="I102" s="1617"/>
      <c r="J102" s="1617"/>
      <c r="K102" s="1625"/>
      <c r="L102" s="1626"/>
      <c r="M102" s="1617"/>
      <c r="N102" s="1254"/>
      <c r="O102" s="1254"/>
      <c r="P102" s="1254"/>
      <c r="Q102" s="1254"/>
      <c r="R102" s="1254"/>
      <c r="S102" s="1254"/>
      <c r="T102" s="1254"/>
      <c r="U102" s="1254"/>
      <c r="V102" s="1254"/>
      <c r="W102" s="1254"/>
      <c r="X102" s="1254"/>
      <c r="Y102" s="1254"/>
      <c r="Z102" s="1254"/>
      <c r="AA102" s="1254"/>
      <c r="AB102" s="1254"/>
      <c r="AC102" s="1254"/>
      <c r="AD102" s="1254"/>
    </row>
    <row r="103" spans="1:30">
      <c r="A103" s="1617"/>
      <c r="B103" s="1617"/>
      <c r="C103" s="1617"/>
      <c r="D103" s="1617"/>
      <c r="E103" s="1617"/>
      <c r="F103" s="1617"/>
      <c r="G103" s="1617"/>
      <c r="H103" s="1617"/>
      <c r="I103" s="1617"/>
      <c r="J103" s="1617"/>
      <c r="K103" s="1625"/>
      <c r="L103" s="1626"/>
      <c r="M103" s="1617"/>
      <c r="N103" s="1617"/>
      <c r="O103" s="1617"/>
      <c r="P103" s="1254"/>
      <c r="Q103" s="1254"/>
      <c r="R103" s="1254"/>
      <c r="S103" s="1254"/>
      <c r="T103" s="1254"/>
      <c r="U103" s="1254"/>
      <c r="V103" s="1254"/>
      <c r="W103" s="1254"/>
      <c r="X103" s="1254"/>
      <c r="Y103" s="1254"/>
      <c r="Z103" s="1254"/>
      <c r="AA103" s="1254"/>
      <c r="AB103" s="1254"/>
      <c r="AC103" s="1254"/>
      <c r="AD103" s="1254"/>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133" customWidth="1"/>
    <col min="2" max="2" width="15.7545454545455" style="1133" customWidth="1"/>
    <col min="3" max="3" width="14.3727272727273" style="1133" customWidth="1"/>
    <col min="4" max="4" width="14.1272727272727"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30">
      <c r="A1" s="1136" t="s">
        <v>1644</v>
      </c>
      <c r="B1" s="1137"/>
      <c r="C1" s="1138" t="s">
        <v>1645</v>
      </c>
      <c r="D1" s="1139"/>
      <c r="E1" s="1139"/>
      <c r="F1" s="1140" t="s">
        <v>1011</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1"/>
      <c r="AD1" s="1539"/>
    </row>
    <row r="2" s="1126" customFormat="1" ht="28.5" customHeight="1" spans="1:30">
      <c r="A2" s="406" t="s">
        <v>1012</v>
      </c>
      <c r="B2" s="1141" t="e">
        <f>F65</f>
        <v>#DIV/0!</v>
      </c>
      <c r="C2" s="1506"/>
      <c r="D2" s="1506"/>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c r="AD2" s="1539"/>
    </row>
    <row r="3" s="1126" customFormat="1" ht="28.5" customHeight="1" spans="1:29">
      <c r="A3" s="409" t="s">
        <v>1014</v>
      </c>
      <c r="B3" s="1144" t="e">
        <f>ROUND(IF(D3="",B2*10000/'数据-汇总表'!E3,B2*10000/D3),0)</f>
        <v>#DIV/0!</v>
      </c>
      <c r="C3" s="409" t="s">
        <v>1015</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1016</v>
      </c>
      <c r="B4" s="1147"/>
      <c r="C4" s="1148" t="s">
        <v>1017</v>
      </c>
      <c r="D4" s="1149"/>
      <c r="E4" s="1150" t="s">
        <v>1018</v>
      </c>
      <c r="F4" s="1151"/>
      <c r="G4" s="1148" t="s">
        <v>1019</v>
      </c>
      <c r="H4" s="1149"/>
      <c r="I4" s="1148" t="s">
        <v>1020</v>
      </c>
      <c r="J4" s="1149"/>
      <c r="K4" s="1305" t="s">
        <v>1021</v>
      </c>
      <c r="L4" s="1306"/>
      <c r="M4" s="1307"/>
      <c r="N4" s="1307"/>
      <c r="O4" s="1307"/>
      <c r="P4" s="1308" t="s">
        <v>1022</v>
      </c>
      <c r="Q4" s="1356"/>
      <c r="R4" s="1357" t="s">
        <v>1018</v>
      </c>
      <c r="S4" s="1358"/>
      <c r="T4" s="1357" t="s">
        <v>1019</v>
      </c>
      <c r="U4" s="1358"/>
      <c r="V4" s="1346" t="s">
        <v>1020</v>
      </c>
      <c r="W4" s="1346"/>
      <c r="X4" s="1359"/>
      <c r="Y4" s="1357" t="s">
        <v>1022</v>
      </c>
      <c r="Z4" s="1358"/>
      <c r="AA4" s="1384" t="s">
        <v>1018</v>
      </c>
      <c r="AB4" s="1359" t="s">
        <v>1019</v>
      </c>
      <c r="AC4" s="1384" t="s">
        <v>1020</v>
      </c>
    </row>
    <row r="5" spans="1:29">
      <c r="A5" s="1152"/>
      <c r="B5" s="1153"/>
      <c r="C5" s="1154" t="s">
        <v>1023</v>
      </c>
      <c r="D5" s="1155"/>
      <c r="E5" s="1156" t="s">
        <v>1586</v>
      </c>
      <c r="F5" s="1157"/>
      <c r="G5" s="1154" t="s">
        <v>1587</v>
      </c>
      <c r="H5" s="1155"/>
      <c r="I5" s="1154" t="s">
        <v>1588</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507" t="s">
        <v>1027</v>
      </c>
      <c r="D6" s="1508"/>
      <c r="E6" s="1509" t="s">
        <v>1027</v>
      </c>
      <c r="F6" s="1510"/>
      <c r="G6" s="1507" t="s">
        <v>1027</v>
      </c>
      <c r="H6" s="1508"/>
      <c r="I6" s="1507" t="s">
        <v>1027</v>
      </c>
      <c r="J6" s="1508"/>
      <c r="K6" s="1305" t="s">
        <v>1028</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1029</v>
      </c>
      <c r="B7" s="1165"/>
      <c r="C7" s="1166">
        <f>'数据-取费表'!B2</f>
        <v>45861</v>
      </c>
      <c r="D7" s="1167">
        <v>100</v>
      </c>
      <c r="E7" s="1168"/>
      <c r="F7" s="1169">
        <f>SUMIF(69:69,YEAR(E7)&amp;"-"&amp;INT((MONTH(E7)+2)/3),70:70)</f>
        <v>0</v>
      </c>
      <c r="G7" s="1170"/>
      <c r="H7" s="1167">
        <f>SUMIF(69:69,YEAR(G7)&amp;"-"&amp;INT((MONTH(G7)+2)/3),70:70)</f>
        <v>0</v>
      </c>
      <c r="I7" s="1170"/>
      <c r="J7" s="1167">
        <f>SUMIF(69:69,YEAR(I7)&amp;"-"&amp;INT((MONTH(I7)+2)/3),70:70)</f>
        <v>0</v>
      </c>
      <c r="K7" s="1311"/>
      <c r="L7" s="1312"/>
      <c r="M7" s="1313"/>
      <c r="N7" s="1313"/>
      <c r="O7" s="1313"/>
      <c r="P7" s="1314" t="s">
        <v>1030</v>
      </c>
      <c r="Q7" s="1366"/>
      <c r="R7" s="1367" t="s">
        <v>1031</v>
      </c>
      <c r="S7" s="1368">
        <f t="shared" ref="S7:S15" si="0">F7</f>
        <v>0</v>
      </c>
      <c r="T7" s="1367" t="s">
        <v>1031</v>
      </c>
      <c r="U7" s="1368">
        <f t="shared" ref="U7:U15" si="1">H7</f>
        <v>0</v>
      </c>
      <c r="V7" s="1367" t="s">
        <v>1031</v>
      </c>
      <c r="W7" s="1368">
        <f t="shared" ref="W7:W15" si="2">J7</f>
        <v>0</v>
      </c>
      <c r="X7" s="1369"/>
      <c r="Y7" s="1314" t="s">
        <v>1030</v>
      </c>
      <c r="Z7" s="1370"/>
      <c r="AA7" s="1386" t="e">
        <f>D7/F7</f>
        <v>#DIV/0!</v>
      </c>
      <c r="AB7" s="1386" t="e">
        <f>D7/H7</f>
        <v>#DIV/0!</v>
      </c>
      <c r="AC7" s="1386" t="e">
        <f>D7/J7</f>
        <v>#DIV/0!</v>
      </c>
    </row>
    <row r="8" s="1127" customFormat="1" ht="14.75" spans="1:29">
      <c r="A8" s="1164" t="s">
        <v>1032</v>
      </c>
      <c r="B8" s="1165"/>
      <c r="C8" s="1171" t="s">
        <v>1083</v>
      </c>
      <c r="D8" s="1167">
        <v>100</v>
      </c>
      <c r="E8" s="1171"/>
      <c r="F8" s="1169">
        <f>SUMIF(72:72,E8,73:73)-SUMIF(72:72,C8,73:73)+100</f>
        <v>0</v>
      </c>
      <c r="G8" s="1171"/>
      <c r="H8" s="1167">
        <f>SUMIF(72:72,G8,73:73)-SUMIF(72:72,C8,73:73)+100</f>
        <v>0</v>
      </c>
      <c r="I8" s="1171"/>
      <c r="J8" s="1167">
        <f>SUMIF(72:72,I8,73:73)-SUMIF(72:72,C8,73:73)+100</f>
        <v>0</v>
      </c>
      <c r="K8" s="1311"/>
      <c r="L8" s="1312"/>
      <c r="M8" s="1313"/>
      <c r="N8" s="1313"/>
      <c r="O8" s="1313"/>
      <c r="P8" s="1314" t="s">
        <v>1034</v>
      </c>
      <c r="Q8" s="1370"/>
      <c r="R8" s="1367" t="s">
        <v>1031</v>
      </c>
      <c r="S8" s="1368">
        <f t="shared" si="0"/>
        <v>0</v>
      </c>
      <c r="T8" s="1367" t="s">
        <v>1031</v>
      </c>
      <c r="U8" s="1368">
        <f t="shared" si="1"/>
        <v>0</v>
      </c>
      <c r="V8" s="1367" t="s">
        <v>1031</v>
      </c>
      <c r="W8" s="1368">
        <f t="shared" si="2"/>
        <v>0</v>
      </c>
      <c r="X8" s="1369"/>
      <c r="Y8" s="1314" t="s">
        <v>1034</v>
      </c>
      <c r="Z8" s="1370"/>
      <c r="AA8" s="1386" t="e">
        <f t="shared" ref="AA8:AA45" si="3">D8/F8</f>
        <v>#DIV/0!</v>
      </c>
      <c r="AB8" s="1386" t="e">
        <f t="shared" ref="AB8:AB45" si="4">D8/H8</f>
        <v>#DIV/0!</v>
      </c>
      <c r="AC8" s="1386" t="e">
        <f t="shared" ref="AC8:AC45" si="5">D8/J8</f>
        <v>#DIV/0!</v>
      </c>
    </row>
    <row r="9" s="1127" customFormat="1" spans="1:29">
      <c r="A9" s="1172" t="s">
        <v>1035</v>
      </c>
      <c r="B9" s="1173" t="s">
        <v>1036</v>
      </c>
      <c r="C9" s="1511"/>
      <c r="D9" s="1175">
        <v>100</v>
      </c>
      <c r="E9" s="1511"/>
      <c r="F9" s="1175">
        <f>SUMIF(74:74,E9,75:75)-SUMIF(74:74,C9,75:75)+100</f>
        <v>100</v>
      </c>
      <c r="G9" s="1511"/>
      <c r="H9" s="1175">
        <f>SUMIF(74:74,G9,75:75)-SUMIF(74:74,C9,75:75)+100</f>
        <v>100</v>
      </c>
      <c r="I9" s="1511"/>
      <c r="J9" s="1175">
        <f>SUMIF(74:74,I9,75:75)-SUMIF(74:74,C9,75:75)+100</f>
        <v>100</v>
      </c>
      <c r="K9" s="1311"/>
      <c r="L9" s="1312"/>
      <c r="M9" s="1313"/>
      <c r="N9" s="1313"/>
      <c r="O9" s="1315"/>
      <c r="P9" s="712" t="s">
        <v>1037</v>
      </c>
      <c r="Q9" s="1371" t="str">
        <f t="shared" ref="Q9:Q15" si="6">B9</f>
        <v>用途</v>
      </c>
      <c r="R9" s="1367" t="s">
        <v>1031</v>
      </c>
      <c r="S9" s="1368">
        <f t="shared" si="0"/>
        <v>100</v>
      </c>
      <c r="T9" s="1367" t="s">
        <v>1031</v>
      </c>
      <c r="U9" s="1368">
        <f t="shared" si="1"/>
        <v>100</v>
      </c>
      <c r="V9" s="1367" t="s">
        <v>1031</v>
      </c>
      <c r="W9" s="1368">
        <f t="shared" si="2"/>
        <v>100</v>
      </c>
      <c r="X9" s="1369"/>
      <c r="Y9" s="1371" t="s">
        <v>1038</v>
      </c>
      <c r="Z9" s="1387" t="str">
        <f t="shared" ref="Z9:Z15" si="7">Q9</f>
        <v>用途</v>
      </c>
      <c r="AA9" s="1386">
        <f t="shared" si="3"/>
        <v>1</v>
      </c>
      <c r="AB9" s="1386">
        <f t="shared" si="4"/>
        <v>1</v>
      </c>
      <c r="AC9" s="1386">
        <f t="shared" si="5"/>
        <v>1</v>
      </c>
    </row>
    <row r="10" s="1128" customFormat="1" ht="28" spans="1:29">
      <c r="A10" s="1176"/>
      <c r="B10" s="1177" t="s">
        <v>1039</v>
      </c>
      <c r="C10" s="1178"/>
      <c r="D10" s="1179">
        <v>100</v>
      </c>
      <c r="E10" s="1512"/>
      <c r="F10" s="1179">
        <f>ROUND(100/'数据-取费表'!G16,0)</f>
        <v>106</v>
      </c>
      <c r="G10" s="1513"/>
      <c r="H10" s="1179">
        <f>ROUND(100/'数据-取费表'!G16,0)</f>
        <v>106</v>
      </c>
      <c r="I10" s="1513"/>
      <c r="J10" s="1179">
        <f>ROUND(100/'数据-取费表'!G16,0)</f>
        <v>106</v>
      </c>
      <c r="K10" s="1316"/>
      <c r="L10" s="1317"/>
      <c r="M10" s="1318"/>
      <c r="N10" s="1318"/>
      <c r="O10" s="1319"/>
      <c r="P10" s="712"/>
      <c r="Q10" s="1371" t="str">
        <f t="shared" si="6"/>
        <v>土地使用年限（年）</v>
      </c>
      <c r="R10" s="1367" t="s">
        <v>1031</v>
      </c>
      <c r="S10" s="1368">
        <f t="shared" si="0"/>
        <v>106</v>
      </c>
      <c r="T10" s="1367" t="s">
        <v>1031</v>
      </c>
      <c r="U10" s="1368">
        <f t="shared" si="1"/>
        <v>106</v>
      </c>
      <c r="V10" s="1367" t="s">
        <v>1031</v>
      </c>
      <c r="W10" s="1368">
        <f t="shared" si="2"/>
        <v>106</v>
      </c>
      <c r="X10" s="1369"/>
      <c r="Y10" s="1371"/>
      <c r="Z10" s="1387" t="str">
        <f t="shared" si="7"/>
        <v>土地使用年限（年）</v>
      </c>
      <c r="AA10" s="1386">
        <f t="shared" si="3"/>
        <v>0.943396226415094</v>
      </c>
      <c r="AB10" s="1386">
        <f t="shared" si="4"/>
        <v>0.943396226415094</v>
      </c>
      <c r="AC10" s="1386">
        <f t="shared" si="5"/>
        <v>0.943396226415094</v>
      </c>
    </row>
    <row r="11" ht="15.5" spans="1:29">
      <c r="A11" s="1180"/>
      <c r="B11" s="1177" t="s">
        <v>1042</v>
      </c>
      <c r="C11" s="1182"/>
      <c r="D11" s="1179">
        <v>100</v>
      </c>
      <c r="E11" s="1182"/>
      <c r="F11" s="1179" t="e">
        <f>LOOKUP(E11,79:79,80:80)-LOOKUP(C11,79:79,80:80)+100</f>
        <v>#N/A</v>
      </c>
      <c r="G11" s="1183"/>
      <c r="H11" s="1179" t="e">
        <f>LOOKUP(G11,79:79,80:80)-LOOKUP(C11,79:79,80:80)+100</f>
        <v>#N/A</v>
      </c>
      <c r="I11" s="1182"/>
      <c r="J11" s="1179" t="e">
        <f>LOOKUP(I11,79:79,80:80)-LOOKUP(C11,79:79,80:80)+100</f>
        <v>#N/A</v>
      </c>
      <c r="K11" s="1320"/>
      <c r="L11" s="1321"/>
      <c r="M11" s="1307"/>
      <c r="N11" s="1307"/>
      <c r="O11" s="1322"/>
      <c r="P11" s="712"/>
      <c r="Q11" s="1371" t="str">
        <f t="shared" si="6"/>
        <v>容积率</v>
      </c>
      <c r="R11" s="1367" t="s">
        <v>1031</v>
      </c>
      <c r="S11" s="1368" t="e">
        <f t="shared" si="0"/>
        <v>#N/A</v>
      </c>
      <c r="T11" s="1367" t="s">
        <v>1031</v>
      </c>
      <c r="U11" s="1368" t="e">
        <f t="shared" si="1"/>
        <v>#N/A</v>
      </c>
      <c r="V11" s="1367" t="s">
        <v>1031</v>
      </c>
      <c r="W11" s="1368" t="e">
        <f t="shared" si="2"/>
        <v>#N/A</v>
      </c>
      <c r="X11" s="1369"/>
      <c r="Y11" s="1371"/>
      <c r="Z11" s="1387" t="str">
        <f t="shared" si="7"/>
        <v>容积率</v>
      </c>
      <c r="AA11" s="1386" t="e">
        <f t="shared" si="3"/>
        <v>#N/A</v>
      </c>
      <c r="AB11" s="1386" t="e">
        <f t="shared" si="4"/>
        <v>#N/A</v>
      </c>
      <c r="AC11" s="1386" t="e">
        <f t="shared" si="5"/>
        <v>#N/A</v>
      </c>
    </row>
    <row r="12" s="1127" customFormat="1" ht="15.5" spans="1:29">
      <c r="A12" s="1184"/>
      <c r="B12" s="1185" t="s">
        <v>1646</v>
      </c>
      <c r="C12" s="1178"/>
      <c r="D12" s="1186">
        <v>100</v>
      </c>
      <c r="E12" s="1512"/>
      <c r="F12" s="1179">
        <f>SUMIF(81:81,E12,82:82)-SUMIF(81:81,C12,82:82)+100</f>
        <v>100</v>
      </c>
      <c r="G12" s="1513"/>
      <c r="H12" s="1179">
        <f>SUMIF(81:81,G12,82:82)-SUMIF(81:81,C12,82:82)+100</f>
        <v>100</v>
      </c>
      <c r="I12" s="1512"/>
      <c r="J12" s="1179">
        <f>SUMIF(81:81,I12,82:82)-SUMIF(81:81,C12,82:82)+100</f>
        <v>100</v>
      </c>
      <c r="K12" s="1316"/>
      <c r="L12" s="1312"/>
      <c r="M12" s="1313"/>
      <c r="N12" s="1313"/>
      <c r="O12" s="1315"/>
      <c r="P12" s="712"/>
      <c r="Q12" s="1371" t="str">
        <f t="shared" si="6"/>
        <v>配建</v>
      </c>
      <c r="R12" s="1367" t="s">
        <v>1031</v>
      </c>
      <c r="S12" s="1368">
        <f t="shared" si="0"/>
        <v>100</v>
      </c>
      <c r="T12" s="1367" t="s">
        <v>1031</v>
      </c>
      <c r="U12" s="1368">
        <f t="shared" si="1"/>
        <v>100</v>
      </c>
      <c r="V12" s="1367" t="s">
        <v>1031</v>
      </c>
      <c r="W12" s="1368">
        <f t="shared" si="2"/>
        <v>100</v>
      </c>
      <c r="X12" s="1369"/>
      <c r="Y12" s="1371"/>
      <c r="Z12" s="1387" t="str">
        <f t="shared" si="7"/>
        <v>配建</v>
      </c>
      <c r="AA12" s="1386">
        <f t="shared" si="3"/>
        <v>1</v>
      </c>
      <c r="AB12" s="1386">
        <f t="shared" si="4"/>
        <v>1</v>
      </c>
      <c r="AC12" s="1386">
        <f t="shared" si="5"/>
        <v>1</v>
      </c>
    </row>
    <row r="13" ht="15.5" spans="1:29">
      <c r="A13" s="1180"/>
      <c r="B13" s="1185">
        <v>111</v>
      </c>
      <c r="C13" s="1189"/>
      <c r="D13" s="1190">
        <v>100</v>
      </c>
      <c r="E13" s="1187"/>
      <c r="F13" s="1179">
        <f>SUMIF(83:83,E13,84:84)-SUMIF(83:83,C13,84:84)+100</f>
        <v>100</v>
      </c>
      <c r="G13" s="1188"/>
      <c r="H13" s="1190">
        <f>SUMIF(83:83,G13,84:84)-SUMIF(83:83,C13,84:84)+100</f>
        <v>100</v>
      </c>
      <c r="I13" s="1188"/>
      <c r="J13" s="1190">
        <f>SUMIF(83:83,I13,84:84)-SUMIF(83:83,C13,84:84)+100</f>
        <v>100</v>
      </c>
      <c r="K13" s="1316"/>
      <c r="L13" s="1323"/>
      <c r="M13" s="1307"/>
      <c r="N13" s="1307"/>
      <c r="O13" s="1322"/>
      <c r="P13" s="712"/>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16.2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6"/>
      <c r="L14" s="1323"/>
      <c r="M14" s="1307"/>
      <c r="N14" s="1307"/>
      <c r="O14" s="1322"/>
      <c r="P14" s="712"/>
      <c r="Q14" s="1371">
        <f t="shared" si="6"/>
        <v>111</v>
      </c>
      <c r="R14" s="1367" t="s">
        <v>1031</v>
      </c>
      <c r="S14" s="1368">
        <f t="shared" si="0"/>
        <v>100</v>
      </c>
      <c r="T14" s="1367" t="s">
        <v>1031</v>
      </c>
      <c r="U14" s="1368">
        <f t="shared" si="1"/>
        <v>100</v>
      </c>
      <c r="V14" s="1367" t="s">
        <v>1031</v>
      </c>
      <c r="W14" s="1368">
        <f t="shared" si="2"/>
        <v>100</v>
      </c>
      <c r="X14" s="1369"/>
      <c r="Y14" s="1371"/>
      <c r="Z14" s="1387">
        <f t="shared" si="7"/>
        <v>111</v>
      </c>
      <c r="AA14" s="1386">
        <f t="shared" si="3"/>
        <v>1</v>
      </c>
      <c r="AB14" s="1386">
        <f t="shared" si="4"/>
        <v>1</v>
      </c>
      <c r="AC14" s="1386">
        <f t="shared" si="5"/>
        <v>1</v>
      </c>
    </row>
    <row r="15" ht="98" spans="1:29">
      <c r="A15" s="1195" t="s">
        <v>1043</v>
      </c>
      <c r="B15" s="1514" t="s">
        <v>1086</v>
      </c>
      <c r="C15" s="1515"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4"/>
      <c r="J15" s="1198">
        <f>SUMIF(87:87,I16,88:88)-SUMIF(87:87,C16,88:88)+100</f>
        <v>100</v>
      </c>
      <c r="K15" s="1320"/>
      <c r="L15" s="1323"/>
      <c r="M15" s="1307"/>
      <c r="N15" s="1307"/>
      <c r="O15" s="1322"/>
      <c r="P15" s="1325" t="s">
        <v>1045</v>
      </c>
      <c r="Q15" s="712" t="str">
        <f t="shared" si="6"/>
        <v>居住社区成熟度</v>
      </c>
      <c r="R15" s="1372" t="s">
        <v>1031</v>
      </c>
      <c r="S15" s="1373">
        <f t="shared" si="0"/>
        <v>100</v>
      </c>
      <c r="T15" s="1372" t="s">
        <v>1031</v>
      </c>
      <c r="U15" s="1373">
        <f t="shared" si="1"/>
        <v>100</v>
      </c>
      <c r="V15" s="1372" t="s">
        <v>1031</v>
      </c>
      <c r="W15" s="1373">
        <f t="shared" si="2"/>
        <v>100</v>
      </c>
      <c r="X15" s="1359"/>
      <c r="Y15" s="1325" t="s">
        <v>1045</v>
      </c>
      <c r="Z15" s="1346" t="str">
        <f t="shared" si="7"/>
        <v>居住社区成熟度</v>
      </c>
      <c r="AA15" s="1388">
        <f t="shared" si="3"/>
        <v>1</v>
      </c>
      <c r="AB15" s="1388">
        <f t="shared" si="4"/>
        <v>1</v>
      </c>
      <c r="AC15" s="1388">
        <f t="shared" si="5"/>
        <v>1</v>
      </c>
    </row>
    <row r="16" ht="15.5" spans="1:29">
      <c r="A16" s="1180"/>
      <c r="B16" s="1516"/>
      <c r="C16" s="1201"/>
      <c r="D16" s="1202"/>
      <c r="E16" s="1517"/>
      <c r="F16" s="1202"/>
      <c r="G16" s="1517"/>
      <c r="H16" s="1203"/>
      <c r="I16" s="1523"/>
      <c r="J16" s="1202"/>
      <c r="K16" s="1316"/>
      <c r="L16" s="1323"/>
      <c r="M16" s="1307"/>
      <c r="N16" s="1307"/>
      <c r="O16" s="1322"/>
      <c r="P16" s="1326"/>
      <c r="Q16" s="712"/>
      <c r="R16" s="1372"/>
      <c r="S16" s="1373"/>
      <c r="T16" s="1372"/>
      <c r="U16" s="1373"/>
      <c r="V16" s="1372"/>
      <c r="W16" s="1373"/>
      <c r="X16" s="1359"/>
      <c r="Y16" s="1326"/>
      <c r="Z16" s="1346"/>
      <c r="AA16" s="1388">
        <v>1</v>
      </c>
      <c r="AB16" s="1388">
        <v>1</v>
      </c>
      <c r="AC16" s="1388">
        <v>1</v>
      </c>
    </row>
    <row r="17" ht="84" spans="1:29">
      <c r="A17" s="1180"/>
      <c r="B17" s="1518" t="s">
        <v>1044</v>
      </c>
      <c r="C17" s="709"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7"/>
      <c r="J17" s="1207">
        <f>SUMIF(89:89,I18,90:90)-SUMIF(89:89,C18,90:90)+100</f>
        <v>100</v>
      </c>
      <c r="K17" s="1320"/>
      <c r="L17" s="1323"/>
      <c r="M17" s="1307"/>
      <c r="N17" s="1307"/>
      <c r="O17" s="1322"/>
      <c r="P17" s="1326"/>
      <c r="Q17" s="712" t="str">
        <f>B17</f>
        <v>商业繁华度</v>
      </c>
      <c r="R17" s="1372" t="s">
        <v>1031</v>
      </c>
      <c r="S17" s="1373">
        <f>F17</f>
        <v>100</v>
      </c>
      <c r="T17" s="1372" t="s">
        <v>1031</v>
      </c>
      <c r="U17" s="1373">
        <f>H17</f>
        <v>100</v>
      </c>
      <c r="V17" s="1372" t="s">
        <v>1031</v>
      </c>
      <c r="W17" s="1373">
        <f>J17</f>
        <v>100</v>
      </c>
      <c r="X17" s="1359"/>
      <c r="Y17" s="1326"/>
      <c r="Z17" s="1346" t="str">
        <f>Q17</f>
        <v>商业繁华度</v>
      </c>
      <c r="AA17" s="1388">
        <f t="shared" si="3"/>
        <v>1</v>
      </c>
      <c r="AB17" s="1388">
        <f t="shared" si="4"/>
        <v>1</v>
      </c>
      <c r="AC17" s="1388">
        <f t="shared" si="5"/>
        <v>1</v>
      </c>
    </row>
    <row r="18" ht="15.5" spans="1:29">
      <c r="A18" s="1180"/>
      <c r="B18" s="1227"/>
      <c r="C18" s="1519"/>
      <c r="D18" s="1203"/>
      <c r="E18" s="1520"/>
      <c r="F18" s="1203"/>
      <c r="G18" s="1520"/>
      <c r="H18" s="1202"/>
      <c r="I18" s="1530"/>
      <c r="J18" s="1202"/>
      <c r="K18" s="1316"/>
      <c r="L18" s="1323"/>
      <c r="M18" s="1307"/>
      <c r="N18" s="1307"/>
      <c r="O18" s="1322"/>
      <c r="P18" s="1326"/>
      <c r="Q18" s="712"/>
      <c r="R18" s="1372"/>
      <c r="S18" s="1373"/>
      <c r="T18" s="1372"/>
      <c r="U18" s="1373"/>
      <c r="V18" s="1372"/>
      <c r="W18" s="1373"/>
      <c r="X18" s="1359"/>
      <c r="Y18" s="1326"/>
      <c r="Z18" s="1346"/>
      <c r="AA18" s="1388">
        <v>1</v>
      </c>
      <c r="AB18" s="1388">
        <v>1</v>
      </c>
      <c r="AC18" s="1388">
        <v>1</v>
      </c>
    </row>
    <row r="19" ht="84" spans="1:29">
      <c r="A19" s="1180"/>
      <c r="B19" s="1518" t="s">
        <v>1617</v>
      </c>
      <c r="C19" s="709"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31"/>
      <c r="J19" s="1203">
        <f>SUMIF(91:91,I20,92:92)-SUMIF(91:91,C20,92:92)+100</f>
        <v>100</v>
      </c>
      <c r="K19" s="1320"/>
      <c r="L19" s="1323"/>
      <c r="M19" s="1307"/>
      <c r="N19" s="1307"/>
      <c r="O19" s="1322"/>
      <c r="P19" s="1326"/>
      <c r="Q19" s="712" t="str">
        <f>B19</f>
        <v>办公集聚程度</v>
      </c>
      <c r="R19" s="1372" t="s">
        <v>1031</v>
      </c>
      <c r="S19" s="1373">
        <f>F19</f>
        <v>100</v>
      </c>
      <c r="T19" s="1372" t="s">
        <v>1031</v>
      </c>
      <c r="U19" s="1373">
        <f>H19</f>
        <v>100</v>
      </c>
      <c r="V19" s="1372" t="s">
        <v>1031</v>
      </c>
      <c r="W19" s="1373">
        <f>J19</f>
        <v>100</v>
      </c>
      <c r="X19" s="1359"/>
      <c r="Y19" s="1326"/>
      <c r="Z19" s="1346" t="str">
        <f>Q19</f>
        <v>办公集聚程度</v>
      </c>
      <c r="AA19" s="1388">
        <f t="shared" si="3"/>
        <v>1</v>
      </c>
      <c r="AB19" s="1388">
        <f t="shared" si="4"/>
        <v>1</v>
      </c>
      <c r="AC19" s="1388">
        <f t="shared" si="5"/>
        <v>1</v>
      </c>
    </row>
    <row r="20" ht="15.5" spans="1:29">
      <c r="A20" s="1180"/>
      <c r="B20" s="1227"/>
      <c r="C20" s="1201"/>
      <c r="D20" s="1202"/>
      <c r="E20" s="1517"/>
      <c r="F20" s="1202"/>
      <c r="G20" s="1517"/>
      <c r="H20" s="1202"/>
      <c r="I20" s="1523"/>
      <c r="J20" s="1202"/>
      <c r="K20" s="1316"/>
      <c r="L20" s="1323"/>
      <c r="M20" s="1307"/>
      <c r="N20" s="1307"/>
      <c r="O20" s="1322"/>
      <c r="P20" s="1326"/>
      <c r="Q20" s="712"/>
      <c r="R20" s="1372"/>
      <c r="S20" s="1373"/>
      <c r="T20" s="1372"/>
      <c r="U20" s="1373"/>
      <c r="V20" s="1372"/>
      <c r="W20" s="1373"/>
      <c r="X20" s="1359"/>
      <c r="Y20" s="1326"/>
      <c r="Z20" s="1346"/>
      <c r="AA20" s="1388">
        <v>1</v>
      </c>
      <c r="AB20" s="1388">
        <v>1</v>
      </c>
      <c r="AC20" s="1388">
        <v>1</v>
      </c>
    </row>
    <row r="21" ht="98" spans="1:29">
      <c r="A21" s="1180"/>
      <c r="B21" s="1518" t="s">
        <v>1048</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7"/>
      <c r="J21" s="1203">
        <f>SUMIF(93:93,I22,94:94)-SUMIF(93:93,C22,94:94)+100</f>
        <v>100</v>
      </c>
      <c r="K21" s="1320"/>
      <c r="L21" s="1323"/>
      <c r="M21" s="1307"/>
      <c r="N21" s="1307"/>
      <c r="O21" s="1322"/>
      <c r="P21" s="1326"/>
      <c r="Q21" s="712" t="str">
        <f>B21</f>
        <v>交通便捷度</v>
      </c>
      <c r="R21" s="1372" t="s">
        <v>1031</v>
      </c>
      <c r="S21" s="1373">
        <f>F21</f>
        <v>100</v>
      </c>
      <c r="T21" s="1372" t="s">
        <v>1031</v>
      </c>
      <c r="U21" s="1373">
        <f>H21</f>
        <v>100</v>
      </c>
      <c r="V21" s="1372" t="s">
        <v>1031</v>
      </c>
      <c r="W21" s="1373">
        <f>J21</f>
        <v>100</v>
      </c>
      <c r="X21" s="1359"/>
      <c r="Y21" s="1326"/>
      <c r="Z21" s="1346" t="str">
        <f>Q21</f>
        <v>交通便捷度</v>
      </c>
      <c r="AA21" s="1388">
        <f t="shared" si="3"/>
        <v>1</v>
      </c>
      <c r="AB21" s="1388">
        <f t="shared" si="4"/>
        <v>1</v>
      </c>
      <c r="AC21" s="1388">
        <f t="shared" si="5"/>
        <v>1</v>
      </c>
    </row>
    <row r="22" ht="15.5" spans="1:29">
      <c r="A22" s="1180"/>
      <c r="B22" s="1522"/>
      <c r="C22" s="1201"/>
      <c r="D22" s="1203"/>
      <c r="E22" s="1517"/>
      <c r="F22" s="1202"/>
      <c r="G22" s="1517"/>
      <c r="H22" s="1202"/>
      <c r="I22" s="1523"/>
      <c r="J22" s="1202"/>
      <c r="K22" s="1316"/>
      <c r="L22" s="1323"/>
      <c r="M22" s="1307"/>
      <c r="N22" s="1307"/>
      <c r="O22" s="1322"/>
      <c r="P22" s="1326"/>
      <c r="Q22" s="712"/>
      <c r="R22" s="1372"/>
      <c r="S22" s="1373"/>
      <c r="T22" s="1372"/>
      <c r="U22" s="1373"/>
      <c r="V22" s="1372"/>
      <c r="W22" s="1373"/>
      <c r="X22" s="1359"/>
      <c r="Y22" s="1326"/>
      <c r="Z22" s="1346"/>
      <c r="AA22" s="1388">
        <v>1</v>
      </c>
      <c r="AB22" s="1388">
        <v>1</v>
      </c>
      <c r="AC22" s="1388">
        <v>1</v>
      </c>
    </row>
    <row r="23" ht="28" spans="1:29">
      <c r="A23" s="1152"/>
      <c r="B23" s="1518" t="s">
        <v>1647</v>
      </c>
      <c r="C23" s="1217">
        <f>估价对象房地状况!C19</f>
        <v>0</v>
      </c>
      <c r="D23" s="1207">
        <v>100</v>
      </c>
      <c r="E23" s="1206"/>
      <c r="F23" s="1207">
        <f>SUMIF(95:95,E24,96:96)-SUMIF(95:95,C24,96:96)+100</f>
        <v>100</v>
      </c>
      <c r="G23" s="1327"/>
      <c r="H23" s="1207">
        <f>SUMIF(95:95,G24,96:96)-SUMIF(95:95,C24,96:96)+100</f>
        <v>100</v>
      </c>
      <c r="I23" s="1327"/>
      <c r="J23" s="1207">
        <f>SUMIF(95:95,I24,96:96)-SUMIF(95:95,C24,96:96)+100</f>
        <v>100</v>
      </c>
      <c r="K23" s="1320"/>
      <c r="L23" s="1323"/>
      <c r="M23" s="1307"/>
      <c r="N23" s="1307"/>
      <c r="O23" s="1322"/>
      <c r="P23" s="1326"/>
      <c r="Q23" s="712" t="str">
        <f t="shared" ref="Q23:Q38" si="8">B23</f>
        <v>区域土地利用方向</v>
      </c>
      <c r="R23" s="1372" t="s">
        <v>1031</v>
      </c>
      <c r="S23" s="1373">
        <f>F23</f>
        <v>100</v>
      </c>
      <c r="T23" s="1372" t="s">
        <v>1031</v>
      </c>
      <c r="U23" s="1373">
        <f>H23</f>
        <v>100</v>
      </c>
      <c r="V23" s="1372" t="s">
        <v>1031</v>
      </c>
      <c r="W23" s="1373">
        <f>J23</f>
        <v>100</v>
      </c>
      <c r="X23" s="1359"/>
      <c r="Y23" s="1326"/>
      <c r="Z23" s="1346" t="str">
        <f>Q23</f>
        <v>区域土地利用方向</v>
      </c>
      <c r="AA23" s="1388">
        <f t="shared" si="3"/>
        <v>1</v>
      </c>
      <c r="AB23" s="1388">
        <f t="shared" si="4"/>
        <v>1</v>
      </c>
      <c r="AC23" s="1388">
        <f t="shared" si="5"/>
        <v>1</v>
      </c>
    </row>
    <row r="24" ht="15.5" spans="1:29">
      <c r="A24" s="1152"/>
      <c r="B24" s="1227"/>
      <c r="C24" s="1212"/>
      <c r="D24" s="1202"/>
      <c r="E24" s="1517"/>
      <c r="F24" s="1202"/>
      <c r="G24" s="1523"/>
      <c r="H24" s="1202"/>
      <c r="I24" s="1523"/>
      <c r="J24" s="1202"/>
      <c r="K24" s="1328"/>
      <c r="L24" s="1323"/>
      <c r="M24" s="1307"/>
      <c r="N24" s="1307"/>
      <c r="O24" s="1322"/>
      <c r="P24" s="1326"/>
      <c r="Q24" s="712"/>
      <c r="R24" s="1372"/>
      <c r="S24" s="1373"/>
      <c r="T24" s="1372"/>
      <c r="U24" s="1373"/>
      <c r="V24" s="1372"/>
      <c r="W24" s="1373"/>
      <c r="X24" s="1359"/>
      <c r="Y24" s="1326"/>
      <c r="Z24" s="1346"/>
      <c r="AA24" s="1388"/>
      <c r="AB24" s="1388"/>
      <c r="AC24" s="1388"/>
    </row>
    <row r="25" ht="56" spans="1:29">
      <c r="A25" s="1152"/>
      <c r="B25" s="1522" t="s">
        <v>1648</v>
      </c>
      <c r="C25" s="709" t="str">
        <f>估价对象房地状况!C20</f>
        <v>区域自然环境：；人文环境；综合评价环境状况一般</v>
      </c>
      <c r="D25" s="1203">
        <v>100</v>
      </c>
      <c r="E25" s="1206"/>
      <c r="F25" s="1203">
        <f>SUMIF(97:97,E26,98:98)-SUMIF(97:97,C26,98:98)+100</f>
        <v>100</v>
      </c>
      <c r="G25" s="1206"/>
      <c r="H25" s="1203">
        <f>SUMIF(97:97,G26,98:98)-SUMIF(97:97,C26,98:98)+100</f>
        <v>100</v>
      </c>
      <c r="I25" s="1327"/>
      <c r="J25" s="1203">
        <f>SUMIF(97:97,I26,98:98)-SUMIF(97:97,C26,98:98)+100</f>
        <v>100</v>
      </c>
      <c r="K25" s="1320"/>
      <c r="L25" s="1323"/>
      <c r="M25" s="1307"/>
      <c r="N25" s="1307"/>
      <c r="O25" s="1322"/>
      <c r="P25" s="1326"/>
      <c r="Q25" s="712" t="str">
        <f t="shared" si="8"/>
        <v>自然及人文环境状况</v>
      </c>
      <c r="R25" s="1372" t="s">
        <v>1031</v>
      </c>
      <c r="S25" s="1373">
        <f>F25</f>
        <v>100</v>
      </c>
      <c r="T25" s="1372" t="s">
        <v>1031</v>
      </c>
      <c r="U25" s="1373">
        <f>H25</f>
        <v>100</v>
      </c>
      <c r="V25" s="1372" t="s">
        <v>1031</v>
      </c>
      <c r="W25" s="1373">
        <f>J25</f>
        <v>100</v>
      </c>
      <c r="X25" s="1359"/>
      <c r="Y25" s="1326"/>
      <c r="Z25" s="1346" t="str">
        <f>Q25</f>
        <v>自然及人文环境状况</v>
      </c>
      <c r="AA25" s="1388">
        <f t="shared" si="3"/>
        <v>1</v>
      </c>
      <c r="AB25" s="1388">
        <f t="shared" si="4"/>
        <v>1</v>
      </c>
      <c r="AC25" s="1388">
        <f t="shared" si="5"/>
        <v>1</v>
      </c>
    </row>
    <row r="26" ht="15.5" spans="1:29">
      <c r="A26" s="1152"/>
      <c r="B26" s="1227"/>
      <c r="C26" s="1201"/>
      <c r="D26" s="1202"/>
      <c r="E26" s="1215"/>
      <c r="F26" s="1202"/>
      <c r="G26" s="1215"/>
      <c r="H26" s="1202"/>
      <c r="I26" s="1201"/>
      <c r="J26" s="1202"/>
      <c r="K26" s="1316"/>
      <c r="L26" s="1323"/>
      <c r="M26" s="1307"/>
      <c r="N26" s="1307"/>
      <c r="O26" s="1322"/>
      <c r="P26" s="1326"/>
      <c r="Q26" s="712"/>
      <c r="R26" s="1372"/>
      <c r="S26" s="1373"/>
      <c r="T26" s="1372"/>
      <c r="U26" s="1373"/>
      <c r="V26" s="1372"/>
      <c r="W26" s="1373"/>
      <c r="X26" s="1359"/>
      <c r="Y26" s="1326"/>
      <c r="Z26" s="1346"/>
      <c r="AA26" s="1388">
        <v>1</v>
      </c>
      <c r="AB26" s="1388">
        <v>1</v>
      </c>
      <c r="AC26" s="1388">
        <v>1</v>
      </c>
    </row>
    <row r="27" s="1127" customFormat="1" ht="42" spans="1:29">
      <c r="A27" s="1209"/>
      <c r="B27" s="1522" t="s">
        <v>1049</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7"/>
      <c r="J27" s="1203">
        <f>SUMIF(99:99,I28,100:100)-SUMIF(99:99,C28,100:100)+100</f>
        <v>100</v>
      </c>
      <c r="K27" s="1320"/>
      <c r="L27" s="1312"/>
      <c r="M27" s="1313"/>
      <c r="N27" s="1313"/>
      <c r="O27" s="1315"/>
      <c r="P27" s="1326"/>
      <c r="Q27" s="1371" t="str">
        <f t="shared" si="8"/>
        <v>公共配套设施</v>
      </c>
      <c r="R27" s="1367" t="s">
        <v>1031</v>
      </c>
      <c r="S27" s="1368">
        <f>F27</f>
        <v>100</v>
      </c>
      <c r="T27" s="1367" t="s">
        <v>1031</v>
      </c>
      <c r="U27" s="1368">
        <f>H27</f>
        <v>100</v>
      </c>
      <c r="V27" s="1367" t="s">
        <v>1031</v>
      </c>
      <c r="W27" s="1368">
        <f>J27</f>
        <v>100</v>
      </c>
      <c r="X27" s="1369"/>
      <c r="Y27" s="1326"/>
      <c r="Z27" s="1387" t="str">
        <f>Q27</f>
        <v>公共配套设施</v>
      </c>
      <c r="AA27" s="1388">
        <f>D27/F27</f>
        <v>1</v>
      </c>
      <c r="AB27" s="1388">
        <f>D27/H27</f>
        <v>1</v>
      </c>
      <c r="AC27" s="1388">
        <f>D27/J27</f>
        <v>1</v>
      </c>
    </row>
    <row r="28" s="1127" customFormat="1" ht="15.5" spans="1:29">
      <c r="A28" s="1209"/>
      <c r="B28" s="1227"/>
      <c r="C28" s="1211"/>
      <c r="D28" s="1202"/>
      <c r="E28" s="1215"/>
      <c r="F28" s="1202"/>
      <c r="G28" s="1215"/>
      <c r="H28" s="1202"/>
      <c r="I28" s="1201"/>
      <c r="J28" s="1202"/>
      <c r="K28" s="1316"/>
      <c r="L28" s="1312"/>
      <c r="M28" s="1313"/>
      <c r="N28" s="1313"/>
      <c r="O28" s="1315"/>
      <c r="P28" s="1326"/>
      <c r="Q28" s="1371"/>
      <c r="R28" s="1367"/>
      <c r="S28" s="1368"/>
      <c r="T28" s="1367"/>
      <c r="U28" s="1368"/>
      <c r="V28" s="1367"/>
      <c r="W28" s="1368"/>
      <c r="X28" s="1369"/>
      <c r="Y28" s="1326"/>
      <c r="Z28" s="1387"/>
      <c r="AA28" s="1388">
        <v>1</v>
      </c>
      <c r="AB28" s="1388">
        <v>1</v>
      </c>
      <c r="AC28" s="1388">
        <v>1</v>
      </c>
    </row>
    <row r="29" s="1127" customFormat="1" ht="42" spans="1:29">
      <c r="A29" s="1209"/>
      <c r="B29" s="1522" t="s">
        <v>1050</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7"/>
      <c r="J29" s="1203">
        <f>SUMIF(101:101,I30,102:102)-SUMIF(101:101,C30,102:102)+100</f>
        <v>100</v>
      </c>
      <c r="K29" s="1320"/>
      <c r="L29" s="1312"/>
      <c r="M29" s="1313"/>
      <c r="N29" s="1313"/>
      <c r="O29" s="1315"/>
      <c r="P29" s="1326"/>
      <c r="Q29" s="1371" t="str">
        <f t="shared" ref="Q29" si="9">B29</f>
        <v>基础设施水平</v>
      </c>
      <c r="R29" s="1367" t="s">
        <v>1031</v>
      </c>
      <c r="S29" s="1368">
        <f>F29</f>
        <v>100</v>
      </c>
      <c r="T29" s="1367" t="s">
        <v>1031</v>
      </c>
      <c r="U29" s="1368">
        <f>H29</f>
        <v>100</v>
      </c>
      <c r="V29" s="1367" t="s">
        <v>1031</v>
      </c>
      <c r="W29" s="1368">
        <f>J29</f>
        <v>100</v>
      </c>
      <c r="X29" s="1369"/>
      <c r="Y29" s="1326"/>
      <c r="Z29" s="1387" t="str">
        <f>Q29</f>
        <v>基础设施水平</v>
      </c>
      <c r="AA29" s="1388">
        <f>D29/F29</f>
        <v>1</v>
      </c>
      <c r="AB29" s="1388">
        <f>D29/H29</f>
        <v>1</v>
      </c>
      <c r="AC29" s="1388">
        <f>D29/J29</f>
        <v>1</v>
      </c>
    </row>
    <row r="30" s="1127" customFormat="1" ht="15.5" spans="1:29">
      <c r="A30" s="1209"/>
      <c r="B30" s="1227"/>
      <c r="C30" s="1211"/>
      <c r="D30" s="1202"/>
      <c r="E30" s="1524"/>
      <c r="F30" s="1202"/>
      <c r="G30" s="1524"/>
      <c r="H30" s="1202"/>
      <c r="I30" s="1524"/>
      <c r="J30" s="1202"/>
      <c r="K30" s="1316"/>
      <c r="L30" s="1312"/>
      <c r="M30" s="1313"/>
      <c r="N30" s="1313"/>
      <c r="O30" s="1315"/>
      <c r="P30" s="1326"/>
      <c r="Q30" s="1371"/>
      <c r="R30" s="1367"/>
      <c r="S30" s="1368"/>
      <c r="T30" s="1367"/>
      <c r="U30" s="1368"/>
      <c r="V30" s="1367"/>
      <c r="W30" s="1368"/>
      <c r="X30" s="1369"/>
      <c r="Y30" s="1326"/>
      <c r="Z30" s="1387"/>
      <c r="AA30" s="1388">
        <v>1</v>
      </c>
      <c r="AB30" s="1388">
        <v>1</v>
      </c>
      <c r="AC30" s="1388">
        <v>1</v>
      </c>
    </row>
    <row r="31" ht="15.5" spans="1:29">
      <c r="A31" s="1180"/>
      <c r="B31" s="1227" t="s">
        <v>1052</v>
      </c>
      <c r="C31" s="1212"/>
      <c r="D31" s="1190">
        <v>100</v>
      </c>
      <c r="E31" s="1213"/>
      <c r="F31" s="1190">
        <f>SUMIF(103:103,E31,104:104)-SUMIF(103:103,C31,104:104)+100</f>
        <v>100</v>
      </c>
      <c r="G31" s="1213"/>
      <c r="H31" s="1190">
        <f>SUMIF(103:103,G31,104:104)-SUMIF(103:103,C31,104:104)+100</f>
        <v>100</v>
      </c>
      <c r="I31" s="1213"/>
      <c r="J31" s="1190">
        <f>SUMIF(103:103,I31,104:104)-SUMIF(103:103,C31,104:104)+100</f>
        <v>100</v>
      </c>
      <c r="K31" s="1320"/>
      <c r="L31" s="1323"/>
      <c r="M31" s="1307"/>
      <c r="N31" s="1307"/>
      <c r="O31" s="1322"/>
      <c r="P31" s="1326"/>
      <c r="Q31" s="712" t="str">
        <f t="shared" si="8"/>
        <v>临街状况</v>
      </c>
      <c r="R31" s="1372" t="s">
        <v>1031</v>
      </c>
      <c r="S31" s="1373">
        <f t="shared" ref="S31:S45" si="10">F31</f>
        <v>100</v>
      </c>
      <c r="T31" s="1372" t="s">
        <v>1031</v>
      </c>
      <c r="U31" s="1373">
        <f t="shared" ref="U31:U45" si="11">H31</f>
        <v>100</v>
      </c>
      <c r="V31" s="1372" t="s">
        <v>1031</v>
      </c>
      <c r="W31" s="1373">
        <f t="shared" ref="W31:W45" si="12">J31</f>
        <v>100</v>
      </c>
      <c r="X31" s="1359"/>
      <c r="Y31" s="1326"/>
      <c r="Z31" s="1346" t="str">
        <f t="shared" ref="Z31:Z45" si="13">Q31</f>
        <v>临街状况</v>
      </c>
      <c r="AA31" s="1388">
        <f t="shared" si="3"/>
        <v>1</v>
      </c>
      <c r="AB31" s="1388">
        <f t="shared" si="4"/>
        <v>1</v>
      </c>
      <c r="AC31" s="1388">
        <f t="shared" si="5"/>
        <v>1</v>
      </c>
    </row>
    <row r="32" ht="28" spans="1:29">
      <c r="A32" s="1180"/>
      <c r="B32" s="1522" t="s">
        <v>1619</v>
      </c>
      <c r="C32" s="1327"/>
      <c r="D32" s="1203">
        <v>100</v>
      </c>
      <c r="E32" s="1206"/>
      <c r="F32" s="1203">
        <f>SUMIF(105:105,E33,106:106)-SUMIF(105:105,C33,106:106)+100</f>
        <v>100</v>
      </c>
      <c r="G32" s="1206"/>
      <c r="H32" s="1203">
        <f>SUMIF(105:105,G33,106:106)-SUMIF(105:105,C33,106:106)+100</f>
        <v>100</v>
      </c>
      <c r="I32" s="1327"/>
      <c r="J32" s="1203">
        <f>SUMIF(105:105,I33,106:106)-SUMIF(105:105,C33,106:106)+100</f>
        <v>100</v>
      </c>
      <c r="K32" s="1320"/>
      <c r="L32" s="1323"/>
      <c r="M32" s="1307"/>
      <c r="N32" s="1307"/>
      <c r="O32" s="1322"/>
      <c r="P32" s="1326"/>
      <c r="Q32" s="712" t="str">
        <f t="shared" si="8"/>
        <v>毗邻道路的类型与等级</v>
      </c>
      <c r="R32" s="1372" t="s">
        <v>1031</v>
      </c>
      <c r="S32" s="1373">
        <f t="shared" si="10"/>
        <v>100</v>
      </c>
      <c r="T32" s="1372" t="s">
        <v>1031</v>
      </c>
      <c r="U32" s="1373">
        <f t="shared" si="11"/>
        <v>100</v>
      </c>
      <c r="V32" s="1372" t="s">
        <v>1031</v>
      </c>
      <c r="W32" s="1373">
        <f t="shared" si="12"/>
        <v>100</v>
      </c>
      <c r="X32" s="1359"/>
      <c r="Y32" s="1326"/>
      <c r="Z32" s="1346" t="str">
        <f t="shared" si="13"/>
        <v>毗邻道路的类型与等级</v>
      </c>
      <c r="AA32" s="1388">
        <f t="shared" si="3"/>
        <v>1</v>
      </c>
      <c r="AB32" s="1388">
        <f t="shared" si="4"/>
        <v>1</v>
      </c>
      <c r="AC32" s="1388">
        <f t="shared" si="5"/>
        <v>1</v>
      </c>
    </row>
    <row r="33" ht="15.5" spans="1:29">
      <c r="A33" s="1180"/>
      <c r="B33" s="1227"/>
      <c r="C33" s="1201"/>
      <c r="D33" s="1202"/>
      <c r="E33" s="1215"/>
      <c r="F33" s="1202"/>
      <c r="G33" s="1215"/>
      <c r="H33" s="1202"/>
      <c r="I33" s="1201"/>
      <c r="J33" s="1202"/>
      <c r="K33" s="1329"/>
      <c r="L33" s="1323"/>
      <c r="M33" s="1307"/>
      <c r="N33" s="1307"/>
      <c r="O33" s="1322"/>
      <c r="P33" s="1326"/>
      <c r="Q33" s="712"/>
      <c r="R33" s="1372"/>
      <c r="S33" s="1373"/>
      <c r="T33" s="1372"/>
      <c r="U33" s="1373"/>
      <c r="V33" s="1372"/>
      <c r="W33" s="1373"/>
      <c r="X33" s="1359"/>
      <c r="Y33" s="1326"/>
      <c r="Z33" s="1346"/>
      <c r="AA33" s="1388">
        <v>1</v>
      </c>
      <c r="AB33" s="1388">
        <v>1</v>
      </c>
      <c r="AC33" s="1388">
        <v>1</v>
      </c>
    </row>
    <row r="34" ht="15.5" spans="1:29">
      <c r="A34" s="1180"/>
      <c r="B34" s="1177" t="s">
        <v>1649</v>
      </c>
      <c r="C34" s="1212"/>
      <c r="D34" s="1190">
        <v>100</v>
      </c>
      <c r="E34" s="1213"/>
      <c r="F34" s="1190">
        <f>SUMIF(107:107,E34,108:108)-SUMIF(107:107,C34,108:108)+100</f>
        <v>100</v>
      </c>
      <c r="G34" s="1213"/>
      <c r="H34" s="1190">
        <f>SUMIF(107:107,G34,108:108)-SUMIF(107:107,C34,108:108)+100</f>
        <v>100</v>
      </c>
      <c r="I34" s="1212"/>
      <c r="J34" s="1190">
        <f>SUMIF(107:107,I34,108:108)-SUMIF(107:107,C34,108:108)+100</f>
        <v>100</v>
      </c>
      <c r="K34" s="1330"/>
      <c r="L34" s="1323"/>
      <c r="M34" s="1307"/>
      <c r="N34" s="1307"/>
      <c r="O34" s="1322"/>
      <c r="P34" s="1326"/>
      <c r="Q34" s="712" t="str">
        <f t="shared" si="8"/>
        <v>土地级别</v>
      </c>
      <c r="R34" s="1372" t="s">
        <v>1031</v>
      </c>
      <c r="S34" s="1373">
        <f t="shared" si="10"/>
        <v>100</v>
      </c>
      <c r="T34" s="1372" t="s">
        <v>1031</v>
      </c>
      <c r="U34" s="1373">
        <f t="shared" si="11"/>
        <v>100</v>
      </c>
      <c r="V34" s="1372" t="s">
        <v>1031</v>
      </c>
      <c r="W34" s="1373">
        <f t="shared" si="12"/>
        <v>100</v>
      </c>
      <c r="X34" s="1359"/>
      <c r="Y34" s="1326"/>
      <c r="Z34" s="1346" t="str">
        <f t="shared" si="13"/>
        <v>土地级别</v>
      </c>
      <c r="AA34" s="1388">
        <f t="shared" si="3"/>
        <v>1</v>
      </c>
      <c r="AB34" s="1388">
        <f t="shared" si="4"/>
        <v>1</v>
      </c>
      <c r="AC34" s="1388">
        <f t="shared" si="5"/>
        <v>1</v>
      </c>
    </row>
    <row r="35" ht="15.5" spans="1:29">
      <c r="A35" s="1152"/>
      <c r="B35" s="1525">
        <v>111</v>
      </c>
      <c r="C35" s="1188"/>
      <c r="D35" s="1190">
        <v>100</v>
      </c>
      <c r="E35" s="1219"/>
      <c r="F35" s="1190">
        <f>SUMIF(109:109,E35,110:110)-SUMIF(109:109,C35,110:110)+100</f>
        <v>100</v>
      </c>
      <c r="G35" s="1219"/>
      <c r="H35" s="1190">
        <f>SUMIF(109:109,G35,110:110)-SUMIF(109:109,C35,110:110)+100</f>
        <v>100</v>
      </c>
      <c r="I35" s="1188"/>
      <c r="J35" s="1190">
        <f>SUMIF(109:109,I35,110:110)-SUMIF(109:109,C35,110:110)+100</f>
        <v>100</v>
      </c>
      <c r="K35" s="1329"/>
      <c r="L35" s="1323"/>
      <c r="M35" s="1307"/>
      <c r="N35" s="1307"/>
      <c r="O35" s="1322"/>
      <c r="P35" s="1326"/>
      <c r="Q35" s="712">
        <f t="shared" si="8"/>
        <v>111</v>
      </c>
      <c r="R35" s="1372" t="s">
        <v>1031</v>
      </c>
      <c r="S35" s="1373">
        <f t="shared" si="10"/>
        <v>100</v>
      </c>
      <c r="T35" s="1372" t="s">
        <v>1031</v>
      </c>
      <c r="U35" s="1373">
        <f t="shared" si="11"/>
        <v>100</v>
      </c>
      <c r="V35" s="1372" t="s">
        <v>1031</v>
      </c>
      <c r="W35" s="1373">
        <f t="shared" si="12"/>
        <v>100</v>
      </c>
      <c r="X35" s="1359"/>
      <c r="Y35" s="1326"/>
      <c r="Z35" s="1346">
        <f t="shared" si="13"/>
        <v>111</v>
      </c>
      <c r="AA35" s="1388">
        <f t="shared" si="3"/>
        <v>1</v>
      </c>
      <c r="AB35" s="1388">
        <f t="shared" si="4"/>
        <v>1</v>
      </c>
      <c r="AC35" s="1388">
        <f t="shared" si="5"/>
        <v>1</v>
      </c>
    </row>
    <row r="36" ht="15.5" spans="1:29">
      <c r="A36" s="1220"/>
      <c r="B36" s="1234">
        <v>111</v>
      </c>
      <c r="C36" s="1188"/>
      <c r="D36" s="1190">
        <v>100</v>
      </c>
      <c r="E36" s="1219"/>
      <c r="F36" s="1190">
        <f>SUMIF(111:111,E37,112:112)-SUMIF(111:111,C37,112:112)+100</f>
        <v>100</v>
      </c>
      <c r="G36" s="1219"/>
      <c r="H36" s="1190">
        <f>SUMIF(111:111,G36,112:112)-SUMIF(111:111,C36,112:112)+100</f>
        <v>100</v>
      </c>
      <c r="I36" s="1188"/>
      <c r="J36" s="1190">
        <f>SUMIF(111:111,I36,112:112)-SUMIF(111:111,C36,112:112)+100</f>
        <v>100</v>
      </c>
      <c r="K36" s="1329"/>
      <c r="L36" s="1323"/>
      <c r="M36" s="1307"/>
      <c r="N36" s="1307"/>
      <c r="O36" s="1322"/>
      <c r="P36" s="1331" t="s">
        <v>1058</v>
      </c>
      <c r="Q36" s="712">
        <f t="shared" si="8"/>
        <v>111</v>
      </c>
      <c r="R36" s="1372" t="s">
        <v>1031</v>
      </c>
      <c r="S36" s="1373">
        <f t="shared" si="10"/>
        <v>100</v>
      </c>
      <c r="T36" s="1372" t="s">
        <v>1031</v>
      </c>
      <c r="U36" s="1373">
        <f t="shared" si="11"/>
        <v>100</v>
      </c>
      <c r="V36" s="1372" t="s">
        <v>1031</v>
      </c>
      <c r="W36" s="1373">
        <f t="shared" si="12"/>
        <v>100</v>
      </c>
      <c r="X36" s="1359"/>
      <c r="Y36" s="1334" t="s">
        <v>1058</v>
      </c>
      <c r="Z36" s="1346">
        <f t="shared" si="13"/>
        <v>111</v>
      </c>
      <c r="AA36" s="1388">
        <f t="shared" si="3"/>
        <v>1</v>
      </c>
      <c r="AB36" s="1388">
        <f t="shared" si="4"/>
        <v>1</v>
      </c>
      <c r="AC36" s="1388">
        <f t="shared" si="5"/>
        <v>1</v>
      </c>
    </row>
    <row r="37" s="1129" customFormat="1" ht="16.25" spans="1:29">
      <c r="A37" s="1222"/>
      <c r="B37" s="1526">
        <v>111</v>
      </c>
      <c r="C37" s="1224"/>
      <c r="D37" s="1225">
        <v>100</v>
      </c>
      <c r="E37" s="1226"/>
      <c r="F37" s="1194">
        <f>SUMIF(113:113,E37,114:114)-SUMIF(113:113,C37,114:114)+100</f>
        <v>100</v>
      </c>
      <c r="G37" s="1226"/>
      <c r="H37" s="1194">
        <f>SUMIF(113:113,G37,114:114)-SUMIF(113:113,C37,114:114)+100</f>
        <v>100</v>
      </c>
      <c r="I37" s="1224"/>
      <c r="J37" s="1194">
        <f>SUMIF(113:113,I37,114:114)-SUMIF(113:113,C37,114:114)+100</f>
        <v>100</v>
      </c>
      <c r="K37" s="1329"/>
      <c r="L37" s="1321"/>
      <c r="M37" s="1332"/>
      <c r="N37" s="1332"/>
      <c r="O37" s="1333"/>
      <c r="P37" s="1334"/>
      <c r="Q37" s="712">
        <f t="shared" si="8"/>
        <v>111</v>
      </c>
      <c r="R37" s="1374" t="s">
        <v>1031</v>
      </c>
      <c r="S37" s="1375">
        <f t="shared" si="10"/>
        <v>100</v>
      </c>
      <c r="T37" s="1374" t="s">
        <v>1031</v>
      </c>
      <c r="U37" s="1375">
        <f t="shared" si="11"/>
        <v>100</v>
      </c>
      <c r="V37" s="1374" t="s">
        <v>1031</v>
      </c>
      <c r="W37" s="1375">
        <f t="shared" si="12"/>
        <v>100</v>
      </c>
      <c r="X37" s="1376"/>
      <c r="Y37" s="1334"/>
      <c r="Z37" s="1389">
        <f t="shared" si="13"/>
        <v>111</v>
      </c>
      <c r="AA37" s="1388">
        <f t="shared" si="3"/>
        <v>1</v>
      </c>
      <c r="AB37" s="1388">
        <f t="shared" si="4"/>
        <v>1</v>
      </c>
      <c r="AC37" s="1388">
        <f t="shared" si="5"/>
        <v>1</v>
      </c>
    </row>
    <row r="38" ht="15.5" spans="1:29">
      <c r="A38" s="1230" t="s">
        <v>1056</v>
      </c>
      <c r="B38" s="1227" t="s">
        <v>1650</v>
      </c>
      <c r="C38" s="1228"/>
      <c r="D38" s="1229">
        <v>100</v>
      </c>
      <c r="E38" s="1228"/>
      <c r="F38" s="1229" t="e">
        <f>LOOKUP(E38,116:116,117:117)-LOOKUP(C38,116:116,117:117)+100</f>
        <v>#N/A</v>
      </c>
      <c r="G38" s="1228"/>
      <c r="H38" s="1229" t="e">
        <f>LOOKUP(G38,116:116,117:117)-LOOKUP(C38,116:116,117:117)+100</f>
        <v>#N/A</v>
      </c>
      <c r="I38" s="1335"/>
      <c r="J38" s="1229" t="e">
        <f>LOOKUP(I38,116:116,117:117)-LOOKUP(C38,116:116,117:117)+100</f>
        <v>#N/A</v>
      </c>
      <c r="K38" s="1329"/>
      <c r="L38" s="1323"/>
      <c r="M38" s="1307"/>
      <c r="N38" s="1307"/>
      <c r="O38" s="1322"/>
      <c r="P38" s="1334"/>
      <c r="Q38" s="712" t="str">
        <f t="shared" si="8"/>
        <v>宗地面积</v>
      </c>
      <c r="R38" s="1372" t="s">
        <v>1031</v>
      </c>
      <c r="S38" s="1373" t="e">
        <f t="shared" si="10"/>
        <v>#N/A</v>
      </c>
      <c r="T38" s="1372" t="s">
        <v>1031</v>
      </c>
      <c r="U38" s="1373" t="e">
        <f t="shared" si="11"/>
        <v>#N/A</v>
      </c>
      <c r="V38" s="1372" t="s">
        <v>1031</v>
      </c>
      <c r="W38" s="1373" t="e">
        <f t="shared" si="12"/>
        <v>#N/A</v>
      </c>
      <c r="X38" s="1359"/>
      <c r="Y38" s="1334"/>
      <c r="Z38" s="1346" t="str">
        <f t="shared" si="13"/>
        <v>宗地面积</v>
      </c>
      <c r="AA38" s="1388" t="e">
        <f t="shared" si="3"/>
        <v>#N/A</v>
      </c>
      <c r="AB38" s="1388" t="e">
        <f t="shared" si="4"/>
        <v>#N/A</v>
      </c>
      <c r="AC38" s="1388" t="e">
        <f t="shared" si="5"/>
        <v>#N/A</v>
      </c>
    </row>
    <row r="39" ht="15.5" spans="1:29">
      <c r="A39" s="1230"/>
      <c r="B39" s="1177" t="s">
        <v>1651</v>
      </c>
      <c r="C39" s="1231"/>
      <c r="D39" s="1190">
        <v>100</v>
      </c>
      <c r="E39" s="1231"/>
      <c r="F39" s="1190">
        <f>SUMIF(118:118,E39,119:119)-SUMIF(118:118,C39,119:119)+100</f>
        <v>100</v>
      </c>
      <c r="G39" s="1231"/>
      <c r="H39" s="1190">
        <f>SUMIF(118:118,G39,119:119)-SUMIF(118:118,C39,119:119)+100</f>
        <v>100</v>
      </c>
      <c r="I39" s="1231"/>
      <c r="J39" s="1190">
        <f>SUMIF(118:118,I39,119:119)-SUMIF(118:118,C39,119:119)+100</f>
        <v>100</v>
      </c>
      <c r="K39" s="1330"/>
      <c r="L39" s="1323"/>
      <c r="M39" s="1307"/>
      <c r="N39" s="1307"/>
      <c r="O39" s="1322"/>
      <c r="P39" s="1334"/>
      <c r="Q39" s="712" t="str">
        <f t="shared" ref="Q39:Q45" si="14">B39</f>
        <v>宗地形状</v>
      </c>
      <c r="R39" s="1372" t="s">
        <v>1031</v>
      </c>
      <c r="S39" s="1373">
        <f t="shared" si="10"/>
        <v>100</v>
      </c>
      <c r="T39" s="1372" t="s">
        <v>1031</v>
      </c>
      <c r="U39" s="1373">
        <f t="shared" si="11"/>
        <v>100</v>
      </c>
      <c r="V39" s="1372" t="s">
        <v>1031</v>
      </c>
      <c r="W39" s="1373">
        <f t="shared" si="12"/>
        <v>100</v>
      </c>
      <c r="X39" s="1359"/>
      <c r="Y39" s="1334"/>
      <c r="Z39" s="1346" t="str">
        <f t="shared" si="13"/>
        <v>宗地形状</v>
      </c>
      <c r="AA39" s="1388">
        <f t="shared" si="3"/>
        <v>1</v>
      </c>
      <c r="AB39" s="1388">
        <f t="shared" si="4"/>
        <v>1</v>
      </c>
      <c r="AC39" s="1388">
        <f t="shared" si="5"/>
        <v>1</v>
      </c>
    </row>
    <row r="40" ht="15.5" spans="1:29">
      <c r="A40" s="1230"/>
      <c r="B40" s="1177" t="s">
        <v>1652</v>
      </c>
      <c r="C40" s="1231"/>
      <c r="D40" s="1190">
        <v>100</v>
      </c>
      <c r="E40" s="1231"/>
      <c r="F40" s="1190">
        <f>SUMIF(120:120,E40,121:121)-SUMIF(120:120,C40,121:121)+100</f>
        <v>100</v>
      </c>
      <c r="G40" s="1231"/>
      <c r="H40" s="1190">
        <f>SUMIF(120:120,G40,121:121)-SUMIF(120:120,C40,121:121)+100</f>
        <v>100</v>
      </c>
      <c r="I40" s="1231"/>
      <c r="J40" s="1190">
        <f>SUMIF(120:120,I40,121:121)-SUMIF(120:120,C40,121:121)+100</f>
        <v>100</v>
      </c>
      <c r="K40" s="1330"/>
      <c r="L40" s="1323"/>
      <c r="M40" s="1307"/>
      <c r="N40" s="1307"/>
      <c r="O40" s="1322"/>
      <c r="P40" s="1334"/>
      <c r="Q40" s="712" t="str">
        <f t="shared" si="14"/>
        <v>临街宽度及深度</v>
      </c>
      <c r="R40" s="1372" t="s">
        <v>1031</v>
      </c>
      <c r="S40" s="1373">
        <f t="shared" si="10"/>
        <v>100</v>
      </c>
      <c r="T40" s="1372" t="s">
        <v>1031</v>
      </c>
      <c r="U40" s="1373">
        <f t="shared" si="11"/>
        <v>100</v>
      </c>
      <c r="V40" s="1372" t="s">
        <v>1031</v>
      </c>
      <c r="W40" s="1373">
        <f t="shared" si="12"/>
        <v>100</v>
      </c>
      <c r="X40" s="1359"/>
      <c r="Y40" s="1334"/>
      <c r="Z40" s="1346" t="str">
        <f t="shared" si="13"/>
        <v>临街宽度及深度</v>
      </c>
      <c r="AA40" s="1388">
        <f t="shared" si="3"/>
        <v>1</v>
      </c>
      <c r="AB40" s="1388">
        <f t="shared" si="4"/>
        <v>1</v>
      </c>
      <c r="AC40" s="1388">
        <f t="shared" si="5"/>
        <v>1</v>
      </c>
    </row>
    <row r="41" s="1127" customFormat="1" ht="15.5" spans="1:29">
      <c r="A41" s="1232"/>
      <c r="B41" s="1177" t="s">
        <v>1653</v>
      </c>
      <c r="C41" s="1233"/>
      <c r="D41" s="1179">
        <v>100</v>
      </c>
      <c r="E41" s="1233"/>
      <c r="F41" s="1190">
        <f>SUMIF(122:122,E41,123:123)-SUMIF(122:122,C41,123:123)+100</f>
        <v>100</v>
      </c>
      <c r="G41" s="1233"/>
      <c r="H41" s="1190">
        <f>SUMIF(122:122,G41,123:123)-SUMIF(122:122,C41,123:123)+100</f>
        <v>100</v>
      </c>
      <c r="I41" s="1233"/>
      <c r="J41" s="1190">
        <f>SUMIF(122:122,I41,123:123)-SUMIF(122:122,C41,123:123)+100</f>
        <v>100</v>
      </c>
      <c r="K41" s="1330"/>
      <c r="L41" s="1312"/>
      <c r="M41" s="1313"/>
      <c r="N41" s="1313"/>
      <c r="O41" s="1315"/>
      <c r="P41" s="1334"/>
      <c r="Q41" s="712" t="str">
        <f t="shared" si="14"/>
        <v>宗地开发程度</v>
      </c>
      <c r="R41" s="1367" t="s">
        <v>1031</v>
      </c>
      <c r="S41" s="1368">
        <f t="shared" si="10"/>
        <v>100</v>
      </c>
      <c r="T41" s="1367" t="s">
        <v>1031</v>
      </c>
      <c r="U41" s="1368">
        <f t="shared" si="11"/>
        <v>100</v>
      </c>
      <c r="V41" s="1367" t="s">
        <v>1031</v>
      </c>
      <c r="W41" s="1368">
        <f t="shared" si="12"/>
        <v>100</v>
      </c>
      <c r="X41" s="1369"/>
      <c r="Y41" s="1334"/>
      <c r="Z41" s="1387" t="str">
        <f t="shared" si="13"/>
        <v>宗地开发程度</v>
      </c>
      <c r="AA41" s="1386">
        <f t="shared" si="3"/>
        <v>1</v>
      </c>
      <c r="AB41" s="1386">
        <f t="shared" si="4"/>
        <v>1</v>
      </c>
      <c r="AC41" s="1386">
        <f t="shared" si="5"/>
        <v>1</v>
      </c>
    </row>
    <row r="42" ht="15.5" spans="1:29">
      <c r="A42" s="1230"/>
      <c r="B42" s="1177" t="s">
        <v>1654</v>
      </c>
      <c r="C42" s="1231"/>
      <c r="D42" s="1190">
        <v>100</v>
      </c>
      <c r="E42" s="1231"/>
      <c r="F42" s="1190">
        <f>SUMIF(124:124,E42,125:125)-SUMIF(124:124,C42,125:125)+100</f>
        <v>100</v>
      </c>
      <c r="G42" s="1231"/>
      <c r="H42" s="1190">
        <f>SUMIF(124:124,G42,125:125)-SUMIF(124:124,C42,125:125)+100</f>
        <v>100</v>
      </c>
      <c r="I42" s="1231"/>
      <c r="J42" s="1190">
        <f>SUMIF(124:124,I42,125:125)-SUMIF(124:124,C42,125:125)+100</f>
        <v>100</v>
      </c>
      <c r="K42" s="1330"/>
      <c r="L42" s="1323"/>
      <c r="M42" s="1307"/>
      <c r="N42" s="1307"/>
      <c r="O42" s="1322"/>
      <c r="P42" s="1334" t="s">
        <v>1058</v>
      </c>
      <c r="Q42" s="712" t="str">
        <f t="shared" si="14"/>
        <v>工程地质条件</v>
      </c>
      <c r="R42" s="1372" t="s">
        <v>1031</v>
      </c>
      <c r="S42" s="1373">
        <f t="shared" si="10"/>
        <v>100</v>
      </c>
      <c r="T42" s="1372" t="s">
        <v>1031</v>
      </c>
      <c r="U42" s="1373">
        <f t="shared" si="11"/>
        <v>100</v>
      </c>
      <c r="V42" s="1372" t="s">
        <v>1031</v>
      </c>
      <c r="W42" s="1373">
        <f t="shared" si="12"/>
        <v>100</v>
      </c>
      <c r="X42" s="1359"/>
      <c r="Y42" s="1334" t="s">
        <v>1058</v>
      </c>
      <c r="Z42" s="1346" t="str">
        <f t="shared" si="13"/>
        <v>工程地质条件</v>
      </c>
      <c r="AA42" s="1388">
        <f t="shared" si="3"/>
        <v>1</v>
      </c>
      <c r="AB42" s="1388">
        <f t="shared" si="4"/>
        <v>1</v>
      </c>
      <c r="AC42" s="1388">
        <f t="shared" si="5"/>
        <v>1</v>
      </c>
    </row>
    <row r="43" ht="15.5" spans="1:29">
      <c r="A43" s="1230"/>
      <c r="B43" s="1234">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29"/>
      <c r="L43" s="1323"/>
      <c r="M43" s="1307"/>
      <c r="N43" s="1307"/>
      <c r="O43" s="1322"/>
      <c r="P43" s="1334"/>
      <c r="Q43" s="712">
        <f t="shared" si="14"/>
        <v>111</v>
      </c>
      <c r="R43" s="1372" t="s">
        <v>1031</v>
      </c>
      <c r="S43" s="1373">
        <f t="shared" si="10"/>
        <v>100</v>
      </c>
      <c r="T43" s="1372" t="s">
        <v>1031</v>
      </c>
      <c r="U43" s="1373">
        <f t="shared" si="11"/>
        <v>100</v>
      </c>
      <c r="V43" s="1372" t="s">
        <v>1031</v>
      </c>
      <c r="W43" s="1373">
        <f t="shared" si="12"/>
        <v>100</v>
      </c>
      <c r="X43" s="1359"/>
      <c r="Y43" s="1334"/>
      <c r="Z43" s="1346">
        <f t="shared" si="13"/>
        <v>111</v>
      </c>
      <c r="AA43" s="1388">
        <f t="shared" si="3"/>
        <v>1</v>
      </c>
      <c r="AB43" s="1388">
        <f t="shared" si="4"/>
        <v>1</v>
      </c>
      <c r="AC43" s="1388">
        <f t="shared" si="5"/>
        <v>1</v>
      </c>
    </row>
    <row r="44" ht="15.5" spans="1:29">
      <c r="A44" s="1230"/>
      <c r="B44" s="1234">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29"/>
      <c r="L44" s="1323"/>
      <c r="M44" s="1307"/>
      <c r="N44" s="1307"/>
      <c r="O44" s="1322"/>
      <c r="P44" s="1334"/>
      <c r="Q44" s="712">
        <f t="shared" si="14"/>
        <v>111</v>
      </c>
      <c r="R44" s="1372" t="s">
        <v>1031</v>
      </c>
      <c r="S44" s="1373">
        <f t="shared" si="10"/>
        <v>100</v>
      </c>
      <c r="T44" s="1372" t="s">
        <v>1031</v>
      </c>
      <c r="U44" s="1373">
        <f t="shared" si="11"/>
        <v>100</v>
      </c>
      <c r="V44" s="1372" t="s">
        <v>1031</v>
      </c>
      <c r="W44" s="1373">
        <f t="shared" si="12"/>
        <v>100</v>
      </c>
      <c r="X44" s="1359"/>
      <c r="Y44" s="1334"/>
      <c r="Z44" s="1346">
        <f t="shared" si="13"/>
        <v>111</v>
      </c>
      <c r="AA44" s="1388">
        <f t="shared" si="3"/>
        <v>1</v>
      </c>
      <c r="AB44" s="1388">
        <f t="shared" si="4"/>
        <v>1</v>
      </c>
      <c r="AC44" s="1388">
        <f t="shared" si="5"/>
        <v>1</v>
      </c>
    </row>
    <row r="45" s="1129" customFormat="1" ht="16.25" spans="1:29">
      <c r="A45" s="1235"/>
      <c r="B45" s="1234">
        <v>111</v>
      </c>
      <c r="C45" s="1236"/>
      <c r="D45" s="1527">
        <v>100</v>
      </c>
      <c r="E45" s="1188"/>
      <c r="F45" s="1194">
        <f>SUMIF(130:130,E45,131:131)-SUMIF(130:130,C45,131:131)+100</f>
        <v>100</v>
      </c>
      <c r="G45" s="1188"/>
      <c r="H45" s="1194">
        <f>SUMIF(130:130,G45,131:131)-SUMIF(130:130,C45,131:131)+100</f>
        <v>100</v>
      </c>
      <c r="I45" s="1188"/>
      <c r="J45" s="1194">
        <f>SUMIF(130:130,I45,131:131)-SUMIF(130:130,C45,131:131)+100</f>
        <v>100</v>
      </c>
      <c r="K45" s="1336"/>
      <c r="L45" s="1321"/>
      <c r="M45" s="1332"/>
      <c r="N45" s="1332"/>
      <c r="O45" s="1333"/>
      <c r="P45" s="1334"/>
      <c r="Q45" s="712">
        <f t="shared" si="14"/>
        <v>111</v>
      </c>
      <c r="R45" s="1374" t="s">
        <v>1031</v>
      </c>
      <c r="S45" s="1375">
        <f t="shared" si="10"/>
        <v>100</v>
      </c>
      <c r="T45" s="1374" t="s">
        <v>1031</v>
      </c>
      <c r="U45" s="1375">
        <f t="shared" si="11"/>
        <v>100</v>
      </c>
      <c r="V45" s="1374" t="s">
        <v>1031</v>
      </c>
      <c r="W45" s="1375">
        <f t="shared" si="12"/>
        <v>100</v>
      </c>
      <c r="X45" s="1376"/>
      <c r="Y45" s="1334"/>
      <c r="Z45" s="1389">
        <f t="shared" si="13"/>
        <v>111</v>
      </c>
      <c r="AA45" s="1388">
        <f t="shared" si="3"/>
        <v>1</v>
      </c>
      <c r="AB45" s="1388">
        <f t="shared" si="4"/>
        <v>1</v>
      </c>
      <c r="AC45" s="1388">
        <f t="shared" si="5"/>
        <v>1</v>
      </c>
    </row>
    <row r="46" spans="1:29">
      <c r="A46" s="1237" t="s">
        <v>1636</v>
      </c>
      <c r="B46" s="1238" t="s">
        <v>1655</v>
      </c>
      <c r="C46" s="1239" t="s">
        <v>124</v>
      </c>
      <c r="D46" s="1240"/>
      <c r="E46" s="1241"/>
      <c r="F46" s="1242"/>
      <c r="G46" s="1243"/>
      <c r="H46" s="1244"/>
      <c r="I46" s="1241"/>
      <c r="J46" s="1244"/>
      <c r="K46" s="1337"/>
      <c r="L46" s="1338"/>
      <c r="M46" s="1254"/>
      <c r="N46" s="1307"/>
      <c r="O46" s="1254"/>
      <c r="P46" s="712" t="str">
        <f>A46</f>
        <v>成交单价</v>
      </c>
      <c r="Q46" s="712"/>
      <c r="R46" s="1346">
        <f>E46</f>
        <v>0</v>
      </c>
      <c r="S46" s="1346"/>
      <c r="T46" s="1346">
        <f>G46</f>
        <v>0</v>
      </c>
      <c r="U46" s="1346"/>
      <c r="V46" s="1346">
        <f>I46</f>
        <v>0</v>
      </c>
      <c r="W46" s="1346"/>
      <c r="X46" s="1295"/>
      <c r="Y46" s="1390"/>
      <c r="Z46" s="1295"/>
      <c r="AA46" s="1295"/>
      <c r="AB46" s="1295"/>
      <c r="AC46" s="1295"/>
    </row>
    <row r="47" ht="14.75" spans="1:29">
      <c r="A47" s="1245" t="s">
        <v>1075</v>
      </c>
      <c r="B47" s="1246"/>
      <c r="C47" s="1247" t="e">
        <f>R48</f>
        <v>#DIV/0!</v>
      </c>
      <c r="D47" s="1248" t="s">
        <v>1076</v>
      </c>
      <c r="E47" s="1247" t="e">
        <f>R47</f>
        <v>#DIV/0!</v>
      </c>
      <c r="F47" s="1249"/>
      <c r="G47" s="1250" t="e">
        <f>T47</f>
        <v>#DIV/0!</v>
      </c>
      <c r="H47" s="1249"/>
      <c r="I47" s="1247" t="e">
        <f>V47</f>
        <v>#DIV/0!</v>
      </c>
      <c r="J47" s="1249"/>
      <c r="K47" s="1339">
        <f>F47+H47+J47</f>
        <v>0</v>
      </c>
      <c r="L47" s="1338"/>
      <c r="M47" s="1254"/>
      <c r="N47" s="1254"/>
      <c r="O47" s="1254"/>
      <c r="P47" s="712" t="str">
        <f>A47</f>
        <v>比较价值（元/平方米）</v>
      </c>
      <c r="Q47" s="712"/>
      <c r="R47" s="1377" t="e">
        <f>ROUND(PRODUCT(R46,AA7:AA45),0)</f>
        <v>#DIV/0!</v>
      </c>
      <c r="S47" s="1377"/>
      <c r="T47" s="1377" t="e">
        <f>ROUND(PRODUCT(T46,AB7:AB45),0)</f>
        <v>#DIV/0!</v>
      </c>
      <c r="U47" s="1377"/>
      <c r="V47" s="1377" t="e">
        <f>ROUND(PRODUCT(V46,AC7:AC45),0)</f>
        <v>#DIV/0!</v>
      </c>
      <c r="W47" s="1377"/>
      <c r="X47" s="1295"/>
      <c r="Y47" s="1295"/>
      <c r="Z47" s="1295"/>
      <c r="AA47" s="1295"/>
      <c r="AB47" s="1295"/>
      <c r="AC47" s="1295"/>
    </row>
    <row r="48" ht="14.75" spans="1:29">
      <c r="A48" s="1251" t="s">
        <v>1656</v>
      </c>
      <c r="B48" s="1252"/>
      <c r="C48" s="1253" t="e">
        <f>R48</f>
        <v>#DIV/0!</v>
      </c>
      <c r="D48" s="1253"/>
      <c r="E48" s="1253"/>
      <c r="F48" s="1253"/>
      <c r="G48" s="1253"/>
      <c r="H48" s="1253"/>
      <c r="I48" s="1253"/>
      <c r="J48" s="1253"/>
      <c r="K48" s="1340"/>
      <c r="L48" s="1338"/>
      <c r="M48" s="1254"/>
      <c r="N48" s="1254"/>
      <c r="O48" s="1254"/>
      <c r="P48" s="1341" t="str">
        <f>A48</f>
        <v>估价对象XX用房的比较价值（楼面单价，元/平方米）</v>
      </c>
      <c r="Q48" s="1378"/>
      <c r="R48" s="1379" t="e">
        <f>ROUND(IF(D47="简单平均",AVERAGE(R47:W47),R47*F47+T47*H47+V47*J47),0)</f>
        <v>#DIV/0!</v>
      </c>
      <c r="S48" s="1379"/>
      <c r="T48" s="1379"/>
      <c r="U48" s="1379"/>
      <c r="V48" s="1379"/>
      <c r="W48" s="1379"/>
      <c r="X48" s="1295"/>
      <c r="Y48" s="1295"/>
      <c r="Z48" s="1295"/>
      <c r="AA48" s="1295"/>
      <c r="AB48" s="1295"/>
      <c r="AC48" s="1295"/>
    </row>
    <row r="49" spans="1:29">
      <c r="A49" s="1254"/>
      <c r="B49" s="1254"/>
      <c r="C49" s="1254"/>
      <c r="D49" s="1254"/>
      <c r="E49" s="1254"/>
      <c r="F49" s="1254"/>
      <c r="G49" s="1255"/>
      <c r="H49" s="1254"/>
      <c r="I49" s="1254"/>
      <c r="J49" s="1254"/>
      <c r="K49" s="1342"/>
      <c r="L49" s="1343"/>
      <c r="M49" s="1254"/>
      <c r="N49" s="1254"/>
      <c r="O49" s="1254"/>
      <c r="P49" s="1254"/>
      <c r="Q49" s="1254"/>
      <c r="R49" s="1254"/>
      <c r="S49" s="1254"/>
      <c r="T49" s="1254"/>
      <c r="U49" s="1254"/>
      <c r="V49" s="1254"/>
      <c r="W49" s="1254"/>
      <c r="X49" s="1254"/>
      <c r="Y49" s="1254"/>
      <c r="Z49" s="1254"/>
      <c r="AA49" s="1254"/>
      <c r="AB49" s="1254"/>
      <c r="AC49" s="1254"/>
    </row>
    <row r="50" spans="1:29">
      <c r="A50" s="1254"/>
      <c r="B50" s="1254"/>
      <c r="C50" s="1254"/>
      <c r="D50" s="1254"/>
      <c r="E50" s="1254"/>
      <c r="F50" s="1254"/>
      <c r="G50" s="1254"/>
      <c r="H50" s="1254"/>
      <c r="I50" s="1254"/>
      <c r="J50" s="1254"/>
      <c r="K50" s="1342"/>
      <c r="L50" s="1343"/>
      <c r="M50" s="1254"/>
      <c r="N50" s="1254"/>
      <c r="O50" s="1254"/>
      <c r="P50" s="1254"/>
      <c r="Q50" s="1254"/>
      <c r="R50" s="1254"/>
      <c r="S50" s="1254"/>
      <c r="T50" s="1254"/>
      <c r="U50" s="1254"/>
      <c r="V50" s="1254"/>
      <c r="W50" s="1254"/>
      <c r="X50" s="1254"/>
      <c r="Y50" s="1254"/>
      <c r="Z50" s="1254"/>
      <c r="AA50" s="1254"/>
      <c r="AB50" s="1254"/>
      <c r="AC50" s="1254"/>
    </row>
    <row r="51" ht="13.5" customHeight="1" spans="1:29">
      <c r="A51" s="1254"/>
      <c r="B51" s="1254"/>
      <c r="C51" s="1256" t="s">
        <v>1078</v>
      </c>
      <c r="D51" s="756"/>
      <c r="E51" s="1257" t="e">
        <f>IF(E46&lt;E47,E47/E46-1,E46/E47-1)</f>
        <v>#DIV/0!</v>
      </c>
      <c r="F51" s="1258" t="e">
        <f>IF(OR(E51&gt;=0.3,E51&lt;=-0.3),"超过30%","")</f>
        <v>#DIV/0!</v>
      </c>
      <c r="G51" s="1257" t="e">
        <f>IF(G46&lt;G47,G47/G46-1,G46/G47-1)</f>
        <v>#DIV/0!</v>
      </c>
      <c r="H51" s="1258" t="e">
        <f>IF(OR(G51&gt;=0.3,G51&lt;=-0.3),"超过30%","")</f>
        <v>#DIV/0!</v>
      </c>
      <c r="I51" s="1257" t="e">
        <f>IF(I46&lt;I47,I47/I46-1,I46/I47-1)</f>
        <v>#DIV/0!</v>
      </c>
      <c r="J51" s="1258" t="e">
        <f>IF(OR(I51&gt;=0.3,I51&lt;=-0.3),"超过30%","")</f>
        <v>#DIV/0!</v>
      </c>
      <c r="K51" s="1342"/>
      <c r="L51" s="1343"/>
      <c r="M51" s="1254"/>
      <c r="N51" s="1254"/>
      <c r="O51" s="1254"/>
      <c r="P51" s="1254"/>
      <c r="Q51" s="1254"/>
      <c r="R51" s="1254"/>
      <c r="S51" s="1254"/>
      <c r="T51" s="1254"/>
      <c r="U51" s="1254"/>
      <c r="V51" s="1254"/>
      <c r="W51" s="1254"/>
      <c r="X51" s="1254"/>
      <c r="Y51" s="1254"/>
      <c r="Z51" s="1254"/>
      <c r="AA51" s="1254"/>
      <c r="AB51" s="1254"/>
      <c r="AC51" s="1254"/>
    </row>
    <row r="52" ht="13.5" customHeight="1" spans="1:29">
      <c r="A52" s="1254"/>
      <c r="B52" s="1254"/>
      <c r="C52" s="1256" t="s">
        <v>1079</v>
      </c>
      <c r="D52" s="755"/>
      <c r="E52" s="1257" t="e">
        <f>IF(E47&lt;G47,G47/E47-1,E47/G47-1)</f>
        <v>#DIV/0!</v>
      </c>
      <c r="F52" s="1258" t="e">
        <f>IF(OR(E52&gt;=0.2,E52&lt;=-0.2),"超过20%","")</f>
        <v>#DIV/0!</v>
      </c>
      <c r="G52" s="1257" t="e">
        <f>IF(G47&lt;I47,I47/G47-1,G47/I47-1)</f>
        <v>#DIV/0!</v>
      </c>
      <c r="H52" s="1258" t="e">
        <f>IF(OR(G52&gt;=0.2,G52&lt;=-0.2),"超过20%","")</f>
        <v>#DIV/0!</v>
      </c>
      <c r="I52" s="1257" t="e">
        <f>IF(I47&lt;E47,E47/I47-1,I47/E47-1)</f>
        <v>#DIV/0!</v>
      </c>
      <c r="J52" s="1258" t="e">
        <f>IF(OR(I52&gt;=0.2,I52&lt;=-0.2),"超过20%","")</f>
        <v>#DIV/0!</v>
      </c>
      <c r="K52" s="1342"/>
      <c r="L52" s="1343"/>
      <c r="M52" s="1254"/>
      <c r="N52" s="1254"/>
      <c r="O52" s="1254"/>
      <c r="P52" s="1254"/>
      <c r="Q52" s="1254"/>
      <c r="R52" s="1254"/>
      <c r="S52" s="1254"/>
      <c r="T52" s="1254"/>
      <c r="U52" s="1254"/>
      <c r="V52" s="1254"/>
      <c r="W52" s="1254"/>
      <c r="X52" s="1254"/>
      <c r="Y52" s="1254"/>
      <c r="Z52" s="1254"/>
      <c r="AA52" s="1254"/>
      <c r="AB52" s="1254"/>
      <c r="AC52" s="1254"/>
    </row>
    <row r="53" s="1130" customFormat="1" ht="13.5" customHeight="1" spans="1:29">
      <c r="A53" s="1259"/>
      <c r="B53" s="1259"/>
      <c r="C53" s="1256" t="s">
        <v>1080</v>
      </c>
      <c r="D53" s="755"/>
      <c r="E53" s="1257" t="e">
        <f>IF(E46&lt;G46,G46/E46-1,E46/G46-1)</f>
        <v>#DIV/0!</v>
      </c>
      <c r="F53" s="1258" t="e">
        <f>IF(OR(E53&gt;=0.3,E53&lt;=-0.3),"超过30%","")</f>
        <v>#DIV/0!</v>
      </c>
      <c r="G53" s="1257" t="e">
        <f>IF(G46&lt;I46,I46/G46-1,G46/I46-1)</f>
        <v>#DIV/0!</v>
      </c>
      <c r="H53" s="1258" t="e">
        <f>IF(OR(G53&gt;=0.3,G53&lt;=-0.3),"超过30%","")</f>
        <v>#DIV/0!</v>
      </c>
      <c r="I53" s="1257" t="e">
        <f>IF(I46&lt;E46,E46/I46-1,I46/E46-1)</f>
        <v>#DIV/0!</v>
      </c>
      <c r="J53" s="1258" t="e">
        <f>IF(OR(I53&gt;=0.3,I53&lt;=-0.3),"超过30%","")</f>
        <v>#DIV/0!</v>
      </c>
      <c r="K53" s="1344"/>
      <c r="L53" s="1345"/>
      <c r="M53" s="1259"/>
      <c r="N53" s="1259"/>
      <c r="O53" s="1259"/>
      <c r="P53" s="1259"/>
      <c r="Q53" s="1259"/>
      <c r="R53" s="1259"/>
      <c r="S53" s="1259"/>
      <c r="T53" s="1259"/>
      <c r="U53" s="1259"/>
      <c r="V53" s="1259"/>
      <c r="W53" s="1259"/>
      <c r="X53" s="1259"/>
      <c r="Y53" s="1259"/>
      <c r="Z53" s="1259"/>
      <c r="AA53" s="1259"/>
      <c r="AB53" s="1259"/>
      <c r="AC53" s="1259"/>
    </row>
    <row r="54" s="1130" customFormat="1" ht="14.75" spans="1:29">
      <c r="A54" s="1259"/>
      <c r="B54" s="1260"/>
      <c r="C54" s="1261"/>
      <c r="D54" s="1262"/>
      <c r="E54" s="1262"/>
      <c r="F54" s="1262"/>
      <c r="G54" s="1262"/>
      <c r="H54" s="1262"/>
      <c r="I54" s="1262"/>
      <c r="J54" s="1262"/>
      <c r="K54" s="1344"/>
      <c r="L54" s="1345"/>
      <c r="M54" s="1259"/>
      <c r="N54" s="1259"/>
      <c r="O54" s="1259"/>
      <c r="P54" s="1259"/>
      <c r="Q54" s="1259"/>
      <c r="R54" s="1259"/>
      <c r="S54" s="1259"/>
      <c r="T54" s="1259"/>
      <c r="U54" s="1259"/>
      <c r="V54" s="1259"/>
      <c r="W54" s="1259"/>
      <c r="X54" s="1259"/>
      <c r="Y54" s="1259"/>
      <c r="Z54" s="1259"/>
      <c r="AA54" s="1259"/>
      <c r="AB54" s="1259"/>
      <c r="AC54" s="1259"/>
    </row>
    <row r="55" ht="27" customHeight="1" spans="1:29">
      <c r="A55" s="1263" t="s">
        <v>1657</v>
      </c>
      <c r="B55" s="1264" t="s">
        <v>1658</v>
      </c>
      <c r="C55" s="1265" t="s">
        <v>1659</v>
      </c>
      <c r="D55" s="1266" t="s">
        <v>1660</v>
      </c>
      <c r="E55" s="1267" t="s">
        <v>1661</v>
      </c>
      <c r="F55" s="1528" t="s">
        <v>1662</v>
      </c>
      <c r="G55" s="1148" t="s">
        <v>1663</v>
      </c>
      <c r="H55" s="707"/>
      <c r="I55" s="1532" t="s">
        <v>1664</v>
      </c>
      <c r="J55" s="1533">
        <f>项目基本情况!F35</f>
        <v>0</v>
      </c>
      <c r="K55" s="1347" t="s">
        <v>1665</v>
      </c>
      <c r="L55" s="1343"/>
      <c r="M55" s="1254"/>
      <c r="N55" s="1254"/>
      <c r="O55" s="1254"/>
      <c r="P55" s="1254"/>
      <c r="Q55" s="1254"/>
      <c r="R55" s="1254"/>
      <c r="S55" s="1254"/>
      <c r="T55" s="1254"/>
      <c r="U55" s="1254"/>
      <c r="V55" s="1254"/>
      <c r="W55" s="1254"/>
      <c r="X55" s="1254"/>
      <c r="Y55" s="1254"/>
      <c r="Z55" s="1254"/>
      <c r="AA55" s="1254"/>
      <c r="AB55" s="1254"/>
      <c r="AC55" s="1254"/>
    </row>
    <row r="56" s="1131" customFormat="1" spans="1:29">
      <c r="A56" s="1269" t="s">
        <v>1666</v>
      </c>
      <c r="B56" s="1270" t="e">
        <f>C48</f>
        <v>#DIV/0!</v>
      </c>
      <c r="C56" s="1271">
        <v>1</v>
      </c>
      <c r="D56" s="1272">
        <v>1</v>
      </c>
      <c r="E56" s="1271">
        <f>'数据-汇总表'!E8+'数据-汇总表'!E9</f>
        <v>36094.88</v>
      </c>
      <c r="F56" s="1529" t="e">
        <f t="shared" ref="F56:F64" si="15">ROUND(B56*E56/10000,0)</f>
        <v>#DIV/0!</v>
      </c>
      <c r="G56" s="1274"/>
      <c r="H56" s="712"/>
      <c r="I56" s="1534">
        <v>1</v>
      </c>
      <c r="J56" s="1535">
        <v>1</v>
      </c>
      <c r="K56" s="1259"/>
      <c r="L56" s="1348"/>
      <c r="M56" s="1348"/>
      <c r="N56" s="1348"/>
      <c r="O56" s="1348"/>
      <c r="P56" s="1348"/>
      <c r="Q56" s="1348"/>
      <c r="R56" s="1348"/>
      <c r="S56" s="1348"/>
      <c r="T56" s="1348"/>
      <c r="U56" s="1348"/>
      <c r="V56" s="1348"/>
      <c r="W56" s="1348"/>
      <c r="X56" s="1348"/>
      <c r="Y56" s="1348"/>
      <c r="Z56" s="1348"/>
      <c r="AA56" s="1348"/>
      <c r="AB56" s="1348"/>
      <c r="AC56" s="1348"/>
    </row>
    <row r="57" s="1131" customFormat="1" spans="1:29">
      <c r="A57" s="1275" t="s">
        <v>1667</v>
      </c>
      <c r="B57" s="423" t="e">
        <f>ROUND($C$48*C57*D57,0)</f>
        <v>#DIV/0!</v>
      </c>
      <c r="C57" s="626">
        <f t="shared" ref="C57:C64" si="16">IF($C$55="北京市系数",I57,J57)</f>
        <v>0</v>
      </c>
      <c r="D57" s="1276">
        <v>0.25</v>
      </c>
      <c r="E57" s="1277"/>
      <c r="F57" s="1529" t="e">
        <f t="shared" si="15"/>
        <v>#DIV/0!</v>
      </c>
      <c r="G57" s="1278" t="s">
        <v>1668</v>
      </c>
      <c r="H57" s="1279">
        <f>项目基本情况!B37</f>
        <v>0</v>
      </c>
      <c r="I57" s="1534">
        <f>SUMIF(修正!A57:A68,H57,修正!B57:B68)</f>
        <v>0</v>
      </c>
      <c r="J57" s="1536"/>
      <c r="K57" s="1254"/>
      <c r="L57" s="1348"/>
      <c r="M57" s="1348"/>
      <c r="N57" s="1348"/>
      <c r="O57" s="1348"/>
      <c r="P57" s="1348"/>
      <c r="Q57" s="1348"/>
      <c r="R57" s="1348"/>
      <c r="S57" s="1348"/>
      <c r="T57" s="1348"/>
      <c r="U57" s="1348"/>
      <c r="V57" s="1348"/>
      <c r="W57" s="1348"/>
      <c r="X57" s="1348"/>
      <c r="Y57" s="1348"/>
      <c r="Z57" s="1348"/>
      <c r="AA57" s="1348"/>
      <c r="AB57" s="1348"/>
      <c r="AC57" s="1348"/>
    </row>
    <row r="58" s="1131" customFormat="1" spans="1:29">
      <c r="A58" s="1275" t="s">
        <v>1669</v>
      </c>
      <c r="B58" s="423" t="e">
        <f t="shared" ref="B58:B64" si="17">ROUND($C$48*C58*D58,0)</f>
        <v>#DIV/0!</v>
      </c>
      <c r="C58" s="626">
        <f t="shared" si="16"/>
        <v>0</v>
      </c>
      <c r="D58" s="1276">
        <v>0.25</v>
      </c>
      <c r="E58" s="1277"/>
      <c r="F58" s="1529" t="e">
        <f t="shared" si="15"/>
        <v>#DIV/0!</v>
      </c>
      <c r="G58" s="1280"/>
      <c r="H58" s="1279">
        <f>项目基本情况!B37</f>
        <v>0</v>
      </c>
      <c r="I58" s="1534">
        <f>SUMIF(修正!A57:A68,H58,修正!C57:C68)</f>
        <v>0</v>
      </c>
      <c r="J58" s="1536"/>
      <c r="K58" s="1259"/>
      <c r="L58" s="1348"/>
      <c r="M58" s="1348"/>
      <c r="N58" s="1348"/>
      <c r="O58" s="1348"/>
      <c r="P58" s="1348"/>
      <c r="Q58" s="1348"/>
      <c r="R58" s="1348"/>
      <c r="S58" s="1348"/>
      <c r="T58" s="1348"/>
      <c r="U58" s="1348"/>
      <c r="V58" s="1348"/>
      <c r="W58" s="1348"/>
      <c r="X58" s="1348"/>
      <c r="Y58" s="1348"/>
      <c r="Z58" s="1348"/>
      <c r="AA58" s="1348"/>
      <c r="AB58" s="1348"/>
      <c r="AC58" s="1348"/>
    </row>
    <row r="59" s="1131" customFormat="1" spans="1:29">
      <c r="A59" s="1275" t="s">
        <v>1670</v>
      </c>
      <c r="B59" s="423" t="e">
        <f t="shared" si="17"/>
        <v>#DIV/0!</v>
      </c>
      <c r="C59" s="626">
        <f t="shared" si="16"/>
        <v>0</v>
      </c>
      <c r="D59" s="1276">
        <v>0.25</v>
      </c>
      <c r="E59" s="1277"/>
      <c r="F59" s="1529" t="e">
        <f t="shared" si="15"/>
        <v>#DIV/0!</v>
      </c>
      <c r="G59" s="1280"/>
      <c r="H59" s="1279">
        <f>项目基本情况!B37</f>
        <v>0</v>
      </c>
      <c r="I59" s="1534">
        <f>SUMIF(修正!A57:A68,H59,修正!D57:D68)</f>
        <v>0</v>
      </c>
      <c r="J59" s="1536"/>
      <c r="K59" s="1254"/>
      <c r="L59" s="1348"/>
      <c r="M59" s="1348"/>
      <c r="N59" s="1348"/>
      <c r="O59" s="1348"/>
      <c r="P59" s="1348"/>
      <c r="Q59" s="1348"/>
      <c r="R59" s="1348"/>
      <c r="S59" s="1348"/>
      <c r="T59" s="1348"/>
      <c r="U59" s="1348"/>
      <c r="V59" s="1348"/>
      <c r="W59" s="1348"/>
      <c r="X59" s="1348"/>
      <c r="Y59" s="1348"/>
      <c r="Z59" s="1348"/>
      <c r="AA59" s="1348"/>
      <c r="AB59" s="1348"/>
      <c r="AC59" s="1348"/>
    </row>
    <row r="60" s="1131" customFormat="1" spans="1:29">
      <c r="A60" s="1275" t="s">
        <v>1671</v>
      </c>
      <c r="B60" s="423" t="e">
        <f t="shared" si="17"/>
        <v>#DIV/0!</v>
      </c>
      <c r="C60" s="626">
        <f t="shared" si="16"/>
        <v>0</v>
      </c>
      <c r="D60" s="1276">
        <v>0.25</v>
      </c>
      <c r="E60" s="422">
        <f>'数据-汇总表'!E11</f>
        <v>0</v>
      </c>
      <c r="F60" s="1529" t="e">
        <f t="shared" si="15"/>
        <v>#DIV/0!</v>
      </c>
      <c r="G60" s="1282" t="s">
        <v>1672</v>
      </c>
      <c r="H60" s="1279">
        <f>项目基本情况!C37</f>
        <v>0</v>
      </c>
      <c r="I60" s="1534">
        <f>SUMIF(修正!A57:A68,H60,修正!E57:E68)</f>
        <v>0</v>
      </c>
      <c r="J60" s="1536"/>
      <c r="K60" s="1254"/>
      <c r="L60" s="1348"/>
      <c r="M60" s="1348"/>
      <c r="N60" s="1348"/>
      <c r="O60" s="1348"/>
      <c r="P60" s="1348"/>
      <c r="Q60" s="1348"/>
      <c r="R60" s="1348"/>
      <c r="S60" s="1348"/>
      <c r="T60" s="1348"/>
      <c r="U60" s="1348"/>
      <c r="V60" s="1348"/>
      <c r="W60" s="1348"/>
      <c r="X60" s="1348"/>
      <c r="Y60" s="1348"/>
      <c r="Z60" s="1348"/>
      <c r="AA60" s="1348"/>
      <c r="AB60" s="1348"/>
      <c r="AC60" s="1348"/>
    </row>
    <row r="61" s="1131" customFormat="1" spans="1:29">
      <c r="A61" s="1275" t="s">
        <v>1673</v>
      </c>
      <c r="B61" s="423" t="e">
        <f t="shared" si="17"/>
        <v>#DIV/0!</v>
      </c>
      <c r="C61" s="626">
        <f t="shared" si="16"/>
        <v>0</v>
      </c>
      <c r="D61" s="1276">
        <v>0.25</v>
      </c>
      <c r="E61" s="422">
        <f>'数据-汇总表'!E12</f>
        <v>0</v>
      </c>
      <c r="F61" s="1529" t="e">
        <f t="shared" si="15"/>
        <v>#DIV/0!</v>
      </c>
      <c r="G61" s="1283" t="s">
        <v>1674</v>
      </c>
      <c r="H61" s="1279">
        <f>IF(G61="商业",项目基本情况!B37,IF(G61="办公",项目基本情况!C37,IF(G61="住宅",项目基本情况!D37,项目基本情况!E37)))</f>
        <v>0</v>
      </c>
      <c r="I61" s="1534">
        <f>SUMIF(修正!A57:A68,H61,修正!F57:F68)</f>
        <v>0</v>
      </c>
      <c r="J61" s="1536"/>
      <c r="K61" s="1259"/>
      <c r="L61" s="1348"/>
      <c r="M61" s="1348"/>
      <c r="N61" s="1348"/>
      <c r="O61" s="1348"/>
      <c r="P61" s="1348"/>
      <c r="Q61" s="1348"/>
      <c r="R61" s="1348"/>
      <c r="S61" s="1348"/>
      <c r="T61" s="1348"/>
      <c r="U61" s="1348"/>
      <c r="V61" s="1348"/>
      <c r="W61" s="1348"/>
      <c r="X61" s="1348"/>
      <c r="Y61" s="1348"/>
      <c r="Z61" s="1348"/>
      <c r="AA61" s="1348"/>
      <c r="AB61" s="1348"/>
      <c r="AC61" s="1348"/>
    </row>
    <row r="62" s="1131" customFormat="1" spans="1:29">
      <c r="A62" s="1275" t="s">
        <v>1675</v>
      </c>
      <c r="B62" s="423" t="e">
        <f t="shared" si="17"/>
        <v>#DIV/0!</v>
      </c>
      <c r="C62" s="626">
        <f t="shared" si="16"/>
        <v>0</v>
      </c>
      <c r="D62" s="1276">
        <v>0.25</v>
      </c>
      <c r="E62" s="422">
        <f>'数据-汇总表'!E13</f>
        <v>9659.3</v>
      </c>
      <c r="F62" s="1529" t="e">
        <f t="shared" si="15"/>
        <v>#DIV/0!</v>
      </c>
      <c r="G62" s="1283" t="s">
        <v>1676</v>
      </c>
      <c r="H62" s="1279">
        <f>IF(G62="商业",项目基本情况!B37,IF(G62="办公",项目基本情况!C37,IF(G62="住宅",项目基本情况!D37,项目基本情况!E37)))</f>
        <v>0</v>
      </c>
      <c r="I62" s="1534">
        <f>SUMIF(修正!A57:A68,H62,修正!G57:G68)</f>
        <v>0</v>
      </c>
      <c r="J62" s="1536"/>
      <c r="K62" s="1254"/>
      <c r="L62" s="1348"/>
      <c r="M62" s="1348"/>
      <c r="N62" s="1348"/>
      <c r="O62" s="1348"/>
      <c r="P62" s="1348"/>
      <c r="Q62" s="1348"/>
      <c r="R62" s="1348"/>
      <c r="S62" s="1348"/>
      <c r="T62" s="1348"/>
      <c r="U62" s="1348"/>
      <c r="V62" s="1348"/>
      <c r="W62" s="1348"/>
      <c r="X62" s="1348"/>
      <c r="Y62" s="1348"/>
      <c r="Z62" s="1348"/>
      <c r="AA62" s="1348"/>
      <c r="AB62" s="1348"/>
      <c r="AC62" s="1348"/>
    </row>
    <row r="63" s="1131" customFormat="1" spans="1:29">
      <c r="A63" s="1275" t="s">
        <v>1677</v>
      </c>
      <c r="B63" s="423" t="e">
        <f t="shared" si="17"/>
        <v>#DIV/0!</v>
      </c>
      <c r="C63" s="626">
        <f t="shared" si="16"/>
        <v>0</v>
      </c>
      <c r="D63" s="1276">
        <v>0.25</v>
      </c>
      <c r="E63" s="422">
        <f>'数据-汇总表'!E14</f>
        <v>0</v>
      </c>
      <c r="F63" s="1529" t="e">
        <f t="shared" si="15"/>
        <v>#DIV/0!</v>
      </c>
      <c r="G63" s="1282" t="s">
        <v>1668</v>
      </c>
      <c r="H63" s="1279">
        <f>项目基本情况!B37</f>
        <v>0</v>
      </c>
      <c r="I63" s="1534">
        <f>SUMIF(修正!A57:A68,H63,修正!G57:G68)</f>
        <v>0</v>
      </c>
      <c r="J63" s="1536"/>
      <c r="K63" s="1259"/>
      <c r="L63" s="1348"/>
      <c r="M63" s="1348"/>
      <c r="N63" s="1348"/>
      <c r="O63" s="1348"/>
      <c r="P63" s="1348"/>
      <c r="Q63" s="1348"/>
      <c r="R63" s="1348"/>
      <c r="S63" s="1348"/>
      <c r="T63" s="1348"/>
      <c r="U63" s="1348"/>
      <c r="V63" s="1348"/>
      <c r="W63" s="1348"/>
      <c r="X63" s="1348"/>
      <c r="Y63" s="1348"/>
      <c r="Z63" s="1348"/>
      <c r="AA63" s="1348"/>
      <c r="AB63" s="1348"/>
      <c r="AC63" s="1348"/>
    </row>
    <row r="64" s="1131" customFormat="1" ht="14.75" spans="1:29">
      <c r="A64" s="1275" t="s">
        <v>1678</v>
      </c>
      <c r="B64" s="423" t="e">
        <f t="shared" si="17"/>
        <v>#DIV/0!</v>
      </c>
      <c r="C64" s="626">
        <f t="shared" si="16"/>
        <v>0</v>
      </c>
      <c r="D64" s="1276">
        <v>0.25</v>
      </c>
      <c r="E64" s="422">
        <f>'数据-汇总表'!E15</f>
        <v>0</v>
      </c>
      <c r="F64" s="1529" t="e">
        <f t="shared" si="15"/>
        <v>#DIV/0!</v>
      </c>
      <c r="G64" s="1284" t="s">
        <v>1672</v>
      </c>
      <c r="H64" s="1285">
        <f>项目基本情况!C37</f>
        <v>0</v>
      </c>
      <c r="I64" s="1537">
        <f>SUMIF(修正!A57:A68,H64,修正!G57:G68)</f>
        <v>0</v>
      </c>
      <c r="J64" s="1538"/>
      <c r="K64" s="1254"/>
      <c r="L64" s="1348"/>
      <c r="M64" s="1348"/>
      <c r="N64" s="1348"/>
      <c r="O64" s="1348"/>
      <c r="P64" s="1348"/>
      <c r="Q64" s="1348"/>
      <c r="R64" s="1348"/>
      <c r="S64" s="1348"/>
      <c r="T64" s="1348"/>
      <c r="U64" s="1348"/>
      <c r="V64" s="1348"/>
      <c r="W64" s="1348"/>
      <c r="X64" s="1348"/>
      <c r="Y64" s="1348"/>
      <c r="Z64" s="1348"/>
      <c r="AA64" s="1348"/>
      <c r="AB64" s="1348"/>
      <c r="AC64" s="1348"/>
    </row>
    <row r="65" s="1131" customFormat="1" ht="13.75" spans="1:29">
      <c r="A65" s="1286" t="s">
        <v>1679</v>
      </c>
      <c r="B65" s="1287" t="s">
        <v>1680</v>
      </c>
      <c r="C65" s="1287" t="s">
        <v>1680</v>
      </c>
      <c r="D65" s="1287" t="s">
        <v>1680</v>
      </c>
      <c r="E65" s="1287">
        <f>IF(B46="楼面地价",SUM(E56:E64),'数据-汇总表'!D3)</f>
        <v>45754.18</v>
      </c>
      <c r="F65" s="1288" t="e">
        <f>IF(B46="楼面地价",SUM(F56:F64),ROUND(C48*E65/10000,0))</f>
        <v>#DIV/0!</v>
      </c>
      <c r="G65" s="1540"/>
      <c r="H65" s="1540"/>
      <c r="I65" s="1540"/>
      <c r="J65" s="1540"/>
      <c r="K65" s="1542"/>
      <c r="L65" s="1348"/>
      <c r="M65" s="1348"/>
      <c r="N65" s="1348"/>
      <c r="O65" s="1348"/>
      <c r="P65" s="1348"/>
      <c r="Q65" s="1348"/>
      <c r="R65" s="1348"/>
      <c r="S65" s="1348"/>
      <c r="T65" s="1348"/>
      <c r="U65" s="1348"/>
      <c r="V65" s="1348"/>
      <c r="W65" s="1348"/>
      <c r="X65" s="1348"/>
      <c r="Y65" s="1348"/>
      <c r="Z65" s="1348"/>
      <c r="AA65" s="1348"/>
      <c r="AB65" s="1348"/>
      <c r="AC65" s="1348"/>
    </row>
    <row r="66" spans="1:29">
      <c r="A66" s="1295"/>
      <c r="B66" s="1293"/>
      <c r="C66" s="1261"/>
      <c r="D66" s="1295"/>
      <c r="E66" s="1295"/>
      <c r="F66" s="1295"/>
      <c r="G66" s="1295"/>
      <c r="H66" s="1295"/>
      <c r="I66" s="1295"/>
      <c r="J66" s="1290"/>
      <c r="K66" s="1350"/>
      <c r="L66" s="1351"/>
      <c r="M66" s="1290"/>
      <c r="N66" s="1290"/>
      <c r="O66" s="1290"/>
      <c r="P66" s="1254"/>
      <c r="Q66" s="1254"/>
      <c r="R66" s="1254"/>
      <c r="S66" s="1254"/>
      <c r="T66" s="1254"/>
      <c r="U66" s="1254"/>
      <c r="V66" s="1254"/>
      <c r="W66" s="1254"/>
      <c r="X66" s="1254"/>
      <c r="Y66" s="1254"/>
      <c r="Z66" s="1254"/>
      <c r="AA66" s="1254"/>
      <c r="AB66" s="1254"/>
      <c r="AC66" s="1254"/>
    </row>
    <row r="67" spans="1:29">
      <c r="A67" s="1295"/>
      <c r="B67" s="1293"/>
      <c r="C67" s="1293" t="str">
        <f>YEAR(C7)&amp;"-"&amp;MONTH(C7)&amp;"-1"</f>
        <v>2025-7-1</v>
      </c>
      <c r="D67" s="1293">
        <f>EDATE(C67,-3)</f>
        <v>45748</v>
      </c>
      <c r="E67" s="1293">
        <f>EDATE(D67,-3)</f>
        <v>45658</v>
      </c>
      <c r="F67" s="1293">
        <f t="shared" ref="F67:O67" si="18">EDATE(E67,-3)</f>
        <v>45566</v>
      </c>
      <c r="G67" s="1293">
        <f t="shared" si="18"/>
        <v>45474</v>
      </c>
      <c r="H67" s="1293">
        <f t="shared" si="18"/>
        <v>45383</v>
      </c>
      <c r="I67" s="1293">
        <f t="shared" si="18"/>
        <v>45292</v>
      </c>
      <c r="J67" s="1293">
        <f t="shared" si="18"/>
        <v>45200</v>
      </c>
      <c r="K67" s="1293">
        <f t="shared" si="18"/>
        <v>45108</v>
      </c>
      <c r="L67" s="1293">
        <f t="shared" si="18"/>
        <v>45017</v>
      </c>
      <c r="M67" s="1293">
        <f t="shared" si="18"/>
        <v>44927</v>
      </c>
      <c r="N67" s="1293">
        <f t="shared" si="18"/>
        <v>44835</v>
      </c>
      <c r="O67" s="1293">
        <f t="shared" si="18"/>
        <v>44743</v>
      </c>
      <c r="P67" s="1254"/>
      <c r="Q67" s="1254"/>
      <c r="R67" s="1254"/>
      <c r="S67" s="1254"/>
      <c r="T67" s="1254"/>
      <c r="U67" s="1254"/>
      <c r="V67" s="1254"/>
      <c r="W67" s="1254"/>
      <c r="X67" s="1254"/>
      <c r="Y67" s="1254"/>
      <c r="Z67" s="1254"/>
      <c r="AA67" s="1254"/>
      <c r="AB67" s="1254"/>
      <c r="AC67" s="1254"/>
    </row>
    <row r="68" ht="21.75" spans="1:29">
      <c r="A68" s="1294" t="s">
        <v>1081</v>
      </c>
      <c r="B68" s="1295"/>
      <c r="C68" s="1296"/>
      <c r="D68" s="1296"/>
      <c r="E68" s="1296"/>
      <c r="F68" s="1297"/>
      <c r="G68" s="1297"/>
      <c r="H68" s="1296"/>
      <c r="I68" s="1296"/>
      <c r="J68" s="1354"/>
      <c r="K68" s="1543"/>
      <c r="L68" s="1544"/>
      <c r="M68" s="1354"/>
      <c r="N68" s="1355"/>
      <c r="O68" s="1355"/>
      <c r="P68" s="1355"/>
      <c r="Q68" s="1380"/>
      <c r="R68" s="1254"/>
      <c r="S68" s="1254"/>
      <c r="T68" s="1254"/>
      <c r="U68" s="1254"/>
      <c r="V68" s="1254"/>
      <c r="W68" s="1254"/>
      <c r="X68" s="1254"/>
      <c r="Y68" s="1254"/>
      <c r="Z68" s="1254"/>
      <c r="AA68" s="1254"/>
      <c r="AB68" s="1254"/>
      <c r="AC68" s="1254"/>
    </row>
    <row r="69" s="1132" customFormat="1" spans="1:29">
      <c r="A69" s="1391" t="s">
        <v>1681</v>
      </c>
      <c r="B69" s="1392"/>
      <c r="C69" s="1393" t="str">
        <f>YEAR(C67)&amp;"-"&amp;ROUNDUP(MONTH(C67)/3,0)</f>
        <v>2025-3</v>
      </c>
      <c r="D69" s="1393" t="str">
        <f>YEAR(D67)&amp;"-"&amp;ROUNDUP(MONTH(D67)/3,0)</f>
        <v>2025-2</v>
      </c>
      <c r="E69" s="1393" t="str">
        <f t="shared" ref="E69:O69" si="19">YEAR(E67)&amp;"-"&amp;ROUNDUP(MONTH(E67)/3,0)</f>
        <v>2025-1</v>
      </c>
      <c r="F69" s="1393" t="str">
        <f t="shared" si="19"/>
        <v>2024-4</v>
      </c>
      <c r="G69" s="1393" t="str">
        <f t="shared" si="19"/>
        <v>2024-3</v>
      </c>
      <c r="H69" s="1393" t="str">
        <f t="shared" si="19"/>
        <v>2024-2</v>
      </c>
      <c r="I69" s="1393" t="str">
        <f t="shared" si="19"/>
        <v>2024-1</v>
      </c>
      <c r="J69" s="1393" t="str">
        <f t="shared" si="19"/>
        <v>2023-4</v>
      </c>
      <c r="K69" s="1393" t="str">
        <f t="shared" si="19"/>
        <v>2023-3</v>
      </c>
      <c r="L69" s="1393" t="str">
        <f t="shared" si="19"/>
        <v>2023-2</v>
      </c>
      <c r="M69" s="1393" t="str">
        <f t="shared" si="19"/>
        <v>2023-1</v>
      </c>
      <c r="N69" s="1393" t="str">
        <f t="shared" si="19"/>
        <v>2022-4</v>
      </c>
      <c r="O69" s="1393" t="str">
        <f t="shared" si="19"/>
        <v>2022-3</v>
      </c>
      <c r="P69" s="1445"/>
      <c r="Q69" s="1501"/>
      <c r="R69" s="1501"/>
      <c r="S69" s="1501"/>
      <c r="T69" s="1501"/>
      <c r="U69" s="1501"/>
      <c r="V69" s="1501"/>
      <c r="W69" s="1501"/>
      <c r="X69" s="1501"/>
      <c r="Y69" s="1501"/>
      <c r="Z69" s="1501"/>
      <c r="AA69" s="1501"/>
      <c r="AB69" s="1501"/>
      <c r="AC69" s="1501"/>
    </row>
    <row r="70" s="1127" customFormat="1" ht="30" customHeight="1" spans="1:29">
      <c r="A70" s="1541" t="s">
        <v>1682</v>
      </c>
      <c r="B70" s="1395" t="str">
        <f>"北京市平均增长率"&amp;TEXT(SUMIF(基准地价修正!N25:N29,A70,基准地价修正!P25:P29),"0.00%")</f>
        <v>北京市平均增长率0.00%</v>
      </c>
      <c r="C70" s="891">
        <v>100</v>
      </c>
      <c r="D70" s="1396"/>
      <c r="E70" s="1396"/>
      <c r="F70" s="1396"/>
      <c r="G70" s="1396"/>
      <c r="H70" s="1396"/>
      <c r="I70" s="1396"/>
      <c r="J70" s="1396"/>
      <c r="K70" s="1396"/>
      <c r="L70" s="1396"/>
      <c r="M70" s="1446"/>
      <c r="N70" s="1396"/>
      <c r="O70" s="1545"/>
      <c r="P70" s="1380"/>
      <c r="Q70" s="1502"/>
      <c r="R70" s="1502"/>
      <c r="S70" s="1502"/>
      <c r="T70" s="1502"/>
      <c r="U70" s="1502"/>
      <c r="V70" s="1502"/>
      <c r="W70" s="1502"/>
      <c r="X70" s="1502"/>
      <c r="Y70" s="1502"/>
      <c r="Z70" s="1502"/>
      <c r="AA70" s="1502"/>
      <c r="AB70" s="1502"/>
      <c r="AC70" s="1502"/>
    </row>
    <row r="71" s="1127" customFormat="1" ht="14.75" spans="1:29">
      <c r="A71" s="1397" t="s">
        <v>1082</v>
      </c>
      <c r="B71" s="1398"/>
      <c r="C71" s="1399"/>
      <c r="D71" s="1400"/>
      <c r="E71" s="1400"/>
      <c r="F71" s="1400"/>
      <c r="G71" s="1400"/>
      <c r="H71" s="1400"/>
      <c r="I71" s="1400"/>
      <c r="J71" s="1400"/>
      <c r="K71" s="1400"/>
      <c r="L71" s="1400"/>
      <c r="M71" s="1448"/>
      <c r="N71" s="1400"/>
      <c r="O71" s="1546"/>
      <c r="P71" s="1380"/>
      <c r="Q71" s="1380"/>
      <c r="R71" s="1502"/>
      <c r="S71" s="1502"/>
      <c r="T71" s="1502"/>
      <c r="U71" s="1502"/>
      <c r="V71" s="1502"/>
      <c r="W71" s="1502"/>
      <c r="X71" s="1502"/>
      <c r="Y71" s="1502"/>
      <c r="Z71" s="1502"/>
      <c r="AA71" s="1502"/>
      <c r="AB71" s="1502"/>
      <c r="AC71" s="1502"/>
    </row>
    <row r="72" s="1127" customFormat="1" spans="1:29">
      <c r="A72" s="1401" t="s">
        <v>1032</v>
      </c>
      <c r="B72" s="1402"/>
      <c r="C72" s="1403" t="s">
        <v>1083</v>
      </c>
      <c r="D72" s="1404"/>
      <c r="E72" s="1404"/>
      <c r="F72" s="1404"/>
      <c r="G72" s="1404"/>
      <c r="H72" s="1404"/>
      <c r="I72" s="1404"/>
      <c r="J72" s="1404"/>
      <c r="K72" s="1404"/>
      <c r="L72" s="1450"/>
      <c r="M72" s="1451"/>
      <c r="N72" s="1452"/>
      <c r="O72" s="1452"/>
      <c r="P72" s="1453"/>
      <c r="Q72" s="1380"/>
      <c r="R72" s="1502"/>
      <c r="S72" s="1502"/>
      <c r="T72" s="1502"/>
      <c r="U72" s="1502"/>
      <c r="V72" s="1502"/>
      <c r="W72" s="1502"/>
      <c r="X72" s="1502"/>
      <c r="Y72" s="1502"/>
      <c r="Z72" s="1502"/>
      <c r="AA72" s="1502"/>
      <c r="AB72" s="1502"/>
      <c r="AC72" s="1502"/>
    </row>
    <row r="73" s="1127" customFormat="1" ht="14.75" spans="1:29">
      <c r="A73" s="1401"/>
      <c r="B73" s="1402"/>
      <c r="C73" s="1405">
        <v>100</v>
      </c>
      <c r="D73" s="1406"/>
      <c r="E73" s="1406"/>
      <c r="F73" s="1406"/>
      <c r="G73" s="1406"/>
      <c r="H73" s="1406"/>
      <c r="I73" s="1406"/>
      <c r="J73" s="1406"/>
      <c r="K73" s="1406"/>
      <c r="L73" s="1406"/>
      <c r="M73" s="1454"/>
      <c r="N73" s="1452"/>
      <c r="O73" s="1452"/>
      <c r="P73" s="1380"/>
      <c r="Q73" s="1380"/>
      <c r="R73" s="1502"/>
      <c r="S73" s="1502"/>
      <c r="T73" s="1502"/>
      <c r="U73" s="1502"/>
      <c r="V73" s="1502"/>
      <c r="W73" s="1502"/>
      <c r="X73" s="1502"/>
      <c r="Y73" s="1502"/>
      <c r="Z73" s="1502"/>
      <c r="AA73" s="1502"/>
      <c r="AB73" s="1502"/>
      <c r="AC73" s="1502"/>
    </row>
    <row r="74" spans="1:29">
      <c r="A74" s="1407" t="s">
        <v>1084</v>
      </c>
      <c r="B74" s="1408" t="s">
        <v>1036</v>
      </c>
      <c r="C74" s="1335"/>
      <c r="D74" s="1335"/>
      <c r="E74" s="1335"/>
      <c r="F74" s="1335"/>
      <c r="G74" s="1335"/>
      <c r="H74" s="1335"/>
      <c r="I74" s="1335"/>
      <c r="J74" s="1335"/>
      <c r="K74" s="1455"/>
      <c r="L74" s="1456"/>
      <c r="M74" s="1457"/>
      <c r="N74" s="1458"/>
      <c r="O74" s="1458"/>
      <c r="P74" s="1459"/>
      <c r="Q74" s="1380"/>
      <c r="R74" s="1254"/>
      <c r="S74" s="1254"/>
      <c r="T74" s="1254"/>
      <c r="U74" s="1254"/>
      <c r="V74" s="1254"/>
      <c r="W74" s="1254"/>
      <c r="X74" s="1254"/>
      <c r="Y74" s="1254"/>
      <c r="Z74" s="1254"/>
      <c r="AA74" s="1254"/>
      <c r="AB74" s="1254"/>
      <c r="AC74" s="1254"/>
    </row>
    <row r="75" ht="14.75" spans="1:29">
      <c r="A75" s="1409"/>
      <c r="B75" s="1410"/>
      <c r="C75" s="1411"/>
      <c r="D75" s="1411"/>
      <c r="E75" s="1411"/>
      <c r="F75" s="1411"/>
      <c r="G75" s="1411"/>
      <c r="H75" s="1411"/>
      <c r="I75" s="1411"/>
      <c r="J75" s="1411"/>
      <c r="K75" s="1411"/>
      <c r="L75" s="1411"/>
      <c r="M75" s="1460"/>
      <c r="N75" s="1461"/>
      <c r="O75" s="1461"/>
      <c r="P75" s="1459"/>
      <c r="Q75" s="1380"/>
      <c r="R75" s="1254"/>
      <c r="S75" s="1254"/>
      <c r="T75" s="1254"/>
      <c r="U75" s="1254"/>
      <c r="V75" s="1254"/>
      <c r="W75" s="1254"/>
      <c r="X75" s="1254"/>
      <c r="Y75" s="1254"/>
      <c r="Z75" s="1254"/>
      <c r="AA75" s="1254"/>
      <c r="AB75" s="1254"/>
      <c r="AC75" s="1254"/>
    </row>
    <row r="76" ht="28.75" spans="1:29">
      <c r="A76" s="1409"/>
      <c r="B76" s="1412" t="s">
        <v>1039</v>
      </c>
      <c r="C76" s="1413"/>
      <c r="D76" s="1413"/>
      <c r="E76" s="1413"/>
      <c r="F76" s="1413"/>
      <c r="G76" s="1413"/>
      <c r="H76" s="1413"/>
      <c r="I76" s="1413"/>
      <c r="J76" s="1413"/>
      <c r="K76" s="1462"/>
      <c r="L76" s="1463"/>
      <c r="M76" s="1464"/>
      <c r="N76" s="1458"/>
      <c r="O76" s="1458"/>
      <c r="P76" s="1459"/>
      <c r="Q76" s="1380"/>
      <c r="R76" s="1254"/>
      <c r="S76" s="1254"/>
      <c r="T76" s="1254"/>
      <c r="U76" s="1254"/>
      <c r="V76" s="1254"/>
      <c r="W76" s="1254"/>
      <c r="X76" s="1254"/>
      <c r="Y76" s="1254"/>
      <c r="Z76" s="1254"/>
      <c r="AA76" s="1254"/>
      <c r="AB76" s="1254"/>
      <c r="AC76" s="1254"/>
    </row>
    <row r="77" ht="14.75" spans="1:29">
      <c r="A77" s="1409"/>
      <c r="B77" s="1414"/>
      <c r="C77" s="1415"/>
      <c r="D77" s="1415"/>
      <c r="E77" s="1415"/>
      <c r="F77" s="1415"/>
      <c r="G77" s="1415"/>
      <c r="H77" s="1415"/>
      <c r="I77" s="1415"/>
      <c r="J77" s="1415"/>
      <c r="K77" s="1415"/>
      <c r="L77" s="1415"/>
      <c r="M77" s="1465"/>
      <c r="N77" s="1461"/>
      <c r="O77" s="1461"/>
      <c r="P77" s="1459"/>
      <c r="Q77" s="1380"/>
      <c r="R77" s="1254"/>
      <c r="S77" s="1254"/>
      <c r="T77" s="1254"/>
      <c r="U77" s="1254"/>
      <c r="V77" s="1254"/>
      <c r="W77" s="1254"/>
      <c r="X77" s="1254"/>
      <c r="Y77" s="1254"/>
      <c r="Z77" s="1254"/>
      <c r="AA77" s="1254"/>
      <c r="AB77" s="1254"/>
      <c r="AC77" s="1254"/>
    </row>
    <row r="78" ht="14.75" spans="1:29">
      <c r="A78" s="1409"/>
      <c r="B78" s="1416" t="s">
        <v>1042</v>
      </c>
      <c r="C78" s="1417" t="str">
        <f>C79&amp;"（含）"&amp;"-"&amp;D79</f>
        <v>（含）-</v>
      </c>
      <c r="D78" s="1417" t="str">
        <f t="shared" ref="D78:L78" si="20">D79&amp;"（含）"&amp;"-"&amp;E79</f>
        <v>（含）-</v>
      </c>
      <c r="E78" s="1417" t="str">
        <f t="shared" si="20"/>
        <v>（含）-</v>
      </c>
      <c r="F78" s="1417" t="str">
        <f t="shared" si="20"/>
        <v>（含）-</v>
      </c>
      <c r="G78" s="1417" t="str">
        <f t="shared" si="20"/>
        <v>（含）-</v>
      </c>
      <c r="H78" s="1417" t="str">
        <f t="shared" si="20"/>
        <v>（含）-</v>
      </c>
      <c r="I78" s="1417" t="str">
        <f t="shared" si="20"/>
        <v>（含）-</v>
      </c>
      <c r="J78" s="1417" t="str">
        <f t="shared" si="20"/>
        <v>（含）-</v>
      </c>
      <c r="K78" s="1417" t="str">
        <f t="shared" si="20"/>
        <v>（含）-</v>
      </c>
      <c r="L78" s="1417" t="str">
        <f t="shared" si="20"/>
        <v>（含）-</v>
      </c>
      <c r="M78" s="1202" t="str">
        <f>M79&amp;"（含）"&amp;"-"&amp;P79</f>
        <v>（含）-</v>
      </c>
      <c r="N78" s="1461"/>
      <c r="O78" s="1461"/>
      <c r="P78" s="1459"/>
      <c r="Q78" s="1380"/>
      <c r="R78" s="1254"/>
      <c r="S78" s="1254"/>
      <c r="T78" s="1254"/>
      <c r="U78" s="1254"/>
      <c r="V78" s="1254"/>
      <c r="W78" s="1254"/>
      <c r="X78" s="1254"/>
      <c r="Y78" s="1254"/>
      <c r="Z78" s="1254"/>
      <c r="AA78" s="1254"/>
      <c r="AB78" s="1254"/>
      <c r="AC78" s="1254"/>
    </row>
    <row r="79" spans="1:29">
      <c r="A79" s="1409"/>
      <c r="B79" s="1418"/>
      <c r="C79" s="1187"/>
      <c r="D79" s="1187"/>
      <c r="E79" s="1187"/>
      <c r="F79" s="1187"/>
      <c r="G79" s="1187"/>
      <c r="H79" s="1187"/>
      <c r="I79" s="1187"/>
      <c r="J79" s="1187"/>
      <c r="K79" s="1466"/>
      <c r="L79" s="1467"/>
      <c r="M79" s="1468"/>
      <c r="N79" s="1458"/>
      <c r="O79" s="1458"/>
      <c r="P79" s="1459"/>
      <c r="Q79" s="1380"/>
      <c r="R79" s="1254"/>
      <c r="S79" s="1254"/>
      <c r="T79" s="1254"/>
      <c r="U79" s="1254"/>
      <c r="V79" s="1254"/>
      <c r="W79" s="1254"/>
      <c r="X79" s="1254"/>
      <c r="Y79" s="1254"/>
      <c r="Z79" s="1254"/>
      <c r="AA79" s="1254"/>
      <c r="AB79" s="1254"/>
      <c r="AC79" s="1254"/>
    </row>
    <row r="80" ht="14.75" spans="1:29">
      <c r="A80" s="1409"/>
      <c r="B80" s="1410"/>
      <c r="C80" s="1415">
        <v>100</v>
      </c>
      <c r="D80" s="1415">
        <f t="shared" ref="D80:M80" si="21">IF($B$46="单位面积地价",C80+$K11,C80-$K11)</f>
        <v>100</v>
      </c>
      <c r="E80" s="1415">
        <f t="shared" si="21"/>
        <v>100</v>
      </c>
      <c r="F80" s="1415">
        <f t="shared" si="21"/>
        <v>100</v>
      </c>
      <c r="G80" s="1415">
        <f t="shared" si="21"/>
        <v>100</v>
      </c>
      <c r="H80" s="1415">
        <f t="shared" si="21"/>
        <v>100</v>
      </c>
      <c r="I80" s="1415">
        <f t="shared" si="21"/>
        <v>100</v>
      </c>
      <c r="J80" s="1415">
        <f t="shared" si="21"/>
        <v>100</v>
      </c>
      <c r="K80" s="1415">
        <f t="shared" si="21"/>
        <v>100</v>
      </c>
      <c r="L80" s="1415">
        <f t="shared" si="21"/>
        <v>100</v>
      </c>
      <c r="M80" s="1415">
        <f t="shared" si="21"/>
        <v>100</v>
      </c>
      <c r="N80" s="1461"/>
      <c r="O80" s="1461"/>
      <c r="P80" s="1459"/>
      <c r="Q80" s="1380"/>
      <c r="R80" s="1254"/>
      <c r="S80" s="1254"/>
      <c r="T80" s="1254"/>
      <c r="U80" s="1254"/>
      <c r="V80" s="1254"/>
      <c r="W80" s="1254"/>
      <c r="X80" s="1254"/>
      <c r="Y80" s="1254"/>
      <c r="Z80" s="1254"/>
      <c r="AA80" s="1254"/>
      <c r="AB80" s="1254"/>
      <c r="AC80" s="1254"/>
    </row>
    <row r="81" s="1129" customFormat="1" ht="14.75" spans="1:29">
      <c r="A81" s="1419"/>
      <c r="B81" s="1412" t="str">
        <f>B12</f>
        <v>配建</v>
      </c>
      <c r="C81" s="1420"/>
      <c r="D81" s="1420"/>
      <c r="E81" s="1420"/>
      <c r="F81" s="1420"/>
      <c r="G81" s="1420"/>
      <c r="H81" s="1421"/>
      <c r="I81" s="1421"/>
      <c r="J81" s="1421"/>
      <c r="K81" s="1421"/>
      <c r="L81" s="1469"/>
      <c r="M81" s="1470"/>
      <c r="N81" s="1471"/>
      <c r="O81" s="1471"/>
      <c r="P81" s="1472"/>
      <c r="Q81" s="1503"/>
      <c r="R81" s="1504"/>
      <c r="S81" s="1504"/>
      <c r="T81" s="1504"/>
      <c r="U81" s="1504"/>
      <c r="V81" s="1504"/>
      <c r="W81" s="1504"/>
      <c r="X81" s="1504"/>
      <c r="Y81" s="1504"/>
      <c r="Z81" s="1504"/>
      <c r="AA81" s="1504"/>
      <c r="AB81" s="1504"/>
      <c r="AC81" s="1504"/>
    </row>
    <row r="82" s="1129" customFormat="1" ht="14.75" spans="1:29">
      <c r="A82" s="1419"/>
      <c r="B82" s="1414"/>
      <c r="C82" s="1422"/>
      <c r="D82" s="1411"/>
      <c r="E82" s="1411"/>
      <c r="F82" s="1411"/>
      <c r="G82" s="1411"/>
      <c r="H82" s="1411"/>
      <c r="I82" s="1411"/>
      <c r="J82" s="1411"/>
      <c r="K82" s="1411"/>
      <c r="L82" s="1411"/>
      <c r="M82" s="1460"/>
      <c r="N82" s="1461"/>
      <c r="O82" s="1461"/>
      <c r="P82" s="1472"/>
      <c r="Q82" s="1503"/>
      <c r="R82" s="1504"/>
      <c r="S82" s="1504"/>
      <c r="T82" s="1504"/>
      <c r="U82" s="1504"/>
      <c r="V82" s="1504"/>
      <c r="W82" s="1504"/>
      <c r="X82" s="1504"/>
      <c r="Y82" s="1504"/>
      <c r="Z82" s="1504"/>
      <c r="AA82" s="1504"/>
      <c r="AB82" s="1504"/>
      <c r="AC82" s="1504"/>
    </row>
    <row r="83" s="1129" customFormat="1" ht="14.75" spans="1:29">
      <c r="A83" s="1419"/>
      <c r="B83" s="1412">
        <f>B13</f>
        <v>111</v>
      </c>
      <c r="C83" s="1420"/>
      <c r="D83" s="1420"/>
      <c r="E83" s="1420"/>
      <c r="F83" s="1420"/>
      <c r="G83" s="1420"/>
      <c r="H83" s="1421"/>
      <c r="I83" s="1421"/>
      <c r="J83" s="1421"/>
      <c r="K83" s="1421"/>
      <c r="L83" s="1469"/>
      <c r="M83" s="1470"/>
      <c r="N83" s="1471"/>
      <c r="O83" s="1471"/>
      <c r="P83" s="1332"/>
      <c r="Q83" s="1505"/>
      <c r="R83" s="1504"/>
      <c r="S83" s="1504"/>
      <c r="T83" s="1504"/>
      <c r="U83" s="1504"/>
      <c r="V83" s="1504"/>
      <c r="W83" s="1504"/>
      <c r="X83" s="1504"/>
      <c r="Y83" s="1504"/>
      <c r="Z83" s="1504"/>
      <c r="AA83" s="1504"/>
      <c r="AB83" s="1504"/>
      <c r="AC83" s="1504"/>
    </row>
    <row r="84" s="1129" customFormat="1" ht="14.75" spans="1:29">
      <c r="A84" s="1419"/>
      <c r="B84" s="1414"/>
      <c r="C84" s="1422"/>
      <c r="D84" s="1422"/>
      <c r="E84" s="1422"/>
      <c r="F84" s="1422"/>
      <c r="G84" s="1422"/>
      <c r="H84" s="1423"/>
      <c r="I84" s="1423"/>
      <c r="J84" s="1423"/>
      <c r="K84" s="1423"/>
      <c r="L84" s="1423"/>
      <c r="M84" s="1473"/>
      <c r="N84" s="1471"/>
      <c r="O84" s="1471"/>
      <c r="P84" s="1472"/>
      <c r="Q84" s="1503"/>
      <c r="R84" s="1504"/>
      <c r="S84" s="1504"/>
      <c r="T84" s="1504"/>
      <c r="U84" s="1504"/>
      <c r="V84" s="1504"/>
      <c r="W84" s="1504"/>
      <c r="X84" s="1504"/>
      <c r="Y84" s="1504"/>
      <c r="Z84" s="1504"/>
      <c r="AA84" s="1504"/>
      <c r="AB84" s="1504"/>
      <c r="AC84" s="1504"/>
    </row>
    <row r="85" s="1129" customFormat="1" ht="14.75" spans="1:29">
      <c r="A85" s="1419"/>
      <c r="B85" s="1416">
        <f>B14</f>
        <v>111</v>
      </c>
      <c r="C85" s="1404"/>
      <c r="D85" s="1404"/>
      <c r="E85" s="1404"/>
      <c r="F85" s="1404"/>
      <c r="G85" s="1404"/>
      <c r="H85" s="1424"/>
      <c r="I85" s="1424"/>
      <c r="J85" s="1424"/>
      <c r="K85" s="1424"/>
      <c r="L85" s="1474"/>
      <c r="M85" s="1475"/>
      <c r="N85" s="1471"/>
      <c r="O85" s="1471"/>
      <c r="P85" s="1476"/>
      <c r="Q85" s="1503"/>
      <c r="R85" s="1504"/>
      <c r="S85" s="1504"/>
      <c r="T85" s="1504"/>
      <c r="U85" s="1504"/>
      <c r="V85" s="1504"/>
      <c r="W85" s="1504"/>
      <c r="X85" s="1504"/>
      <c r="Y85" s="1504"/>
      <c r="Z85" s="1504"/>
      <c r="AA85" s="1504"/>
      <c r="AB85" s="1504"/>
      <c r="AC85" s="1504"/>
    </row>
    <row r="86" s="1129" customFormat="1" ht="14.75" spans="1:29">
      <c r="A86" s="1425"/>
      <c r="B86" s="1426"/>
      <c r="C86" s="1427"/>
      <c r="D86" s="1427"/>
      <c r="E86" s="1427"/>
      <c r="F86" s="1427"/>
      <c r="G86" s="1427"/>
      <c r="H86" s="1428"/>
      <c r="I86" s="1428"/>
      <c r="J86" s="1428"/>
      <c r="K86" s="1428"/>
      <c r="L86" s="1428"/>
      <c r="M86" s="1477"/>
      <c r="N86" s="1471"/>
      <c r="O86" s="1471"/>
      <c r="P86" s="1472"/>
      <c r="Q86" s="1503"/>
      <c r="R86" s="1504"/>
      <c r="S86" s="1504"/>
      <c r="T86" s="1504"/>
      <c r="U86" s="1504"/>
      <c r="V86" s="1504"/>
      <c r="W86" s="1504"/>
      <c r="X86" s="1504"/>
      <c r="Y86" s="1504"/>
      <c r="Z86" s="1504"/>
      <c r="AA86" s="1504"/>
      <c r="AB86" s="1504"/>
      <c r="AC86" s="1504"/>
    </row>
    <row r="87" spans="1:29">
      <c r="A87" s="1407" t="s">
        <v>1043</v>
      </c>
      <c r="B87" s="1408" t="s">
        <v>1086</v>
      </c>
      <c r="C87" s="1429" t="s">
        <v>1087</v>
      </c>
      <c r="D87" s="1429" t="s">
        <v>1088</v>
      </c>
      <c r="E87" s="1429" t="s">
        <v>1089</v>
      </c>
      <c r="F87" s="1429" t="s">
        <v>1090</v>
      </c>
      <c r="G87" s="1429" t="s">
        <v>1091</v>
      </c>
      <c r="H87" s="1430"/>
      <c r="I87" s="1430"/>
      <c r="J87" s="1430"/>
      <c r="K87" s="1478"/>
      <c r="L87" s="1479"/>
      <c r="M87" s="1480"/>
      <c r="N87" s="1458"/>
      <c r="O87" s="1458"/>
      <c r="P87" s="1481"/>
      <c r="Q87" s="1380"/>
      <c r="R87" s="1254"/>
      <c r="S87" s="1254"/>
      <c r="T87" s="1254"/>
      <c r="U87" s="1254"/>
      <c r="V87" s="1254"/>
      <c r="W87" s="1254"/>
      <c r="X87" s="1254"/>
      <c r="Y87" s="1254"/>
      <c r="Z87" s="1254"/>
      <c r="AA87" s="1254"/>
      <c r="AB87" s="1254"/>
      <c r="AC87" s="1254"/>
    </row>
    <row r="88" ht="14.75" spans="1:29">
      <c r="A88" s="1409"/>
      <c r="B88" s="1414"/>
      <c r="C88" s="1415">
        <v>100</v>
      </c>
      <c r="D88" s="1415">
        <f>C88-$K15</f>
        <v>100</v>
      </c>
      <c r="E88" s="1415">
        <f>D88-$K15</f>
        <v>100</v>
      </c>
      <c r="F88" s="1415">
        <f>E88-$K15</f>
        <v>100</v>
      </c>
      <c r="G88" s="1415">
        <f>F88-$K15</f>
        <v>100</v>
      </c>
      <c r="H88" s="1415"/>
      <c r="I88" s="1415"/>
      <c r="J88" s="1415"/>
      <c r="K88" s="1415"/>
      <c r="L88" s="1415"/>
      <c r="M88" s="1465"/>
      <c r="N88" s="1461"/>
      <c r="O88" s="1461"/>
      <c r="P88" s="1459"/>
      <c r="Q88" s="1380"/>
      <c r="R88" s="1254"/>
      <c r="S88" s="1254"/>
      <c r="T88" s="1254"/>
      <c r="U88" s="1254"/>
      <c r="V88" s="1254"/>
      <c r="W88" s="1254"/>
      <c r="X88" s="1254"/>
      <c r="Y88" s="1254"/>
      <c r="Z88" s="1254"/>
      <c r="AA88" s="1254"/>
      <c r="AB88" s="1254"/>
      <c r="AC88" s="1254"/>
    </row>
    <row r="89" ht="14.75" spans="1:29">
      <c r="A89" s="1409"/>
      <c r="B89" s="1412" t="s">
        <v>1044</v>
      </c>
      <c r="C89" s="1431" t="s">
        <v>1087</v>
      </c>
      <c r="D89" s="1431" t="s">
        <v>1088</v>
      </c>
      <c r="E89" s="1431" t="s">
        <v>1089</v>
      </c>
      <c r="F89" s="1431" t="s">
        <v>1090</v>
      </c>
      <c r="G89" s="1431" t="s">
        <v>1091</v>
      </c>
      <c r="H89" s="1413"/>
      <c r="I89" s="1413"/>
      <c r="J89" s="1413"/>
      <c r="K89" s="1462"/>
      <c r="L89" s="1463"/>
      <c r="M89" s="1464"/>
      <c r="N89" s="1458"/>
      <c r="O89" s="1458"/>
      <c r="P89" s="1459"/>
      <c r="Q89" s="1380"/>
      <c r="R89" s="1254"/>
      <c r="S89" s="1254"/>
      <c r="T89" s="1254"/>
      <c r="U89" s="1254"/>
      <c r="V89" s="1254"/>
      <c r="W89" s="1254"/>
      <c r="X89" s="1254"/>
      <c r="Y89" s="1254"/>
      <c r="Z89" s="1254"/>
      <c r="AA89" s="1254"/>
      <c r="AB89" s="1254"/>
      <c r="AC89" s="1254"/>
    </row>
    <row r="90" ht="14.75" spans="1:29">
      <c r="A90" s="1409"/>
      <c r="B90" s="1414"/>
      <c r="C90" s="1415">
        <v>100</v>
      </c>
      <c r="D90" s="1415">
        <f>C90-$K17</f>
        <v>100</v>
      </c>
      <c r="E90" s="1415">
        <f>D90-$K17</f>
        <v>100</v>
      </c>
      <c r="F90" s="1415">
        <f>E90-$K17</f>
        <v>100</v>
      </c>
      <c r="G90" s="1415">
        <f>F90-$K17</f>
        <v>100</v>
      </c>
      <c r="H90" s="1415"/>
      <c r="I90" s="1415"/>
      <c r="J90" s="1415"/>
      <c r="K90" s="1415"/>
      <c r="L90" s="1415"/>
      <c r="M90" s="1465"/>
      <c r="N90" s="1461"/>
      <c r="O90" s="1461"/>
      <c r="P90" s="1459"/>
      <c r="Q90" s="1380"/>
      <c r="R90" s="1254"/>
      <c r="S90" s="1254"/>
      <c r="T90" s="1254"/>
      <c r="U90" s="1254"/>
      <c r="V90" s="1254"/>
      <c r="W90" s="1254"/>
      <c r="X90" s="1254"/>
      <c r="Y90" s="1254"/>
      <c r="Z90" s="1254"/>
      <c r="AA90" s="1254"/>
      <c r="AB90" s="1254"/>
      <c r="AC90" s="1254"/>
    </row>
    <row r="91" ht="14.75" spans="1:29">
      <c r="A91" s="1409"/>
      <c r="B91" s="1412" t="s">
        <v>1617</v>
      </c>
      <c r="C91" s="1431" t="s">
        <v>1087</v>
      </c>
      <c r="D91" s="1431" t="s">
        <v>1088</v>
      </c>
      <c r="E91" s="1431" t="s">
        <v>1089</v>
      </c>
      <c r="F91" s="1431" t="s">
        <v>1090</v>
      </c>
      <c r="G91" s="1431" t="s">
        <v>1091</v>
      </c>
      <c r="H91" s="1413"/>
      <c r="I91" s="1413"/>
      <c r="J91" s="1413"/>
      <c r="K91" s="1462"/>
      <c r="L91" s="1463"/>
      <c r="M91" s="1464"/>
      <c r="N91" s="1458"/>
      <c r="O91" s="1458"/>
      <c r="P91" s="1459"/>
      <c r="Q91" s="1380"/>
      <c r="R91" s="1254"/>
      <c r="S91" s="1254"/>
      <c r="T91" s="1254"/>
      <c r="U91" s="1254"/>
      <c r="V91" s="1254"/>
      <c r="W91" s="1254"/>
      <c r="X91" s="1254"/>
      <c r="Y91" s="1254"/>
      <c r="Z91" s="1254"/>
      <c r="AA91" s="1254"/>
      <c r="AB91" s="1254"/>
      <c r="AC91" s="1254"/>
    </row>
    <row r="92" ht="14.75" spans="1:29">
      <c r="A92" s="1409"/>
      <c r="B92" s="1414"/>
      <c r="C92" s="1415">
        <v>100</v>
      </c>
      <c r="D92" s="1415">
        <f>C92-$K19</f>
        <v>100</v>
      </c>
      <c r="E92" s="1415">
        <f>D92-$K19</f>
        <v>100</v>
      </c>
      <c r="F92" s="1415">
        <f>E92-$K19</f>
        <v>100</v>
      </c>
      <c r="G92" s="1415">
        <f>F92-$K19</f>
        <v>100</v>
      </c>
      <c r="H92" s="1415"/>
      <c r="I92" s="1415"/>
      <c r="J92" s="1415"/>
      <c r="K92" s="1415"/>
      <c r="L92" s="1415"/>
      <c r="M92" s="1465"/>
      <c r="N92" s="1461"/>
      <c r="O92" s="1461"/>
      <c r="P92" s="1459"/>
      <c r="Q92" s="1380"/>
      <c r="R92" s="1254"/>
      <c r="S92" s="1254"/>
      <c r="T92" s="1254"/>
      <c r="U92" s="1254"/>
      <c r="V92" s="1254"/>
      <c r="W92" s="1254"/>
      <c r="X92" s="1254"/>
      <c r="Y92" s="1254"/>
      <c r="Z92" s="1254"/>
      <c r="AA92" s="1254"/>
      <c r="AB92" s="1254"/>
      <c r="AC92" s="1254"/>
    </row>
    <row r="93" ht="14.75" spans="1:29">
      <c r="A93" s="1409"/>
      <c r="B93" s="1412" t="s">
        <v>1048</v>
      </c>
      <c r="C93" s="1431" t="s">
        <v>1087</v>
      </c>
      <c r="D93" s="1431" t="s">
        <v>1088</v>
      </c>
      <c r="E93" s="1431" t="s">
        <v>1089</v>
      </c>
      <c r="F93" s="1431" t="s">
        <v>1090</v>
      </c>
      <c r="G93" s="1431" t="s">
        <v>1091</v>
      </c>
      <c r="H93" s="1413"/>
      <c r="I93" s="1413"/>
      <c r="J93" s="1413"/>
      <c r="K93" s="1462"/>
      <c r="L93" s="1463"/>
      <c r="M93" s="1464"/>
      <c r="N93" s="1458"/>
      <c r="O93" s="1458"/>
      <c r="P93" s="1459"/>
      <c r="Q93" s="1380"/>
      <c r="R93" s="1254"/>
      <c r="S93" s="1254"/>
      <c r="T93" s="1254"/>
      <c r="U93" s="1254"/>
      <c r="V93" s="1254"/>
      <c r="W93" s="1254"/>
      <c r="X93" s="1254"/>
      <c r="Y93" s="1254"/>
      <c r="Z93" s="1254"/>
      <c r="AA93" s="1254"/>
      <c r="AB93" s="1254"/>
      <c r="AC93" s="1254"/>
    </row>
    <row r="94" ht="14.75" spans="1:29">
      <c r="A94" s="1409"/>
      <c r="B94" s="1414"/>
      <c r="C94" s="1415">
        <v>100</v>
      </c>
      <c r="D94" s="1415">
        <f>C94-$K21</f>
        <v>100</v>
      </c>
      <c r="E94" s="1415">
        <f>D94-$K21</f>
        <v>100</v>
      </c>
      <c r="F94" s="1415">
        <f>E94-$K21</f>
        <v>100</v>
      </c>
      <c r="G94" s="1415">
        <f>F94-$K21</f>
        <v>100</v>
      </c>
      <c r="H94" s="1415"/>
      <c r="I94" s="1415"/>
      <c r="J94" s="1415"/>
      <c r="K94" s="1415"/>
      <c r="L94" s="1415"/>
      <c r="M94" s="1465"/>
      <c r="N94" s="1461"/>
      <c r="O94" s="1461"/>
      <c r="P94" s="1459"/>
      <c r="Q94" s="1380"/>
      <c r="R94" s="1254"/>
      <c r="S94" s="1254"/>
      <c r="T94" s="1254"/>
      <c r="U94" s="1254"/>
      <c r="V94" s="1254"/>
      <c r="W94" s="1254"/>
      <c r="X94" s="1254"/>
      <c r="Y94" s="1254"/>
      <c r="Z94" s="1254"/>
      <c r="AA94" s="1254"/>
      <c r="AB94" s="1254"/>
      <c r="AC94" s="1254"/>
    </row>
    <row r="95" s="1127" customFormat="1" ht="28.75" spans="1:29">
      <c r="A95" s="1432"/>
      <c r="B95" s="1412" t="s">
        <v>1647</v>
      </c>
      <c r="C95" s="1431" t="s">
        <v>1087</v>
      </c>
      <c r="D95" s="1431" t="s">
        <v>1088</v>
      </c>
      <c r="E95" s="1431" t="s">
        <v>1089</v>
      </c>
      <c r="F95" s="1431" t="s">
        <v>1090</v>
      </c>
      <c r="G95" s="1431" t="s">
        <v>1091</v>
      </c>
      <c r="H95" s="1431"/>
      <c r="I95" s="1431"/>
      <c r="J95" s="1431"/>
      <c r="K95" s="1431"/>
      <c r="L95" s="1482"/>
      <c r="M95" s="1483"/>
      <c r="N95" s="1452"/>
      <c r="O95" s="1452"/>
      <c r="P95" s="1459"/>
      <c r="Q95" s="1380"/>
      <c r="R95" s="1502"/>
      <c r="S95" s="1502"/>
      <c r="T95" s="1502"/>
      <c r="U95" s="1502"/>
      <c r="V95" s="1502"/>
      <c r="W95" s="1502"/>
      <c r="X95" s="1502"/>
      <c r="Y95" s="1502"/>
      <c r="Z95" s="1502"/>
      <c r="AA95" s="1502"/>
      <c r="AB95" s="1502"/>
      <c r="AC95" s="1502"/>
    </row>
    <row r="96" s="1127" customFormat="1" ht="14.75" spans="1:29">
      <c r="A96" s="1432"/>
      <c r="B96" s="1414"/>
      <c r="C96" s="1433">
        <v>100</v>
      </c>
      <c r="D96" s="1415">
        <f>C96-$K23</f>
        <v>100</v>
      </c>
      <c r="E96" s="1415">
        <f>D96-$K23</f>
        <v>100</v>
      </c>
      <c r="F96" s="1415">
        <f>E96-$K23</f>
        <v>100</v>
      </c>
      <c r="G96" s="1415">
        <f>F96-$K23</f>
        <v>100</v>
      </c>
      <c r="H96" s="1415"/>
      <c r="I96" s="1415"/>
      <c r="J96" s="1415"/>
      <c r="K96" s="1415"/>
      <c r="L96" s="1415"/>
      <c r="M96" s="1465"/>
      <c r="N96" s="1461"/>
      <c r="O96" s="1461"/>
      <c r="P96" s="1459"/>
      <c r="Q96" s="1380"/>
      <c r="R96" s="1502"/>
      <c r="S96" s="1502"/>
      <c r="T96" s="1502"/>
      <c r="U96" s="1502"/>
      <c r="V96" s="1502"/>
      <c r="W96" s="1502"/>
      <c r="X96" s="1502"/>
      <c r="Y96" s="1502"/>
      <c r="Z96" s="1502"/>
      <c r="AA96" s="1502"/>
      <c r="AB96" s="1502"/>
      <c r="AC96" s="1502"/>
    </row>
    <row r="97" s="1127" customFormat="1" ht="28.75" spans="1:29">
      <c r="A97" s="1432"/>
      <c r="B97" s="1412" t="s">
        <v>1648</v>
      </c>
      <c r="C97" s="1429" t="s">
        <v>1087</v>
      </c>
      <c r="D97" s="1429" t="s">
        <v>1088</v>
      </c>
      <c r="E97" s="1429" t="s">
        <v>1089</v>
      </c>
      <c r="F97" s="1429" t="s">
        <v>1090</v>
      </c>
      <c r="G97" s="1429" t="s">
        <v>1091</v>
      </c>
      <c r="H97" s="1431"/>
      <c r="I97" s="1431"/>
      <c r="J97" s="1431"/>
      <c r="K97" s="1431"/>
      <c r="L97" s="1431"/>
      <c r="M97" s="1483"/>
      <c r="N97" s="1452"/>
      <c r="O97" s="1452"/>
      <c r="P97" s="1459"/>
      <c r="Q97" s="1380"/>
      <c r="R97" s="1502"/>
      <c r="S97" s="1502"/>
      <c r="T97" s="1502"/>
      <c r="U97" s="1502"/>
      <c r="V97" s="1502"/>
      <c r="W97" s="1502"/>
      <c r="X97" s="1502"/>
      <c r="Y97" s="1502"/>
      <c r="Z97" s="1502"/>
      <c r="AA97" s="1502"/>
      <c r="AB97" s="1502"/>
      <c r="AC97" s="1502"/>
    </row>
    <row r="98" s="1127" customFormat="1" ht="14.75" spans="1:29">
      <c r="A98" s="1432"/>
      <c r="B98" s="1414"/>
      <c r="C98" s="1415">
        <v>100</v>
      </c>
      <c r="D98" s="1415">
        <f>C98-$K25</f>
        <v>100</v>
      </c>
      <c r="E98" s="1415">
        <f>D98-$K25</f>
        <v>100</v>
      </c>
      <c r="F98" s="1415">
        <f>E98-$K25</f>
        <v>100</v>
      </c>
      <c r="G98" s="1415">
        <f>F98-$K25</f>
        <v>100</v>
      </c>
      <c r="H98" s="1415"/>
      <c r="I98" s="1415"/>
      <c r="J98" s="1415"/>
      <c r="K98" s="1415"/>
      <c r="L98" s="1415"/>
      <c r="M98" s="1465"/>
      <c r="N98" s="1461"/>
      <c r="O98" s="1461"/>
      <c r="P98" s="1459"/>
      <c r="Q98" s="1380"/>
      <c r="R98" s="1502"/>
      <c r="S98" s="1502"/>
      <c r="T98" s="1502"/>
      <c r="U98" s="1502"/>
      <c r="V98" s="1502"/>
      <c r="W98" s="1502"/>
      <c r="X98" s="1502"/>
      <c r="Y98" s="1502"/>
      <c r="Z98" s="1502"/>
      <c r="AA98" s="1502"/>
      <c r="AB98" s="1502"/>
      <c r="AC98" s="1502"/>
    </row>
    <row r="99" s="1129" customFormat="1" ht="14.75" spans="1:29">
      <c r="A99" s="1419"/>
      <c r="B99" s="1412" t="s">
        <v>1049</v>
      </c>
      <c r="C99" s="1429" t="s">
        <v>1087</v>
      </c>
      <c r="D99" s="1429" t="s">
        <v>1088</v>
      </c>
      <c r="E99" s="1429" t="s">
        <v>1089</v>
      </c>
      <c r="F99" s="1429" t="s">
        <v>1090</v>
      </c>
      <c r="G99" s="1429" t="s">
        <v>1091</v>
      </c>
      <c r="H99" s="1434"/>
      <c r="I99" s="1434"/>
      <c r="J99" s="1434"/>
      <c r="K99" s="1434"/>
      <c r="L99" s="1484"/>
      <c r="M99" s="1485"/>
      <c r="N99" s="1471"/>
      <c r="O99" s="1471"/>
      <c r="P99" s="1472"/>
      <c r="Q99" s="1503"/>
      <c r="R99" s="1504"/>
      <c r="S99" s="1504"/>
      <c r="T99" s="1504"/>
      <c r="U99" s="1504"/>
      <c r="V99" s="1504"/>
      <c r="W99" s="1504"/>
      <c r="X99" s="1504"/>
      <c r="Y99" s="1504"/>
      <c r="Z99" s="1504"/>
      <c r="AA99" s="1504"/>
      <c r="AB99" s="1504"/>
      <c r="AC99" s="1504"/>
    </row>
    <row r="100" s="1129" customFormat="1" ht="14.75" spans="1:29">
      <c r="A100" s="1419"/>
      <c r="B100" s="1414"/>
      <c r="C100" s="1415">
        <v>100</v>
      </c>
      <c r="D100" s="1415">
        <f>C100-$K27</f>
        <v>100</v>
      </c>
      <c r="E100" s="1415">
        <f>D100-$K27</f>
        <v>100</v>
      </c>
      <c r="F100" s="1415">
        <f>E100-$K27</f>
        <v>100</v>
      </c>
      <c r="G100" s="1415">
        <f>F100-$K27</f>
        <v>100</v>
      </c>
      <c r="H100" s="1435"/>
      <c r="I100" s="1435"/>
      <c r="J100" s="1435"/>
      <c r="K100" s="1435"/>
      <c r="L100" s="1435"/>
      <c r="M100" s="1486"/>
      <c r="N100" s="1471"/>
      <c r="O100" s="1471"/>
      <c r="P100" s="1472"/>
      <c r="Q100" s="1503"/>
      <c r="R100" s="1504"/>
      <c r="S100" s="1504"/>
      <c r="T100" s="1504"/>
      <c r="U100" s="1504"/>
      <c r="V100" s="1504"/>
      <c r="W100" s="1504"/>
      <c r="X100" s="1504"/>
      <c r="Y100" s="1504"/>
      <c r="Z100" s="1504"/>
      <c r="AA100" s="1504"/>
      <c r="AB100" s="1504"/>
      <c r="AC100" s="1504"/>
    </row>
    <row r="101" s="1129" customFormat="1" ht="14.75" spans="1:29">
      <c r="A101" s="1419"/>
      <c r="B101" s="1416" t="s">
        <v>1050</v>
      </c>
      <c r="C101" s="1436" t="s">
        <v>1092</v>
      </c>
      <c r="D101" s="1436" t="s">
        <v>1093</v>
      </c>
      <c r="E101" s="1436" t="s">
        <v>1094</v>
      </c>
      <c r="F101" s="1436" t="s">
        <v>1095</v>
      </c>
      <c r="G101" s="1436" t="s">
        <v>1096</v>
      </c>
      <c r="H101" s="1434"/>
      <c r="I101" s="1434"/>
      <c r="J101" s="1434"/>
      <c r="K101" s="1434"/>
      <c r="L101" s="1434"/>
      <c r="M101" s="1487"/>
      <c r="N101" s="1471"/>
      <c r="O101" s="1471"/>
      <c r="P101" s="1472"/>
      <c r="Q101" s="1503"/>
      <c r="R101" s="1504"/>
      <c r="S101" s="1504"/>
      <c r="T101" s="1504"/>
      <c r="U101" s="1504"/>
      <c r="V101" s="1504"/>
      <c r="W101" s="1504"/>
      <c r="X101" s="1504"/>
      <c r="Y101" s="1504"/>
      <c r="Z101" s="1504"/>
      <c r="AA101" s="1504"/>
      <c r="AB101" s="1504"/>
      <c r="AC101" s="1504"/>
    </row>
    <row r="102" s="1129" customFormat="1" ht="14.75" spans="1:29">
      <c r="A102" s="1419"/>
      <c r="B102" s="1416"/>
      <c r="C102" s="1415">
        <v>100</v>
      </c>
      <c r="D102" s="1415">
        <f>C102-$K29</f>
        <v>100</v>
      </c>
      <c r="E102" s="1415">
        <f>D102-$K29</f>
        <v>100</v>
      </c>
      <c r="F102" s="1415">
        <f>E102-$K29</f>
        <v>100</v>
      </c>
      <c r="G102" s="1415">
        <f>F102-$K29</f>
        <v>100</v>
      </c>
      <c r="H102" s="1418"/>
      <c r="I102" s="1418"/>
      <c r="J102" s="1418"/>
      <c r="K102" s="1418"/>
      <c r="L102" s="1418"/>
      <c r="M102" s="1487"/>
      <c r="N102" s="1471"/>
      <c r="O102" s="1471"/>
      <c r="P102" s="1472"/>
      <c r="Q102" s="1503"/>
      <c r="R102" s="1504"/>
      <c r="S102" s="1504"/>
      <c r="T102" s="1504"/>
      <c r="U102" s="1504"/>
      <c r="V102" s="1504"/>
      <c r="W102" s="1504"/>
      <c r="X102" s="1504"/>
      <c r="Y102" s="1504"/>
      <c r="Z102" s="1504"/>
      <c r="AA102" s="1504"/>
      <c r="AB102" s="1504"/>
      <c r="AC102" s="1504"/>
    </row>
    <row r="103" ht="14.75" spans="1:29">
      <c r="A103" s="1409"/>
      <c r="B103" s="1412" t="str">
        <f>B31</f>
        <v>临街状况</v>
      </c>
      <c r="C103" s="1413" t="s">
        <v>1683</v>
      </c>
      <c r="D103" s="1413" t="s">
        <v>1684</v>
      </c>
      <c r="E103" s="1413" t="s">
        <v>1685</v>
      </c>
      <c r="F103" s="1413" t="s">
        <v>1686</v>
      </c>
      <c r="G103" s="1413"/>
      <c r="H103" s="1413"/>
      <c r="I103" s="1413"/>
      <c r="J103" s="1413"/>
      <c r="K103" s="1462"/>
      <c r="L103" s="1463"/>
      <c r="M103" s="1464"/>
      <c r="N103" s="1458"/>
      <c r="O103" s="1458"/>
      <c r="P103" s="1459"/>
      <c r="Q103" s="1380"/>
      <c r="R103" s="1254"/>
      <c r="S103" s="1254"/>
      <c r="T103" s="1254"/>
      <c r="U103" s="1254"/>
      <c r="V103" s="1254"/>
      <c r="W103" s="1254"/>
      <c r="X103" s="1254"/>
      <c r="Y103" s="1254"/>
      <c r="Z103" s="1254"/>
      <c r="AA103" s="1254"/>
      <c r="AB103" s="1254"/>
      <c r="AC103" s="1254"/>
    </row>
    <row r="104" ht="14.75" spans="1:29">
      <c r="A104" s="1409"/>
      <c r="B104" s="1414"/>
      <c r="C104" s="1415">
        <v>100</v>
      </c>
      <c r="D104" s="1415">
        <f t="shared" ref="D104:M104" si="22">C104-$K31</f>
        <v>100</v>
      </c>
      <c r="E104" s="1415">
        <f t="shared" si="22"/>
        <v>100</v>
      </c>
      <c r="F104" s="1415">
        <f t="shared" si="22"/>
        <v>100</v>
      </c>
      <c r="G104" s="1415">
        <f t="shared" si="22"/>
        <v>100</v>
      </c>
      <c r="H104" s="1415">
        <f t="shared" si="22"/>
        <v>100</v>
      </c>
      <c r="I104" s="1415">
        <f t="shared" si="22"/>
        <v>100</v>
      </c>
      <c r="J104" s="1415">
        <f t="shared" si="22"/>
        <v>100</v>
      </c>
      <c r="K104" s="1415">
        <f t="shared" si="22"/>
        <v>100</v>
      </c>
      <c r="L104" s="1415">
        <f t="shared" si="22"/>
        <v>100</v>
      </c>
      <c r="M104" s="1415">
        <f t="shared" si="22"/>
        <v>100</v>
      </c>
      <c r="N104" s="1461"/>
      <c r="O104" s="1461"/>
      <c r="P104" s="1459"/>
      <c r="Q104" s="1380"/>
      <c r="R104" s="1254"/>
      <c r="S104" s="1254"/>
      <c r="T104" s="1254"/>
      <c r="U104" s="1254"/>
      <c r="V104" s="1254"/>
      <c r="W104" s="1254"/>
      <c r="X104" s="1254"/>
      <c r="Y104" s="1254"/>
      <c r="Z104" s="1254"/>
      <c r="AA104" s="1254"/>
      <c r="AB104" s="1254"/>
      <c r="AC104" s="1254"/>
    </row>
    <row r="105" ht="28.75" spans="1:29">
      <c r="A105" s="1409"/>
      <c r="B105" s="1412" t="s">
        <v>1619</v>
      </c>
      <c r="C105" s="1420"/>
      <c r="D105" s="1420"/>
      <c r="E105" s="1420"/>
      <c r="F105" s="1420"/>
      <c r="G105" s="1420"/>
      <c r="H105" s="1437"/>
      <c r="I105" s="1437"/>
      <c r="J105" s="1437"/>
      <c r="K105" s="1488"/>
      <c r="L105" s="1489"/>
      <c r="M105" s="1490"/>
      <c r="N105" s="1458"/>
      <c r="O105" s="1458"/>
      <c r="P105" s="1459"/>
      <c r="Q105" s="1380"/>
      <c r="R105" s="1254"/>
      <c r="S105" s="1254"/>
      <c r="T105" s="1254"/>
      <c r="U105" s="1254"/>
      <c r="V105" s="1254"/>
      <c r="W105" s="1254"/>
      <c r="X105" s="1254"/>
      <c r="Y105" s="1254"/>
      <c r="Z105" s="1254"/>
      <c r="AA105" s="1254"/>
      <c r="AB105" s="1254"/>
      <c r="AC105" s="1254"/>
    </row>
    <row r="106" ht="14.75" spans="1:29">
      <c r="A106" s="1409"/>
      <c r="B106" s="1414"/>
      <c r="C106" s="1415">
        <v>100</v>
      </c>
      <c r="D106" s="1415">
        <f t="shared" ref="D106:M106" si="23">C106-$K32</f>
        <v>100</v>
      </c>
      <c r="E106" s="1415">
        <f t="shared" si="23"/>
        <v>100</v>
      </c>
      <c r="F106" s="1415">
        <f t="shared" si="23"/>
        <v>100</v>
      </c>
      <c r="G106" s="1415">
        <f t="shared" si="23"/>
        <v>100</v>
      </c>
      <c r="H106" s="1415">
        <f t="shared" si="23"/>
        <v>100</v>
      </c>
      <c r="I106" s="1415">
        <f t="shared" si="23"/>
        <v>100</v>
      </c>
      <c r="J106" s="1415">
        <f t="shared" si="23"/>
        <v>100</v>
      </c>
      <c r="K106" s="1415">
        <f t="shared" si="23"/>
        <v>100</v>
      </c>
      <c r="L106" s="1415">
        <f t="shared" si="23"/>
        <v>100</v>
      </c>
      <c r="M106" s="1415">
        <f t="shared" si="23"/>
        <v>100</v>
      </c>
      <c r="N106" s="1461"/>
      <c r="O106" s="1461"/>
      <c r="P106" s="1459"/>
      <c r="Q106" s="1380"/>
      <c r="R106" s="1254"/>
      <c r="S106" s="1254"/>
      <c r="T106" s="1254"/>
      <c r="U106" s="1254"/>
      <c r="V106" s="1254"/>
      <c r="W106" s="1254"/>
      <c r="X106" s="1254"/>
      <c r="Y106" s="1254"/>
      <c r="Z106" s="1254"/>
      <c r="AA106" s="1254"/>
      <c r="AB106" s="1254"/>
      <c r="AC106" s="1254"/>
    </row>
    <row r="107" ht="14.75" spans="1:29">
      <c r="A107" s="1409"/>
      <c r="B107" s="1412" t="s">
        <v>1649</v>
      </c>
      <c r="C107" s="1437"/>
      <c r="D107" s="1437"/>
      <c r="E107" s="1437"/>
      <c r="F107" s="1437"/>
      <c r="G107" s="1437"/>
      <c r="H107" s="1437"/>
      <c r="I107" s="1437"/>
      <c r="J107" s="1437"/>
      <c r="K107" s="1488"/>
      <c r="L107" s="1489"/>
      <c r="M107" s="1490"/>
      <c r="N107" s="1458"/>
      <c r="O107" s="1458"/>
      <c r="P107" s="1459"/>
      <c r="Q107" s="1380"/>
      <c r="R107" s="1254"/>
      <c r="S107" s="1254"/>
      <c r="T107" s="1254"/>
      <c r="U107" s="1254"/>
      <c r="V107" s="1254"/>
      <c r="W107" s="1254"/>
      <c r="X107" s="1254"/>
      <c r="Y107" s="1254"/>
      <c r="Z107" s="1254"/>
      <c r="AA107" s="1254"/>
      <c r="AB107" s="1254"/>
      <c r="AC107" s="1254"/>
    </row>
    <row r="108" ht="14.75" spans="1:29">
      <c r="A108" s="1409"/>
      <c r="B108" s="1414"/>
      <c r="C108" s="1415">
        <v>100</v>
      </c>
      <c r="D108" s="1415">
        <f t="shared" ref="D108:M108" si="24">C108-$K34</f>
        <v>100</v>
      </c>
      <c r="E108" s="1415">
        <f t="shared" si="24"/>
        <v>100</v>
      </c>
      <c r="F108" s="1415">
        <f t="shared" si="24"/>
        <v>100</v>
      </c>
      <c r="G108" s="1415">
        <f t="shared" si="24"/>
        <v>100</v>
      </c>
      <c r="H108" s="1415">
        <f t="shared" si="24"/>
        <v>100</v>
      </c>
      <c r="I108" s="1415">
        <f t="shared" si="24"/>
        <v>100</v>
      </c>
      <c r="J108" s="1415">
        <f t="shared" si="24"/>
        <v>100</v>
      </c>
      <c r="K108" s="1415">
        <f t="shared" si="24"/>
        <v>100</v>
      </c>
      <c r="L108" s="1415">
        <f t="shared" si="24"/>
        <v>100</v>
      </c>
      <c r="M108" s="1415">
        <f t="shared" si="24"/>
        <v>100</v>
      </c>
      <c r="N108" s="1461"/>
      <c r="O108" s="1461"/>
      <c r="P108" s="1459"/>
      <c r="Q108" s="1380"/>
      <c r="R108" s="1254"/>
      <c r="S108" s="1254"/>
      <c r="T108" s="1254"/>
      <c r="U108" s="1254"/>
      <c r="V108" s="1254"/>
      <c r="W108" s="1254"/>
      <c r="X108" s="1254"/>
      <c r="Y108" s="1254"/>
      <c r="Z108" s="1254"/>
      <c r="AA108" s="1254"/>
      <c r="AB108" s="1254"/>
      <c r="AC108" s="1254"/>
    </row>
    <row r="109" ht="14.75" spans="1:29">
      <c r="A109" s="1409"/>
      <c r="B109" s="1416">
        <f>B35</f>
        <v>111</v>
      </c>
      <c r="C109" s="1420"/>
      <c r="D109" s="1420"/>
      <c r="E109" s="1420"/>
      <c r="F109" s="1420"/>
      <c r="G109" s="1438"/>
      <c r="H109" s="1438"/>
      <c r="I109" s="1438"/>
      <c r="J109" s="1438"/>
      <c r="K109" s="1491"/>
      <c r="L109" s="1492"/>
      <c r="M109" s="1493"/>
      <c r="N109" s="1458"/>
      <c r="O109" s="1458"/>
      <c r="P109" s="1459"/>
      <c r="Q109" s="1380"/>
      <c r="R109" s="1254"/>
      <c r="S109" s="1254"/>
      <c r="T109" s="1254"/>
      <c r="U109" s="1254"/>
      <c r="V109" s="1254"/>
      <c r="W109" s="1254"/>
      <c r="X109" s="1254"/>
      <c r="Y109" s="1254"/>
      <c r="Z109" s="1254"/>
      <c r="AA109" s="1254"/>
      <c r="AB109" s="1254"/>
      <c r="AC109" s="1254"/>
    </row>
    <row r="110" ht="14.75" spans="1:29">
      <c r="A110" s="1409"/>
      <c r="B110" s="1426"/>
      <c r="C110" s="1422"/>
      <c r="D110" s="1422"/>
      <c r="E110" s="1422"/>
      <c r="F110" s="1422"/>
      <c r="G110" s="1439"/>
      <c r="H110" s="1439"/>
      <c r="I110" s="1439"/>
      <c r="J110" s="1439"/>
      <c r="K110" s="1439"/>
      <c r="L110" s="1439"/>
      <c r="M110" s="1494"/>
      <c r="N110" s="1461"/>
      <c r="O110" s="1461"/>
      <c r="P110" s="1459"/>
      <c r="Q110" s="1380"/>
      <c r="R110" s="1254"/>
      <c r="S110" s="1254"/>
      <c r="T110" s="1254"/>
      <c r="U110" s="1254"/>
      <c r="V110" s="1254"/>
      <c r="W110" s="1254"/>
      <c r="X110" s="1254"/>
      <c r="Y110" s="1254"/>
      <c r="Z110" s="1254"/>
      <c r="AA110" s="1254"/>
      <c r="AB110" s="1254"/>
      <c r="AC110" s="1254"/>
    </row>
    <row r="111" ht="14.75" spans="1:29">
      <c r="A111" s="1220"/>
      <c r="B111" s="1412">
        <f>B36</f>
        <v>111</v>
      </c>
      <c r="C111" s="1404"/>
      <c r="D111" s="1404"/>
      <c r="E111" s="1404"/>
      <c r="F111" s="1404"/>
      <c r="G111" s="1437"/>
      <c r="H111" s="1437"/>
      <c r="I111" s="1437"/>
      <c r="J111" s="1437"/>
      <c r="K111" s="1488"/>
      <c r="L111" s="1489"/>
      <c r="M111" s="1490"/>
      <c r="N111" s="1458"/>
      <c r="O111" s="1458"/>
      <c r="P111" s="1459"/>
      <c r="Q111" s="1380"/>
      <c r="R111" s="1254"/>
      <c r="S111" s="1254"/>
      <c r="T111" s="1254"/>
      <c r="U111" s="1254"/>
      <c r="V111" s="1254"/>
      <c r="W111" s="1254"/>
      <c r="X111" s="1254"/>
      <c r="Y111" s="1254"/>
      <c r="Z111" s="1254"/>
      <c r="AA111" s="1254"/>
      <c r="AB111" s="1254"/>
      <c r="AC111" s="1254"/>
    </row>
    <row r="112" ht="14.75" spans="1:29">
      <c r="A112" s="1409"/>
      <c r="B112" s="1414"/>
      <c r="C112" s="1427"/>
      <c r="D112" s="1427"/>
      <c r="E112" s="1427"/>
      <c r="F112" s="1427"/>
      <c r="G112" s="1411"/>
      <c r="H112" s="1411"/>
      <c r="I112" s="1411"/>
      <c r="J112" s="1411"/>
      <c r="K112" s="1411"/>
      <c r="L112" s="1411"/>
      <c r="M112" s="1460"/>
      <c r="N112" s="1461"/>
      <c r="O112" s="1461"/>
      <c r="P112" s="1459"/>
      <c r="Q112" s="1380"/>
      <c r="R112" s="1254"/>
      <c r="S112" s="1254"/>
      <c r="T112" s="1254"/>
      <c r="U112" s="1254"/>
      <c r="V112" s="1254"/>
      <c r="W112" s="1254"/>
      <c r="X112" s="1254"/>
      <c r="Y112" s="1254"/>
      <c r="Z112" s="1254"/>
      <c r="AA112" s="1254"/>
      <c r="AB112" s="1254"/>
      <c r="AC112" s="1254"/>
    </row>
    <row r="113" s="1129" customFormat="1" ht="14.75" spans="1:29">
      <c r="A113" s="1440"/>
      <c r="B113" s="1441">
        <f>B37</f>
        <v>111</v>
      </c>
      <c r="C113" s="1396"/>
      <c r="D113" s="1396"/>
      <c r="E113" s="1396"/>
      <c r="F113" s="1396"/>
      <c r="G113" s="1396"/>
      <c r="H113" s="1396"/>
      <c r="I113" s="1396"/>
      <c r="J113" s="1495"/>
      <c r="K113" s="1495"/>
      <c r="L113" s="1496"/>
      <c r="M113" s="1497"/>
      <c r="N113" s="1471"/>
      <c r="O113" s="1471"/>
      <c r="P113" s="1472"/>
      <c r="Q113" s="1503"/>
      <c r="R113" s="1504"/>
      <c r="S113" s="1504"/>
      <c r="T113" s="1504"/>
      <c r="U113" s="1504"/>
      <c r="V113" s="1504"/>
      <c r="W113" s="1504"/>
      <c r="X113" s="1504"/>
      <c r="Y113" s="1504"/>
      <c r="Z113" s="1504"/>
      <c r="AA113" s="1504"/>
      <c r="AB113" s="1504"/>
      <c r="AC113" s="1504"/>
    </row>
    <row r="114" s="1129" customFormat="1" ht="14.75" spans="1:29">
      <c r="A114" s="1419"/>
      <c r="B114" s="1416"/>
      <c r="C114" s="1406"/>
      <c r="D114" s="1442"/>
      <c r="E114" s="1442"/>
      <c r="F114" s="1442"/>
      <c r="G114" s="1442"/>
      <c r="H114" s="1442"/>
      <c r="I114" s="1442"/>
      <c r="J114" s="1442"/>
      <c r="K114" s="1442"/>
      <c r="L114" s="1442"/>
      <c r="M114" s="1498"/>
      <c r="N114" s="1461"/>
      <c r="O114" s="1461"/>
      <c r="P114" s="1472"/>
      <c r="Q114" s="1503"/>
      <c r="R114" s="1504"/>
      <c r="S114" s="1504"/>
      <c r="T114" s="1504"/>
      <c r="U114" s="1504"/>
      <c r="V114" s="1504"/>
      <c r="W114" s="1504"/>
      <c r="X114" s="1504"/>
      <c r="Y114" s="1504"/>
      <c r="Z114" s="1504"/>
      <c r="AA114" s="1504"/>
      <c r="AB114" s="1504"/>
      <c r="AC114" s="1504"/>
    </row>
    <row r="115" spans="1:29">
      <c r="A115" s="1407" t="s">
        <v>1056</v>
      </c>
      <c r="B115" s="1408" t="s">
        <v>1650</v>
      </c>
      <c r="C115" s="1430" t="str">
        <f>C116&amp;"(含)"&amp;"-"&amp;D116</f>
        <v>(含)-</v>
      </c>
      <c r="D115" s="1430" t="str">
        <f t="shared" ref="D115:M115" si="25">D116&amp;"(含)"&amp;"-"&amp;E116</f>
        <v>(含)-</v>
      </c>
      <c r="E115" s="1430" t="str">
        <f t="shared" si="25"/>
        <v>(含)-</v>
      </c>
      <c r="F115" s="1430" t="str">
        <f t="shared" si="25"/>
        <v>(含)-</v>
      </c>
      <c r="G115" s="1430" t="str">
        <f t="shared" si="25"/>
        <v>(含)-</v>
      </c>
      <c r="H115" s="1430" t="str">
        <f t="shared" si="25"/>
        <v>(含)-</v>
      </c>
      <c r="I115" s="1430" t="str">
        <f t="shared" si="25"/>
        <v>(含)-</v>
      </c>
      <c r="J115" s="1430" t="str">
        <f t="shared" si="25"/>
        <v>(含)-</v>
      </c>
      <c r="K115" s="1430" t="str">
        <f t="shared" si="25"/>
        <v>(含)-</v>
      </c>
      <c r="L115" s="1430" t="str">
        <f t="shared" si="25"/>
        <v>(含)-</v>
      </c>
      <c r="M115" s="1430" t="str">
        <f t="shared" si="25"/>
        <v>(含)-</v>
      </c>
      <c r="N115" s="1458"/>
      <c r="O115" s="1458"/>
      <c r="P115" s="1459"/>
      <c r="Q115" s="1380"/>
      <c r="R115" s="1254"/>
      <c r="S115" s="1254"/>
      <c r="T115" s="1254"/>
      <c r="U115" s="1254"/>
      <c r="V115" s="1254"/>
      <c r="W115" s="1254"/>
      <c r="X115" s="1254"/>
      <c r="Y115" s="1254"/>
      <c r="Z115" s="1254"/>
      <c r="AA115" s="1254"/>
      <c r="AB115" s="1254"/>
      <c r="AC115" s="1254"/>
    </row>
    <row r="116" spans="1:29">
      <c r="A116" s="1409"/>
      <c r="B116" s="1416"/>
      <c r="C116" s="1396"/>
      <c r="D116" s="1396"/>
      <c r="E116" s="1396"/>
      <c r="F116" s="1396"/>
      <c r="G116" s="1396"/>
      <c r="H116" s="1396"/>
      <c r="I116" s="1396"/>
      <c r="J116" s="1495"/>
      <c r="K116" s="1495"/>
      <c r="L116" s="1496"/>
      <c r="M116" s="1497"/>
      <c r="N116" s="1458"/>
      <c r="O116" s="1458"/>
      <c r="P116" s="1459"/>
      <c r="Q116" s="1380"/>
      <c r="R116" s="1254"/>
      <c r="S116" s="1254"/>
      <c r="T116" s="1254"/>
      <c r="U116" s="1254"/>
      <c r="V116" s="1254"/>
      <c r="W116" s="1254"/>
      <c r="X116" s="1254"/>
      <c r="Y116" s="1254"/>
      <c r="Z116" s="1254"/>
      <c r="AA116" s="1254"/>
      <c r="AB116" s="1254"/>
      <c r="AC116" s="1254"/>
    </row>
    <row r="117" ht="14.75" spans="1:29">
      <c r="A117" s="1409"/>
      <c r="B117" s="1414"/>
      <c r="C117" s="1427"/>
      <c r="D117" s="1439"/>
      <c r="E117" s="1439"/>
      <c r="F117" s="1439"/>
      <c r="G117" s="1439"/>
      <c r="H117" s="1439"/>
      <c r="I117" s="1439"/>
      <c r="J117" s="1439"/>
      <c r="K117" s="1439"/>
      <c r="L117" s="1439"/>
      <c r="M117" s="1494"/>
      <c r="N117" s="1461"/>
      <c r="O117" s="1461"/>
      <c r="P117" s="1459"/>
      <c r="Q117" s="1380"/>
      <c r="R117" s="1254"/>
      <c r="S117" s="1254"/>
      <c r="T117" s="1254"/>
      <c r="U117" s="1254"/>
      <c r="V117" s="1254"/>
      <c r="W117" s="1254"/>
      <c r="X117" s="1254"/>
      <c r="Y117" s="1254"/>
      <c r="Z117" s="1254"/>
      <c r="AA117" s="1254"/>
      <c r="AB117" s="1254"/>
      <c r="AC117" s="1254"/>
    </row>
    <row r="118" ht="14.75" spans="1:29">
      <c r="A118" s="1443"/>
      <c r="B118" s="1412" t="s">
        <v>1651</v>
      </c>
      <c r="C118" s="1437"/>
      <c r="D118" s="1437"/>
      <c r="E118" s="1437"/>
      <c r="F118" s="1437"/>
      <c r="G118" s="1437"/>
      <c r="H118" s="1437"/>
      <c r="I118" s="1437"/>
      <c r="J118" s="1437"/>
      <c r="K118" s="1488"/>
      <c r="L118" s="1489"/>
      <c r="M118" s="1490"/>
      <c r="N118" s="1458"/>
      <c r="O118" s="1458"/>
      <c r="P118" s="1459"/>
      <c r="Q118" s="1380"/>
      <c r="R118" s="1254"/>
      <c r="S118" s="1254"/>
      <c r="T118" s="1254"/>
      <c r="U118" s="1254"/>
      <c r="V118" s="1254"/>
      <c r="W118" s="1254"/>
      <c r="X118" s="1254"/>
      <c r="Y118" s="1254"/>
      <c r="Z118" s="1254"/>
      <c r="AA118" s="1254"/>
      <c r="AB118" s="1254"/>
      <c r="AC118" s="1254"/>
    </row>
    <row r="119" ht="14.75" spans="1:29">
      <c r="A119" s="1409"/>
      <c r="B119" s="1414"/>
      <c r="C119" s="1415">
        <v>100</v>
      </c>
      <c r="D119" s="1415">
        <f t="shared" ref="D119:M119" si="26">C119-$K39</f>
        <v>100</v>
      </c>
      <c r="E119" s="1415">
        <f t="shared" si="26"/>
        <v>100</v>
      </c>
      <c r="F119" s="1415">
        <f t="shared" si="26"/>
        <v>100</v>
      </c>
      <c r="G119" s="1415">
        <f t="shared" si="26"/>
        <v>100</v>
      </c>
      <c r="H119" s="1415">
        <f t="shared" si="26"/>
        <v>100</v>
      </c>
      <c r="I119" s="1415">
        <f t="shared" si="26"/>
        <v>100</v>
      </c>
      <c r="J119" s="1415">
        <f t="shared" si="26"/>
        <v>100</v>
      </c>
      <c r="K119" s="1415">
        <f t="shared" si="26"/>
        <v>100</v>
      </c>
      <c r="L119" s="1415">
        <f t="shared" si="26"/>
        <v>100</v>
      </c>
      <c r="M119" s="1465">
        <f t="shared" si="26"/>
        <v>100</v>
      </c>
      <c r="N119" s="1461"/>
      <c r="O119" s="1461"/>
      <c r="P119" s="1459"/>
      <c r="Q119" s="1380"/>
      <c r="R119" s="1254"/>
      <c r="S119" s="1254"/>
      <c r="T119" s="1254"/>
      <c r="U119" s="1254"/>
      <c r="V119" s="1254"/>
      <c r="W119" s="1254"/>
      <c r="X119" s="1254"/>
      <c r="Y119" s="1254"/>
      <c r="Z119" s="1254"/>
      <c r="AA119" s="1254"/>
      <c r="AB119" s="1254"/>
      <c r="AC119" s="1254"/>
    </row>
    <row r="120" ht="14.75" spans="1:29">
      <c r="A120" s="1443"/>
      <c r="B120" s="1412" t="s">
        <v>1652</v>
      </c>
      <c r="C120" s="1420"/>
      <c r="D120" s="1420"/>
      <c r="E120" s="1420"/>
      <c r="F120" s="1437"/>
      <c r="G120" s="1437"/>
      <c r="H120" s="1437"/>
      <c r="I120" s="1437"/>
      <c r="J120" s="1437"/>
      <c r="K120" s="1488"/>
      <c r="L120" s="1489"/>
      <c r="M120" s="1490"/>
      <c r="N120" s="1458"/>
      <c r="O120" s="1458"/>
      <c r="P120" s="1459"/>
      <c r="Q120" s="1380"/>
      <c r="R120" s="1254"/>
      <c r="S120" s="1254"/>
      <c r="T120" s="1254"/>
      <c r="U120" s="1254"/>
      <c r="V120" s="1254"/>
      <c r="W120" s="1254"/>
      <c r="X120" s="1254"/>
      <c r="Y120" s="1254"/>
      <c r="Z120" s="1254"/>
      <c r="AA120" s="1254"/>
      <c r="AB120" s="1254"/>
      <c r="AC120" s="1254"/>
    </row>
    <row r="121" ht="14.75" spans="1:29">
      <c r="A121" s="1409"/>
      <c r="B121" s="1414"/>
      <c r="C121" s="1415">
        <v>100</v>
      </c>
      <c r="D121" s="1415">
        <f t="shared" ref="D121:M121" si="27">C121-$K40</f>
        <v>100</v>
      </c>
      <c r="E121" s="1415">
        <f t="shared" si="27"/>
        <v>100</v>
      </c>
      <c r="F121" s="1415">
        <f t="shared" si="27"/>
        <v>100</v>
      </c>
      <c r="G121" s="1415">
        <f t="shared" si="27"/>
        <v>100</v>
      </c>
      <c r="H121" s="1415">
        <f t="shared" si="27"/>
        <v>100</v>
      </c>
      <c r="I121" s="1415">
        <f t="shared" si="27"/>
        <v>100</v>
      </c>
      <c r="J121" s="1415">
        <f t="shared" si="27"/>
        <v>100</v>
      </c>
      <c r="K121" s="1415">
        <f t="shared" si="27"/>
        <v>100</v>
      </c>
      <c r="L121" s="1415">
        <f t="shared" si="27"/>
        <v>100</v>
      </c>
      <c r="M121" s="1465">
        <f t="shared" si="27"/>
        <v>100</v>
      </c>
      <c r="N121" s="1461"/>
      <c r="O121" s="1461"/>
      <c r="P121" s="1459"/>
      <c r="Q121" s="1380"/>
      <c r="R121" s="1254"/>
      <c r="S121" s="1254"/>
      <c r="T121" s="1254"/>
      <c r="U121" s="1254"/>
      <c r="V121" s="1254"/>
      <c r="W121" s="1254"/>
      <c r="X121" s="1254"/>
      <c r="Y121" s="1254"/>
      <c r="Z121" s="1254"/>
      <c r="AA121" s="1254"/>
      <c r="AB121" s="1254"/>
      <c r="AC121" s="1254"/>
    </row>
    <row r="122" s="1129" customFormat="1" ht="14.75" spans="1:29">
      <c r="A122" s="1440"/>
      <c r="B122" s="1412" t="s">
        <v>1653</v>
      </c>
      <c r="C122" s="1420"/>
      <c r="D122" s="1420"/>
      <c r="E122" s="1420"/>
      <c r="F122" s="1420"/>
      <c r="G122" s="1420"/>
      <c r="H122" s="1437"/>
      <c r="I122" s="1437"/>
      <c r="J122" s="1437"/>
      <c r="K122" s="1488"/>
      <c r="L122" s="1489"/>
      <c r="M122" s="1490"/>
      <c r="N122" s="1471"/>
      <c r="O122" s="1471"/>
      <c r="P122" s="1472"/>
      <c r="Q122" s="1503"/>
      <c r="R122" s="1504"/>
      <c r="S122" s="1504"/>
      <c r="T122" s="1504"/>
      <c r="U122" s="1504"/>
      <c r="V122" s="1504"/>
      <c r="W122" s="1504"/>
      <c r="X122" s="1504"/>
      <c r="Y122" s="1504"/>
      <c r="Z122" s="1504"/>
      <c r="AA122" s="1504"/>
      <c r="AB122" s="1504"/>
      <c r="AC122" s="1504"/>
    </row>
    <row r="123" s="1129" customFormat="1" ht="14.75" spans="1:29">
      <c r="A123" s="1419"/>
      <c r="B123" s="1414"/>
      <c r="C123" s="1415">
        <v>100</v>
      </c>
      <c r="D123" s="1415">
        <f t="shared" ref="D123:M123" si="28">C123-$K41</f>
        <v>100</v>
      </c>
      <c r="E123" s="1415">
        <f t="shared" si="28"/>
        <v>100</v>
      </c>
      <c r="F123" s="1415">
        <f t="shared" si="28"/>
        <v>100</v>
      </c>
      <c r="G123" s="1415">
        <f t="shared" si="28"/>
        <v>100</v>
      </c>
      <c r="H123" s="1415">
        <f t="shared" si="28"/>
        <v>100</v>
      </c>
      <c r="I123" s="1415">
        <f t="shared" si="28"/>
        <v>100</v>
      </c>
      <c r="J123" s="1415">
        <f t="shared" si="28"/>
        <v>100</v>
      </c>
      <c r="K123" s="1415">
        <f t="shared" si="28"/>
        <v>100</v>
      </c>
      <c r="L123" s="1415">
        <f t="shared" si="28"/>
        <v>100</v>
      </c>
      <c r="M123" s="1465">
        <f t="shared" si="28"/>
        <v>100</v>
      </c>
      <c r="N123" s="1471"/>
      <c r="O123" s="1471"/>
      <c r="P123" s="1472"/>
      <c r="Q123" s="1503"/>
      <c r="R123" s="1504"/>
      <c r="S123" s="1504"/>
      <c r="T123" s="1504"/>
      <c r="U123" s="1504"/>
      <c r="V123" s="1504"/>
      <c r="W123" s="1504"/>
      <c r="X123" s="1504"/>
      <c r="Y123" s="1504"/>
      <c r="Z123" s="1504"/>
      <c r="AA123" s="1504"/>
      <c r="AB123" s="1504"/>
      <c r="AC123" s="1504"/>
    </row>
    <row r="124" ht="14.75" spans="1:29">
      <c r="A124" s="1443"/>
      <c r="B124" s="1412" t="s">
        <v>1654</v>
      </c>
      <c r="C124" s="1420"/>
      <c r="D124" s="1420"/>
      <c r="E124" s="1437"/>
      <c r="F124" s="1437"/>
      <c r="G124" s="1437"/>
      <c r="H124" s="1437"/>
      <c r="I124" s="1437"/>
      <c r="J124" s="1437"/>
      <c r="K124" s="1488"/>
      <c r="L124" s="1489"/>
      <c r="M124" s="1490"/>
      <c r="N124" s="1458"/>
      <c r="O124" s="1458"/>
      <c r="P124" s="1459"/>
      <c r="Q124" s="1380"/>
      <c r="R124" s="1254"/>
      <c r="S124" s="1254"/>
      <c r="T124" s="1254"/>
      <c r="U124" s="1254"/>
      <c r="V124" s="1254"/>
      <c r="W124" s="1254"/>
      <c r="X124" s="1254"/>
      <c r="Y124" s="1254"/>
      <c r="Z124" s="1254"/>
      <c r="AA124" s="1254"/>
      <c r="AB124" s="1254"/>
      <c r="AC124" s="1254"/>
    </row>
    <row r="125" ht="14.75" spans="1:29">
      <c r="A125" s="1409"/>
      <c r="B125" s="1414"/>
      <c r="C125" s="1415">
        <v>100</v>
      </c>
      <c r="D125" s="1415">
        <f t="shared" ref="D125:M125" si="29">C125-$K42</f>
        <v>100</v>
      </c>
      <c r="E125" s="1415">
        <f t="shared" si="29"/>
        <v>100</v>
      </c>
      <c r="F125" s="1415">
        <f t="shared" si="29"/>
        <v>100</v>
      </c>
      <c r="G125" s="1415">
        <f t="shared" si="29"/>
        <v>100</v>
      </c>
      <c r="H125" s="1415">
        <f t="shared" si="29"/>
        <v>100</v>
      </c>
      <c r="I125" s="1415">
        <f t="shared" si="29"/>
        <v>100</v>
      </c>
      <c r="J125" s="1415">
        <f t="shared" si="29"/>
        <v>100</v>
      </c>
      <c r="K125" s="1415">
        <f t="shared" si="29"/>
        <v>100</v>
      </c>
      <c r="L125" s="1415">
        <f t="shared" si="29"/>
        <v>100</v>
      </c>
      <c r="M125" s="1465">
        <f t="shared" si="29"/>
        <v>100</v>
      </c>
      <c r="N125" s="1461"/>
      <c r="O125" s="1461"/>
      <c r="P125" s="1459"/>
      <c r="Q125" s="1380"/>
      <c r="R125" s="1254"/>
      <c r="S125" s="1254"/>
      <c r="T125" s="1254"/>
      <c r="U125" s="1254"/>
      <c r="V125" s="1254"/>
      <c r="W125" s="1254"/>
      <c r="X125" s="1254"/>
      <c r="Y125" s="1254"/>
      <c r="Z125" s="1254"/>
      <c r="AA125" s="1254"/>
      <c r="AB125" s="1254"/>
      <c r="AC125" s="1254"/>
    </row>
    <row r="126" ht="14.75" spans="1:29">
      <c r="A126" s="1443"/>
      <c r="B126" s="1412">
        <f>B43</f>
        <v>111</v>
      </c>
      <c r="C126" s="1420"/>
      <c r="D126" s="1420"/>
      <c r="E126" s="1420"/>
      <c r="F126" s="1420"/>
      <c r="G126" s="1420"/>
      <c r="H126" s="1437"/>
      <c r="I126" s="1437"/>
      <c r="J126" s="1437"/>
      <c r="K126" s="1488"/>
      <c r="L126" s="1489"/>
      <c r="M126" s="1490"/>
      <c r="N126" s="1458"/>
      <c r="O126" s="1458"/>
      <c r="P126" s="1459"/>
      <c r="Q126" s="1380"/>
      <c r="R126" s="1254"/>
      <c r="S126" s="1254"/>
      <c r="T126" s="1254"/>
      <c r="U126" s="1254"/>
      <c r="V126" s="1254"/>
      <c r="W126" s="1254"/>
      <c r="X126" s="1254"/>
      <c r="Y126" s="1254"/>
      <c r="Z126" s="1254"/>
      <c r="AA126" s="1254"/>
      <c r="AB126" s="1254"/>
      <c r="AC126" s="1254"/>
    </row>
    <row r="127" ht="14.75" spans="1:29">
      <c r="A127" s="1409"/>
      <c r="B127" s="1414"/>
      <c r="C127" s="1422"/>
      <c r="D127" s="1422"/>
      <c r="E127" s="1422"/>
      <c r="F127" s="1422"/>
      <c r="G127" s="1411"/>
      <c r="H127" s="1411"/>
      <c r="I127" s="1411"/>
      <c r="J127" s="1411"/>
      <c r="K127" s="1411"/>
      <c r="L127" s="1411"/>
      <c r="M127" s="1460"/>
      <c r="N127" s="1461"/>
      <c r="O127" s="1461"/>
      <c r="P127" s="1459"/>
      <c r="Q127" s="1380"/>
      <c r="R127" s="1254"/>
      <c r="S127" s="1254"/>
      <c r="T127" s="1254"/>
      <c r="U127" s="1254"/>
      <c r="V127" s="1254"/>
      <c r="W127" s="1254"/>
      <c r="X127" s="1254"/>
      <c r="Y127" s="1254"/>
      <c r="Z127" s="1254"/>
      <c r="AA127" s="1254"/>
      <c r="AB127" s="1254"/>
      <c r="AC127" s="1254"/>
    </row>
    <row r="128" ht="14.75" spans="1:29">
      <c r="A128" s="1443"/>
      <c r="B128" s="1412">
        <f>B44</f>
        <v>111</v>
      </c>
      <c r="C128" s="1404"/>
      <c r="D128" s="1404"/>
      <c r="E128" s="1404"/>
      <c r="F128" s="1404"/>
      <c r="G128" s="1437"/>
      <c r="H128" s="1437"/>
      <c r="I128" s="1437"/>
      <c r="J128" s="1437"/>
      <c r="K128" s="1488"/>
      <c r="L128" s="1489"/>
      <c r="M128" s="1490"/>
      <c r="N128" s="1458"/>
      <c r="O128" s="1458"/>
      <c r="P128" s="1459"/>
      <c r="Q128" s="1380"/>
      <c r="R128" s="1254"/>
      <c r="S128" s="1254"/>
      <c r="T128" s="1254"/>
      <c r="U128" s="1254"/>
      <c r="V128" s="1254"/>
      <c r="W128" s="1254"/>
      <c r="X128" s="1254"/>
      <c r="Y128" s="1254"/>
      <c r="Z128" s="1254"/>
      <c r="AA128" s="1254"/>
      <c r="AB128" s="1254"/>
      <c r="AC128" s="1254"/>
    </row>
    <row r="129" ht="14.75" spans="1:29">
      <c r="A129" s="1409"/>
      <c r="B129" s="1414"/>
      <c r="C129" s="1427"/>
      <c r="D129" s="1427"/>
      <c r="E129" s="1427"/>
      <c r="F129" s="1427"/>
      <c r="G129" s="1411"/>
      <c r="H129" s="1411"/>
      <c r="I129" s="1411"/>
      <c r="J129" s="1411"/>
      <c r="K129" s="1411"/>
      <c r="L129" s="1411"/>
      <c r="M129" s="1460"/>
      <c r="N129" s="1461"/>
      <c r="O129" s="1461"/>
      <c r="P129" s="1459"/>
      <c r="Q129" s="1380"/>
      <c r="R129" s="1254"/>
      <c r="S129" s="1254"/>
      <c r="T129" s="1254"/>
      <c r="U129" s="1254"/>
      <c r="V129" s="1254"/>
      <c r="W129" s="1254"/>
      <c r="X129" s="1254"/>
      <c r="Y129" s="1254"/>
      <c r="Z129" s="1254"/>
      <c r="AA129" s="1254"/>
      <c r="AB129" s="1254"/>
      <c r="AC129" s="1254"/>
    </row>
    <row r="130" s="1129" customFormat="1" ht="14.75" spans="1:29">
      <c r="A130" s="1440"/>
      <c r="B130" s="1412">
        <f>B45</f>
        <v>111</v>
      </c>
      <c r="C130" s="1404"/>
      <c r="D130" s="1404"/>
      <c r="E130" s="1404"/>
      <c r="F130" s="1404"/>
      <c r="G130" s="1421"/>
      <c r="H130" s="1421"/>
      <c r="I130" s="1421"/>
      <c r="J130" s="1421"/>
      <c r="K130" s="1421"/>
      <c r="L130" s="1469"/>
      <c r="M130" s="1470"/>
      <c r="N130" s="1471"/>
      <c r="O130" s="1471"/>
      <c r="P130" s="1472"/>
      <c r="Q130" s="1503"/>
      <c r="R130" s="1504"/>
      <c r="S130" s="1504"/>
      <c r="T130" s="1504"/>
      <c r="U130" s="1504"/>
      <c r="V130" s="1504"/>
      <c r="W130" s="1504"/>
      <c r="X130" s="1504"/>
      <c r="Y130" s="1504"/>
      <c r="Z130" s="1504"/>
      <c r="AA130" s="1504"/>
      <c r="AB130" s="1504"/>
      <c r="AC130" s="1504"/>
    </row>
    <row r="131" s="1129" customFormat="1" ht="14.75" spans="1:29">
      <c r="A131" s="1425"/>
      <c r="B131" s="1444"/>
      <c r="C131" s="1427"/>
      <c r="D131" s="1427"/>
      <c r="E131" s="1427"/>
      <c r="F131" s="1427"/>
      <c r="G131" s="1439"/>
      <c r="H131" s="1439"/>
      <c r="I131" s="1439"/>
      <c r="J131" s="1439"/>
      <c r="K131" s="1439"/>
      <c r="L131" s="1439"/>
      <c r="M131" s="1494"/>
      <c r="N131" s="1471"/>
      <c r="O131" s="1471"/>
      <c r="P131" s="1472"/>
      <c r="Q131" s="1503"/>
      <c r="R131" s="1504"/>
      <c r="S131" s="1504"/>
      <c r="T131" s="1504"/>
      <c r="U131" s="1504"/>
      <c r="V131" s="1504"/>
      <c r="W131" s="1504"/>
      <c r="X131" s="1504"/>
      <c r="Y131" s="1504"/>
      <c r="Z131" s="1504"/>
      <c r="AA131" s="1504"/>
      <c r="AB131" s="1504"/>
      <c r="AC131" s="150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D66" sqref="D66:H66"/>
    </sheetView>
  </sheetViews>
  <sheetFormatPr defaultColWidth="9" defaultRowHeight="14"/>
  <cols>
    <col min="1" max="1" width="14.3727272727273" style="1133" customWidth="1"/>
    <col min="2" max="2" width="15.7545454545455" style="1133" customWidth="1"/>
    <col min="3" max="3" width="14.3727272727273" style="1133" customWidth="1"/>
    <col min="4" max="4" width="12.2545454545455" style="1133" customWidth="1"/>
    <col min="5" max="5" width="14.3727272727273" style="1133" customWidth="1"/>
    <col min="6" max="6" width="12.2545454545455" style="1133" customWidth="1"/>
    <col min="7" max="7" width="14.5" style="1133" customWidth="1"/>
    <col min="8" max="8" width="12.2545454545455" style="1133" customWidth="1"/>
    <col min="9" max="9" width="14.5" style="1133" customWidth="1"/>
    <col min="10" max="10" width="12.2545454545455" style="1133" customWidth="1"/>
    <col min="11" max="11" width="12.2545454545455" style="1134" customWidth="1"/>
    <col min="12" max="12" width="12.2545454545455" style="1135" customWidth="1"/>
    <col min="13" max="15" width="12.2545454545455" style="1133" customWidth="1"/>
    <col min="16" max="16" width="4.75454545454545" style="1133" customWidth="1"/>
    <col min="17" max="17" width="19.5" style="1133" customWidth="1"/>
    <col min="18" max="22" width="6.12727272727273" style="1133" customWidth="1"/>
    <col min="23" max="23" width="5.75454545454545" style="1133" customWidth="1"/>
    <col min="24" max="24" width="4.25454545454545" style="1133" customWidth="1"/>
    <col min="25" max="25" width="3.5" style="1133" customWidth="1"/>
    <col min="26" max="26" width="19.7545454545455" style="1133" customWidth="1"/>
    <col min="27" max="28" width="9.37272727272727" style="1133" customWidth="1"/>
    <col min="29" max="16384" width="9" style="1133"/>
  </cols>
  <sheetData>
    <row r="1" s="1126" customFormat="1" ht="28.5" customHeight="1" spans="1:29">
      <c r="A1" s="1136" t="s">
        <v>1644</v>
      </c>
      <c r="B1" s="1137"/>
      <c r="C1" s="1138" t="s">
        <v>1623</v>
      </c>
      <c r="D1" s="1139"/>
      <c r="E1" s="1139"/>
      <c r="F1" s="1140" t="s">
        <v>1011</v>
      </c>
      <c r="G1" s="1139"/>
      <c r="H1" s="1139"/>
      <c r="I1" s="1139"/>
      <c r="J1" s="1139"/>
      <c r="K1" s="1298"/>
      <c r="L1" s="1299"/>
      <c r="M1" s="1300"/>
      <c r="N1" s="1300"/>
      <c r="O1" s="1300"/>
      <c r="P1" s="1301"/>
      <c r="Q1" s="1301"/>
      <c r="R1" s="1301"/>
      <c r="S1" s="1301"/>
      <c r="T1" s="1301"/>
      <c r="U1" s="1301"/>
      <c r="V1" s="1301"/>
      <c r="W1" s="1301"/>
      <c r="X1" s="1301"/>
      <c r="Y1" s="1301"/>
      <c r="Z1" s="1301"/>
      <c r="AA1" s="1301"/>
      <c r="AB1" s="1301"/>
      <c r="AC1" s="1381"/>
    </row>
    <row r="2" s="1126" customFormat="1" ht="28.5" customHeight="1" spans="1:29">
      <c r="A2" s="406" t="s">
        <v>1012</v>
      </c>
      <c r="B2" s="1141">
        <f>F61</f>
        <v>2169</v>
      </c>
      <c r="C2" s="1142"/>
      <c r="D2" s="1142"/>
      <c r="E2" s="1142"/>
      <c r="F2" s="1143"/>
      <c r="G2" s="1142"/>
      <c r="H2" s="1142"/>
      <c r="I2" s="1142"/>
      <c r="J2" s="1142"/>
      <c r="K2" s="1302"/>
      <c r="L2" s="1303"/>
      <c r="M2" s="1304"/>
      <c r="N2" s="1304"/>
      <c r="O2" s="1304"/>
      <c r="P2" s="1301"/>
      <c r="Q2" s="1301"/>
      <c r="R2" s="1301"/>
      <c r="S2" s="1301"/>
      <c r="T2" s="1301"/>
      <c r="U2" s="1301"/>
      <c r="V2" s="1301"/>
      <c r="W2" s="1301"/>
      <c r="X2" s="1301"/>
      <c r="Y2" s="1301"/>
      <c r="Z2" s="1301"/>
      <c r="AA2" s="1301"/>
      <c r="AB2" s="1301"/>
      <c r="AC2" s="1381"/>
    </row>
    <row r="3" s="1126" customFormat="1" ht="28.5" customHeight="1" spans="1:29">
      <c r="A3" s="409" t="s">
        <v>1014</v>
      </c>
      <c r="B3" s="1144">
        <f>ROUND(IF(D3="",B2*10000/'数据-汇总表'!E3,B2*10000/D3),0)</f>
        <v>399</v>
      </c>
      <c r="C3" s="409" t="s">
        <v>1015</v>
      </c>
      <c r="D3" s="1145"/>
      <c r="E3" s="1142"/>
      <c r="F3" s="1143"/>
      <c r="G3" s="1142"/>
      <c r="H3" s="1142"/>
      <c r="I3" s="1142"/>
      <c r="J3" s="1142"/>
      <c r="K3" s="1302"/>
      <c r="L3" s="1303"/>
      <c r="M3" s="1304"/>
      <c r="N3" s="1304"/>
      <c r="O3" s="1304"/>
      <c r="P3" s="1301"/>
      <c r="Q3" s="1301"/>
      <c r="R3" s="1301"/>
      <c r="S3" s="1301"/>
      <c r="T3" s="1301"/>
      <c r="U3" s="1301"/>
      <c r="V3" s="1301"/>
      <c r="W3" s="1301"/>
      <c r="X3" s="1301"/>
      <c r="Y3" s="1301"/>
      <c r="Z3" s="1301"/>
      <c r="AA3" s="1301"/>
      <c r="AB3" s="1382"/>
      <c r="AC3" s="1383"/>
    </row>
    <row r="4" spans="1:29">
      <c r="A4" s="1146" t="s">
        <v>1016</v>
      </c>
      <c r="B4" s="1147"/>
      <c r="C4" s="1148" t="s">
        <v>1017</v>
      </c>
      <c r="D4" s="1149"/>
      <c r="E4" s="1150" t="s">
        <v>1018</v>
      </c>
      <c r="F4" s="1151"/>
      <c r="G4" s="1148" t="s">
        <v>1019</v>
      </c>
      <c r="H4" s="1149"/>
      <c r="I4" s="1148" t="s">
        <v>1020</v>
      </c>
      <c r="J4" s="1149"/>
      <c r="K4" s="1305" t="s">
        <v>1021</v>
      </c>
      <c r="L4" s="1306"/>
      <c r="M4" s="1307"/>
      <c r="N4" s="1307"/>
      <c r="O4" s="1307"/>
      <c r="P4" s="1308" t="s">
        <v>1022</v>
      </c>
      <c r="Q4" s="1356"/>
      <c r="R4" s="1357" t="s">
        <v>1018</v>
      </c>
      <c r="S4" s="1358"/>
      <c r="T4" s="1357" t="s">
        <v>1019</v>
      </c>
      <c r="U4" s="1358"/>
      <c r="V4" s="1346" t="s">
        <v>1020</v>
      </c>
      <c r="W4" s="1346"/>
      <c r="X4" s="1359"/>
      <c r="Y4" s="1357" t="s">
        <v>1022</v>
      </c>
      <c r="Z4" s="1358"/>
      <c r="AA4" s="1384" t="s">
        <v>1018</v>
      </c>
      <c r="AB4" s="1359" t="s">
        <v>1019</v>
      </c>
      <c r="AC4" s="1384" t="s">
        <v>1020</v>
      </c>
    </row>
    <row r="5" spans="1:29">
      <c r="A5" s="1152"/>
      <c r="B5" s="1153"/>
      <c r="C5" s="1154" t="s">
        <v>1023</v>
      </c>
      <c r="D5" s="1155"/>
      <c r="E5" s="1156" t="str">
        <f>土地案例!A4</f>
        <v>四海路西侧、兴业道南侧</v>
      </c>
      <c r="F5" s="1157"/>
      <c r="G5" s="1154" t="str">
        <f>土地案例!A5</f>
        <v>世纪路西侧、通盛道北侧</v>
      </c>
      <c r="H5" s="1155"/>
      <c r="I5" s="1154" t="str">
        <f>土地案例!A6</f>
        <v>兴民道南侧、世纪路西侧</v>
      </c>
      <c r="J5" s="1155"/>
      <c r="K5" s="1305"/>
      <c r="L5" s="1306"/>
      <c r="M5" s="1307"/>
      <c r="N5" s="1307"/>
      <c r="O5" s="1307"/>
      <c r="P5" s="1309"/>
      <c r="Q5" s="1360"/>
      <c r="R5" s="1361"/>
      <c r="S5" s="1362"/>
      <c r="T5" s="1361"/>
      <c r="U5" s="1362"/>
      <c r="V5" s="1346"/>
      <c r="W5" s="1346"/>
      <c r="X5" s="1359"/>
      <c r="Y5" s="1361"/>
      <c r="Z5" s="1362"/>
      <c r="AA5" s="1359"/>
      <c r="AB5" s="1359"/>
      <c r="AC5" s="1359"/>
    </row>
    <row r="6" ht="14.75" spans="1:29">
      <c r="A6" s="1158"/>
      <c r="B6" s="1159"/>
      <c r="C6" s="1160" t="s">
        <v>1687</v>
      </c>
      <c r="D6" s="1161"/>
      <c r="E6" s="1162" t="s">
        <v>1687</v>
      </c>
      <c r="F6" s="1163"/>
      <c r="G6" s="1160" t="s">
        <v>1687</v>
      </c>
      <c r="H6" s="1161"/>
      <c r="I6" s="1160" t="s">
        <v>1687</v>
      </c>
      <c r="J6" s="1161"/>
      <c r="K6" s="1305" t="s">
        <v>1028</v>
      </c>
      <c r="L6" s="1306"/>
      <c r="M6" s="1307"/>
      <c r="N6" s="1307"/>
      <c r="O6" s="1307"/>
      <c r="P6" s="1310"/>
      <c r="Q6" s="1363"/>
      <c r="R6" s="1361"/>
      <c r="S6" s="1362"/>
      <c r="T6" s="1364"/>
      <c r="U6" s="1365"/>
      <c r="V6" s="1346"/>
      <c r="W6" s="1346"/>
      <c r="X6" s="1359"/>
      <c r="Y6" s="1364"/>
      <c r="Z6" s="1365"/>
      <c r="AA6" s="1385"/>
      <c r="AB6" s="1385"/>
      <c r="AC6" s="1385"/>
    </row>
    <row r="7" s="1127" customFormat="1" ht="14.75" spans="1:29">
      <c r="A7" s="1164" t="s">
        <v>1029</v>
      </c>
      <c r="B7" s="1165"/>
      <c r="C7" s="1166">
        <f>'数据-取费表'!B2</f>
        <v>45861</v>
      </c>
      <c r="D7" s="1167">
        <v>100</v>
      </c>
      <c r="E7" s="1168" t="str">
        <f>土地案例!J4</f>
        <v>2025-04-01</v>
      </c>
      <c r="F7" s="1169">
        <f>SUMIF(65:65,YEAR(E7)&amp;"-"&amp;INT((MONTH(E7)+2)/3),66:66)</f>
        <v>100</v>
      </c>
      <c r="G7" s="1170" t="str">
        <f>土地案例!J5</f>
        <v>2025-04-01</v>
      </c>
      <c r="H7" s="1167">
        <f>SUMIF(65:65,YEAR(G7)&amp;"-"&amp;INT((MONTH(G7)+2)/3),66:66)</f>
        <v>100</v>
      </c>
      <c r="I7" s="1170" t="str">
        <f>土地案例!J6</f>
        <v>2025-04-01</v>
      </c>
      <c r="J7" s="1167">
        <f>SUMIF(65:65,YEAR(I7)&amp;"-"&amp;INT((MONTH(I7)+2)/3),66:66)</f>
        <v>100</v>
      </c>
      <c r="K7" s="1311"/>
      <c r="L7" s="1312"/>
      <c r="M7" s="1313"/>
      <c r="N7" s="1313"/>
      <c r="O7" s="1313"/>
      <c r="P7" s="1314" t="s">
        <v>1030</v>
      </c>
      <c r="Q7" s="1366"/>
      <c r="R7" s="1367" t="s">
        <v>1031</v>
      </c>
      <c r="S7" s="1368">
        <f t="shared" ref="S7:S15" si="0">F7</f>
        <v>100</v>
      </c>
      <c r="T7" s="1367" t="s">
        <v>1031</v>
      </c>
      <c r="U7" s="1368">
        <f t="shared" ref="U7:U15" si="1">H7</f>
        <v>100</v>
      </c>
      <c r="V7" s="1367" t="s">
        <v>1031</v>
      </c>
      <c r="W7" s="1368">
        <f t="shared" ref="W7:W15" si="2">J7</f>
        <v>100</v>
      </c>
      <c r="X7" s="1369"/>
      <c r="Y7" s="1314" t="s">
        <v>1030</v>
      </c>
      <c r="Z7" s="1370"/>
      <c r="AA7" s="1386">
        <f>D7/F7</f>
        <v>1</v>
      </c>
      <c r="AB7" s="1386">
        <f>D7/H7</f>
        <v>1</v>
      </c>
      <c r="AC7" s="1386">
        <f>D7/J7</f>
        <v>1</v>
      </c>
    </row>
    <row r="8" s="1127" customFormat="1" ht="14.75" spans="1:29">
      <c r="A8" s="1164" t="s">
        <v>1032</v>
      </c>
      <c r="B8" s="1165"/>
      <c r="C8" s="1171" t="s">
        <v>1083</v>
      </c>
      <c r="D8" s="1167">
        <v>100</v>
      </c>
      <c r="E8" s="1171" t="s">
        <v>1033</v>
      </c>
      <c r="F8" s="1169">
        <f>SUMIF(68:68,E8,69:69)-SUMIF(68:68,C8,69:69)+100</f>
        <v>100</v>
      </c>
      <c r="G8" s="1171" t="s">
        <v>1033</v>
      </c>
      <c r="H8" s="1167">
        <f>SUMIF(68:68,G8,69:69)-SUMIF(68:68,C8,69:69)+100</f>
        <v>100</v>
      </c>
      <c r="I8" s="1171" t="s">
        <v>1033</v>
      </c>
      <c r="J8" s="1167">
        <f>SUMIF(68:68,I8,69:69)-SUMIF(68:68,C8,69:69)+100</f>
        <v>100</v>
      </c>
      <c r="K8" s="1311"/>
      <c r="L8" s="1312"/>
      <c r="M8" s="1313"/>
      <c r="N8" s="1313"/>
      <c r="O8" s="1313"/>
      <c r="P8" s="1314" t="s">
        <v>1034</v>
      </c>
      <c r="Q8" s="1370"/>
      <c r="R8" s="1367" t="s">
        <v>1031</v>
      </c>
      <c r="S8" s="1368">
        <f t="shared" si="0"/>
        <v>100</v>
      </c>
      <c r="T8" s="1367" t="s">
        <v>1031</v>
      </c>
      <c r="U8" s="1368">
        <f t="shared" si="1"/>
        <v>100</v>
      </c>
      <c r="V8" s="1367" t="s">
        <v>1031</v>
      </c>
      <c r="W8" s="1368">
        <f t="shared" si="2"/>
        <v>100</v>
      </c>
      <c r="X8" s="1369"/>
      <c r="Y8" s="1314" t="s">
        <v>1034</v>
      </c>
      <c r="Z8" s="1370"/>
      <c r="AA8" s="1386">
        <f t="shared" ref="AA8:AA40" si="3">D8/F8</f>
        <v>1</v>
      </c>
      <c r="AB8" s="1386">
        <f t="shared" ref="AB8:AB40" si="4">D8/H8</f>
        <v>1</v>
      </c>
      <c r="AC8" s="1386">
        <f t="shared" ref="AC8:AC40" si="5">D8/J8</f>
        <v>1</v>
      </c>
    </row>
    <row r="9" s="1127" customFormat="1" spans="1:29">
      <c r="A9" s="1172" t="s">
        <v>1035</v>
      </c>
      <c r="B9" s="1173" t="s">
        <v>1036</v>
      </c>
      <c r="C9" s="1174" t="s">
        <v>408</v>
      </c>
      <c r="D9" s="1175">
        <v>100</v>
      </c>
      <c r="E9" s="1174" t="s">
        <v>408</v>
      </c>
      <c r="F9" s="1175">
        <f>SUMIF(70:70,E9,71:71)-SUMIF(70:70,C9,71:71)+100</f>
        <v>100</v>
      </c>
      <c r="G9" s="1174" t="s">
        <v>408</v>
      </c>
      <c r="H9" s="1175">
        <f>SUMIF(70:70,G9,71:71)-SUMIF(70:70,C9,71:71)+100</f>
        <v>100</v>
      </c>
      <c r="I9" s="1174" t="s">
        <v>408</v>
      </c>
      <c r="J9" s="1175">
        <f>SUMIF(70:70,I9,71:71)-SUMIF(70:70,C9,71:71)+100</f>
        <v>100</v>
      </c>
      <c r="K9" s="1311"/>
      <c r="L9" s="1312"/>
      <c r="M9" s="1313"/>
      <c r="N9" s="1313"/>
      <c r="O9" s="1315"/>
      <c r="P9" s="712" t="s">
        <v>1037</v>
      </c>
      <c r="Q9" s="1371" t="str">
        <f t="shared" ref="Q9:Q15" si="6">B9</f>
        <v>用途</v>
      </c>
      <c r="R9" s="1367" t="s">
        <v>1031</v>
      </c>
      <c r="S9" s="1368">
        <f t="shared" si="0"/>
        <v>100</v>
      </c>
      <c r="T9" s="1367" t="s">
        <v>1031</v>
      </c>
      <c r="U9" s="1368">
        <f t="shared" si="1"/>
        <v>100</v>
      </c>
      <c r="V9" s="1367" t="s">
        <v>1031</v>
      </c>
      <c r="W9" s="1368">
        <f t="shared" si="2"/>
        <v>100</v>
      </c>
      <c r="X9" s="1369"/>
      <c r="Y9" s="1371" t="s">
        <v>1038</v>
      </c>
      <c r="Z9" s="1387" t="str">
        <f t="shared" ref="Z9:Z15" si="7">Q9</f>
        <v>用途</v>
      </c>
      <c r="AA9" s="1386">
        <f t="shared" si="3"/>
        <v>1</v>
      </c>
      <c r="AB9" s="1386">
        <f t="shared" si="4"/>
        <v>1</v>
      </c>
      <c r="AC9" s="1386">
        <f t="shared" si="5"/>
        <v>1</v>
      </c>
    </row>
    <row r="10" s="1128" customFormat="1" ht="28" spans="1:29">
      <c r="A10" s="1176"/>
      <c r="B10" s="1177" t="s">
        <v>1039</v>
      </c>
      <c r="C10" s="1178"/>
      <c r="D10" s="1179">
        <v>100</v>
      </c>
      <c r="E10" s="1178"/>
      <c r="F10" s="1179">
        <f>ROUND(100/'数据-取费表'!G16,0)</f>
        <v>106</v>
      </c>
      <c r="G10" s="1178"/>
      <c r="H10" s="1179">
        <f>ROUND(100/'数据-取费表'!G16,0)</f>
        <v>106</v>
      </c>
      <c r="I10" s="1178"/>
      <c r="J10" s="1179">
        <f>ROUND(100/'数据-取费表'!G16,0)</f>
        <v>106</v>
      </c>
      <c r="K10" s="1316"/>
      <c r="L10" s="1317"/>
      <c r="M10" s="1318"/>
      <c r="N10" s="1318"/>
      <c r="O10" s="1319"/>
      <c r="P10" s="712"/>
      <c r="Q10" s="1371" t="str">
        <f t="shared" si="6"/>
        <v>土地使用年限（年）</v>
      </c>
      <c r="R10" s="1367" t="s">
        <v>1031</v>
      </c>
      <c r="S10" s="1368">
        <f t="shared" si="0"/>
        <v>106</v>
      </c>
      <c r="T10" s="1367" t="s">
        <v>1031</v>
      </c>
      <c r="U10" s="1368">
        <f t="shared" si="1"/>
        <v>106</v>
      </c>
      <c r="V10" s="1367" t="s">
        <v>1031</v>
      </c>
      <c r="W10" s="1368">
        <f t="shared" si="2"/>
        <v>106</v>
      </c>
      <c r="X10" s="1369"/>
      <c r="Y10" s="1371"/>
      <c r="Z10" s="1387" t="str">
        <f t="shared" si="7"/>
        <v>土地使用年限（年）</v>
      </c>
      <c r="AA10" s="1386">
        <f t="shared" si="3"/>
        <v>0.943396226415094</v>
      </c>
      <c r="AB10" s="1386">
        <f t="shared" si="4"/>
        <v>0.943396226415094</v>
      </c>
      <c r="AC10" s="1386">
        <f t="shared" si="5"/>
        <v>0.943396226415094</v>
      </c>
    </row>
    <row r="11" ht="16.25" spans="1:29">
      <c r="A11" s="1180"/>
      <c r="B11" s="1177" t="s">
        <v>1042</v>
      </c>
      <c r="C11" s="1181">
        <f>'数据-汇总表'!I7</f>
        <v>3.82</v>
      </c>
      <c r="D11" s="1179">
        <v>100</v>
      </c>
      <c r="E11" s="1182">
        <v>1.2</v>
      </c>
      <c r="F11" s="1179">
        <f>LOOKUP(E11,75:75,76:76)-LOOKUP(C11,75:75,76:76)+100</f>
        <v>106</v>
      </c>
      <c r="G11" s="1183">
        <v>1.2</v>
      </c>
      <c r="H11" s="1179">
        <f>LOOKUP(G11,75:75,76:76)-LOOKUP(C11,75:75,76:76)+100</f>
        <v>106</v>
      </c>
      <c r="I11" s="1182">
        <v>1.2</v>
      </c>
      <c r="J11" s="1179">
        <f>LOOKUP(I11,75:75,76:76)-LOOKUP(C11,75:75,76:76)+100</f>
        <v>106</v>
      </c>
      <c r="K11" s="1320">
        <v>3</v>
      </c>
      <c r="L11" s="1321"/>
      <c r="M11" s="1307"/>
      <c r="N11" s="1307"/>
      <c r="O11" s="1322"/>
      <c r="P11" s="712"/>
      <c r="Q11" s="1371" t="str">
        <f t="shared" si="6"/>
        <v>容积率</v>
      </c>
      <c r="R11" s="1367" t="s">
        <v>1031</v>
      </c>
      <c r="S11" s="1368">
        <f t="shared" si="0"/>
        <v>106</v>
      </c>
      <c r="T11" s="1367" t="s">
        <v>1031</v>
      </c>
      <c r="U11" s="1368">
        <f t="shared" si="1"/>
        <v>106</v>
      </c>
      <c r="V11" s="1367" t="s">
        <v>1031</v>
      </c>
      <c r="W11" s="1368">
        <f t="shared" si="2"/>
        <v>106</v>
      </c>
      <c r="X11" s="1369"/>
      <c r="Y11" s="1371"/>
      <c r="Z11" s="1387" t="str">
        <f t="shared" si="7"/>
        <v>容积率</v>
      </c>
      <c r="AA11" s="1386">
        <f t="shared" si="3"/>
        <v>0.943396226415094</v>
      </c>
      <c r="AB11" s="1386">
        <f t="shared" si="4"/>
        <v>0.943396226415094</v>
      </c>
      <c r="AC11" s="1386">
        <f t="shared" si="5"/>
        <v>0.943396226415094</v>
      </c>
    </row>
    <row r="12" s="1127" customFormat="1" ht="15.5" hidden="1" spans="1:29">
      <c r="A12" s="1184"/>
      <c r="B12" s="1185">
        <v>111</v>
      </c>
      <c r="C12" s="1178"/>
      <c r="D12" s="1186">
        <v>100</v>
      </c>
      <c r="E12" s="1187"/>
      <c r="F12" s="1179">
        <f>SUMIF(77:77,E12,78:78)-SUMIF(77:77,C12,78:78)+100</f>
        <v>100</v>
      </c>
      <c r="G12" s="1188"/>
      <c r="H12" s="1179">
        <f>SUMIF(77:77,G12,78:78)-SUMIF(77:77,C12,78:78)+100</f>
        <v>100</v>
      </c>
      <c r="I12" s="1187"/>
      <c r="J12" s="1179">
        <f>SUMIF(77:77,I12,78:78)-SUMIF(77:77,C12,78:78)+100</f>
        <v>100</v>
      </c>
      <c r="K12" s="1316"/>
      <c r="L12" s="1312"/>
      <c r="M12" s="1313"/>
      <c r="N12" s="1313"/>
      <c r="O12" s="1315"/>
      <c r="P12" s="712"/>
      <c r="Q12" s="1371">
        <f t="shared" si="6"/>
        <v>111</v>
      </c>
      <c r="R12" s="1367" t="s">
        <v>1031</v>
      </c>
      <c r="S12" s="1368">
        <f t="shared" si="0"/>
        <v>100</v>
      </c>
      <c r="T12" s="1367" t="s">
        <v>1031</v>
      </c>
      <c r="U12" s="1368">
        <f t="shared" si="1"/>
        <v>100</v>
      </c>
      <c r="V12" s="1367" t="s">
        <v>1031</v>
      </c>
      <c r="W12" s="1368">
        <f t="shared" si="2"/>
        <v>100</v>
      </c>
      <c r="X12" s="1369"/>
      <c r="Y12" s="1371"/>
      <c r="Z12" s="1387">
        <f t="shared" si="7"/>
        <v>111</v>
      </c>
      <c r="AA12" s="1386">
        <f t="shared" si="3"/>
        <v>1</v>
      </c>
      <c r="AB12" s="1386">
        <f t="shared" si="4"/>
        <v>1</v>
      </c>
      <c r="AC12" s="1386">
        <f t="shared" si="5"/>
        <v>1</v>
      </c>
    </row>
    <row r="13" ht="15.5" hidden="1" spans="1:29">
      <c r="A13" s="1180"/>
      <c r="B13" s="1185">
        <v>111</v>
      </c>
      <c r="C13" s="1189"/>
      <c r="D13" s="1190">
        <v>100</v>
      </c>
      <c r="E13" s="1187"/>
      <c r="F13" s="1179">
        <f>SUMIF(79:79,E13,80:80)-SUMIF(79:79,C13,80:80)+100</f>
        <v>100</v>
      </c>
      <c r="G13" s="1188"/>
      <c r="H13" s="1190">
        <f>SUMIF(79:79,G13,80:80)-SUMIF(79:79,C13,80:80)+100</f>
        <v>100</v>
      </c>
      <c r="I13" s="1187"/>
      <c r="J13" s="1190">
        <f>SUMIF(79:79,I13,80:80)-SUMIF(79:79,C13,80:80)+100</f>
        <v>100</v>
      </c>
      <c r="K13" s="1316"/>
      <c r="L13" s="1323"/>
      <c r="M13" s="1307"/>
      <c r="N13" s="1307"/>
      <c r="O13" s="1322"/>
      <c r="P13" s="712"/>
      <c r="Q13" s="1371">
        <f t="shared" si="6"/>
        <v>111</v>
      </c>
      <c r="R13" s="1367" t="s">
        <v>1031</v>
      </c>
      <c r="S13" s="1368">
        <f t="shared" si="0"/>
        <v>100</v>
      </c>
      <c r="T13" s="1367" t="s">
        <v>1031</v>
      </c>
      <c r="U13" s="1368">
        <f t="shared" si="1"/>
        <v>100</v>
      </c>
      <c r="V13" s="1367" t="s">
        <v>1031</v>
      </c>
      <c r="W13" s="1368">
        <f t="shared" si="2"/>
        <v>100</v>
      </c>
      <c r="X13" s="1369"/>
      <c r="Y13" s="1371"/>
      <c r="Z13" s="1387">
        <f t="shared" si="7"/>
        <v>111</v>
      </c>
      <c r="AA13" s="1386">
        <f t="shared" si="3"/>
        <v>1</v>
      </c>
      <c r="AB13" s="1386">
        <f t="shared" si="4"/>
        <v>1</v>
      </c>
      <c r="AC13" s="1386">
        <f t="shared" si="5"/>
        <v>1</v>
      </c>
    </row>
    <row r="14" ht="16.25" hidden="1"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6"/>
      <c r="L14" s="1323"/>
      <c r="M14" s="1307"/>
      <c r="N14" s="1307"/>
      <c r="O14" s="1322"/>
      <c r="P14" s="712"/>
      <c r="Q14" s="1371">
        <f t="shared" si="6"/>
        <v>111</v>
      </c>
      <c r="R14" s="1367" t="s">
        <v>1031</v>
      </c>
      <c r="S14" s="1368">
        <f t="shared" si="0"/>
        <v>100</v>
      </c>
      <c r="T14" s="1367" t="s">
        <v>1031</v>
      </c>
      <c r="U14" s="1368">
        <f t="shared" si="1"/>
        <v>100</v>
      </c>
      <c r="V14" s="1367" t="s">
        <v>1031</v>
      </c>
      <c r="W14" s="1368">
        <f t="shared" si="2"/>
        <v>100</v>
      </c>
      <c r="X14" s="1369"/>
      <c r="Y14" s="1371"/>
      <c r="Z14" s="1387">
        <f t="shared" si="7"/>
        <v>111</v>
      </c>
      <c r="AA14" s="1386">
        <f t="shared" si="3"/>
        <v>1</v>
      </c>
      <c r="AB14" s="1386">
        <f t="shared" si="4"/>
        <v>1</v>
      </c>
      <c r="AC14" s="1386">
        <f t="shared" si="5"/>
        <v>1</v>
      </c>
    </row>
    <row r="15" ht="70" spans="1:29">
      <c r="A15" s="1195" t="s">
        <v>1043</v>
      </c>
      <c r="B15" s="1196" t="s">
        <v>1624</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4"/>
      <c r="J15" s="1198">
        <f>SUMIF(83:83,I16,84:84)-SUMIF(83:83,C16,84:84)+100</f>
        <v>100</v>
      </c>
      <c r="K15" s="1320">
        <v>2</v>
      </c>
      <c r="L15" s="1323"/>
      <c r="M15" s="1307"/>
      <c r="N15" s="1307"/>
      <c r="O15" s="1322"/>
      <c r="P15" s="1325" t="s">
        <v>1045</v>
      </c>
      <c r="Q15" s="712" t="str">
        <f t="shared" si="6"/>
        <v>产业集聚程度</v>
      </c>
      <c r="R15" s="1372" t="s">
        <v>1031</v>
      </c>
      <c r="S15" s="1373">
        <f t="shared" si="0"/>
        <v>100</v>
      </c>
      <c r="T15" s="1372" t="s">
        <v>1031</v>
      </c>
      <c r="U15" s="1373">
        <f t="shared" si="1"/>
        <v>100</v>
      </c>
      <c r="V15" s="1372" t="s">
        <v>1031</v>
      </c>
      <c r="W15" s="1373">
        <f t="shared" si="2"/>
        <v>100</v>
      </c>
      <c r="X15" s="1359"/>
      <c r="Y15" s="1325" t="s">
        <v>1045</v>
      </c>
      <c r="Z15" s="1346" t="str">
        <f t="shared" si="7"/>
        <v>产业集聚程度</v>
      </c>
      <c r="AA15" s="1388">
        <f t="shared" si="3"/>
        <v>1</v>
      </c>
      <c r="AB15" s="1388">
        <f t="shared" si="4"/>
        <v>1</v>
      </c>
      <c r="AC15" s="1388">
        <f t="shared" si="5"/>
        <v>1</v>
      </c>
    </row>
    <row r="16" ht="15.5" spans="1:29">
      <c r="A16" s="1180"/>
      <c r="B16" s="1200"/>
      <c r="C16" s="1201" t="s">
        <v>1047</v>
      </c>
      <c r="D16" s="1202"/>
      <c r="E16" s="1201" t="s">
        <v>1047</v>
      </c>
      <c r="F16" s="1202"/>
      <c r="G16" s="1201" t="s">
        <v>1047</v>
      </c>
      <c r="H16" s="1203"/>
      <c r="I16" s="1201" t="s">
        <v>1047</v>
      </c>
      <c r="J16" s="1202"/>
      <c r="K16" s="1316"/>
      <c r="L16" s="1323"/>
      <c r="M16" s="1307"/>
      <c r="N16" s="1307"/>
      <c r="O16" s="1322"/>
      <c r="P16" s="1326"/>
      <c r="Q16" s="712"/>
      <c r="R16" s="1372"/>
      <c r="S16" s="1373"/>
      <c r="T16" s="1372"/>
      <c r="U16" s="1373"/>
      <c r="V16" s="1372"/>
      <c r="W16" s="1373"/>
      <c r="X16" s="1359"/>
      <c r="Y16" s="1326"/>
      <c r="Z16" s="1346"/>
      <c r="AA16" s="1388">
        <v>1</v>
      </c>
      <c r="AB16" s="1388">
        <v>1</v>
      </c>
      <c r="AC16" s="1388">
        <v>1</v>
      </c>
    </row>
    <row r="17" ht="98" spans="1:29">
      <c r="A17" s="1180"/>
      <c r="B17" s="1204" t="s">
        <v>1048</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7"/>
      <c r="J17" s="1203">
        <f>SUMIF(85:85,I18,86:86)-SUMIF(85:85,C18,86:86)+100</f>
        <v>100</v>
      </c>
      <c r="K17" s="1320">
        <v>2</v>
      </c>
      <c r="L17" s="1323"/>
      <c r="M17" s="1307"/>
      <c r="N17" s="1307"/>
      <c r="O17" s="1322"/>
      <c r="P17" s="1326"/>
      <c r="Q17" s="712" t="str">
        <f>B17</f>
        <v>交通便捷度</v>
      </c>
      <c r="R17" s="1372" t="s">
        <v>1031</v>
      </c>
      <c r="S17" s="1373">
        <f>F17</f>
        <v>100</v>
      </c>
      <c r="T17" s="1372" t="s">
        <v>1031</v>
      </c>
      <c r="U17" s="1373">
        <f>H17</f>
        <v>100</v>
      </c>
      <c r="V17" s="1372" t="s">
        <v>1031</v>
      </c>
      <c r="W17" s="1373">
        <f>J17</f>
        <v>100</v>
      </c>
      <c r="X17" s="1359"/>
      <c r="Y17" s="1326"/>
      <c r="Z17" s="1346" t="str">
        <f>Q17</f>
        <v>交通便捷度</v>
      </c>
      <c r="AA17" s="1388">
        <f t="shared" si="3"/>
        <v>1</v>
      </c>
      <c r="AB17" s="1388">
        <f t="shared" si="4"/>
        <v>1</v>
      </c>
      <c r="AC17" s="1388">
        <f t="shared" si="5"/>
        <v>1</v>
      </c>
    </row>
    <row r="18" ht="15.5" spans="1:29">
      <c r="A18" s="1180"/>
      <c r="B18" s="1208"/>
      <c r="C18" s="1201" t="s">
        <v>1047</v>
      </c>
      <c r="D18" s="1202"/>
      <c r="E18" s="1201" t="s">
        <v>1047</v>
      </c>
      <c r="F18" s="1202"/>
      <c r="G18" s="1201" t="s">
        <v>1047</v>
      </c>
      <c r="H18" s="1202"/>
      <c r="I18" s="1201" t="s">
        <v>1047</v>
      </c>
      <c r="J18" s="1202"/>
      <c r="K18" s="1316"/>
      <c r="L18" s="1323"/>
      <c r="M18" s="1307"/>
      <c r="N18" s="1307"/>
      <c r="O18" s="1322"/>
      <c r="P18" s="1326"/>
      <c r="Q18" s="712"/>
      <c r="R18" s="1372"/>
      <c r="S18" s="1373"/>
      <c r="T18" s="1372"/>
      <c r="U18" s="1373"/>
      <c r="V18" s="1372"/>
      <c r="W18" s="1373"/>
      <c r="X18" s="1359"/>
      <c r="Y18" s="1326"/>
      <c r="Z18" s="1346"/>
      <c r="AA18" s="1388">
        <v>1</v>
      </c>
      <c r="AB18" s="1388">
        <v>1</v>
      </c>
      <c r="AC18" s="1388">
        <v>1</v>
      </c>
    </row>
    <row r="19" ht="28" spans="1:29">
      <c r="A19" s="1180"/>
      <c r="B19" s="1204" t="s">
        <v>1647</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0">
        <v>2</v>
      </c>
      <c r="L19" s="1323"/>
      <c r="M19" s="1307"/>
      <c r="N19" s="1307"/>
      <c r="O19" s="1322"/>
      <c r="P19" s="1326"/>
      <c r="Q19" s="712" t="str">
        <f t="shared" ref="Q19:Q34" si="8">B19</f>
        <v>区域土地利用方向</v>
      </c>
      <c r="R19" s="1372" t="s">
        <v>1031</v>
      </c>
      <c r="S19" s="1373">
        <f>F19</f>
        <v>100</v>
      </c>
      <c r="T19" s="1372" t="s">
        <v>1031</v>
      </c>
      <c r="U19" s="1373">
        <f>H19</f>
        <v>100</v>
      </c>
      <c r="V19" s="1372" t="s">
        <v>1031</v>
      </c>
      <c r="W19" s="1373">
        <f>J19</f>
        <v>100</v>
      </c>
      <c r="X19" s="1359"/>
      <c r="Y19" s="1326"/>
      <c r="Z19" s="1346" t="str">
        <f>Q19</f>
        <v>区域土地利用方向</v>
      </c>
      <c r="AA19" s="1388">
        <f t="shared" si="3"/>
        <v>1</v>
      </c>
      <c r="AB19" s="1388">
        <f t="shared" si="4"/>
        <v>1</v>
      </c>
      <c r="AC19" s="1388">
        <f t="shared" si="5"/>
        <v>1</v>
      </c>
    </row>
    <row r="20" ht="15.5" spans="1:29">
      <c r="A20" s="1152"/>
      <c r="B20" s="1208"/>
      <c r="C20" s="1201" t="s">
        <v>1047</v>
      </c>
      <c r="D20" s="1202"/>
      <c r="E20" s="1201" t="s">
        <v>1047</v>
      </c>
      <c r="F20" s="1202"/>
      <c r="G20" s="1201" t="s">
        <v>1047</v>
      </c>
      <c r="H20" s="1202"/>
      <c r="I20" s="1201" t="s">
        <v>1047</v>
      </c>
      <c r="J20" s="1202"/>
      <c r="K20" s="1328"/>
      <c r="L20" s="1323"/>
      <c r="M20" s="1307"/>
      <c r="N20" s="1307"/>
      <c r="O20" s="1322"/>
      <c r="P20" s="1326"/>
      <c r="Q20" s="712"/>
      <c r="R20" s="1372"/>
      <c r="S20" s="1373"/>
      <c r="T20" s="1372"/>
      <c r="U20" s="1373"/>
      <c r="V20" s="1372"/>
      <c r="W20" s="1373"/>
      <c r="X20" s="1359"/>
      <c r="Y20" s="1326"/>
      <c r="Z20" s="1346"/>
      <c r="AA20" s="1388"/>
      <c r="AB20" s="1388"/>
      <c r="AC20" s="1388"/>
    </row>
    <row r="21" ht="84" spans="1:29">
      <c r="A21" s="1152"/>
      <c r="B21" s="1204" t="s">
        <v>1688</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7"/>
      <c r="J21" s="1203">
        <f>SUMIF(89:89,I22,90:90)-SUMIF(89:89,C22,90:90)+100</f>
        <v>100</v>
      </c>
      <c r="K21" s="1320">
        <v>2</v>
      </c>
      <c r="L21" s="1323"/>
      <c r="M21" s="1307"/>
      <c r="N21" s="1307"/>
      <c r="O21" s="1322"/>
      <c r="P21" s="1326"/>
      <c r="Q21" s="712" t="str">
        <f t="shared" si="8"/>
        <v>环境状况</v>
      </c>
      <c r="R21" s="1372" t="s">
        <v>1031</v>
      </c>
      <c r="S21" s="1373">
        <f>F21</f>
        <v>100</v>
      </c>
      <c r="T21" s="1372" t="s">
        <v>1031</v>
      </c>
      <c r="U21" s="1373">
        <f>H21</f>
        <v>100</v>
      </c>
      <c r="V21" s="1372" t="s">
        <v>1031</v>
      </c>
      <c r="W21" s="1373">
        <f>J21</f>
        <v>100</v>
      </c>
      <c r="X21" s="1359"/>
      <c r="Y21" s="1326"/>
      <c r="Z21" s="1346" t="str">
        <f>Q21</f>
        <v>环境状况</v>
      </c>
      <c r="AA21" s="1388">
        <f t="shared" si="3"/>
        <v>1</v>
      </c>
      <c r="AB21" s="1388">
        <f t="shared" si="4"/>
        <v>1</v>
      </c>
      <c r="AC21" s="1388">
        <f t="shared" si="5"/>
        <v>1</v>
      </c>
    </row>
    <row r="22" ht="15.5" spans="1:29">
      <c r="A22" s="1152"/>
      <c r="B22" s="1208"/>
      <c r="C22" s="1201" t="s">
        <v>1047</v>
      </c>
      <c r="D22" s="1202"/>
      <c r="E22" s="1201" t="s">
        <v>1047</v>
      </c>
      <c r="F22" s="1202"/>
      <c r="G22" s="1201" t="s">
        <v>1047</v>
      </c>
      <c r="H22" s="1202"/>
      <c r="I22" s="1201" t="s">
        <v>1047</v>
      </c>
      <c r="J22" s="1202"/>
      <c r="K22" s="1316"/>
      <c r="L22" s="1323"/>
      <c r="M22" s="1307"/>
      <c r="N22" s="1307"/>
      <c r="O22" s="1322"/>
      <c r="P22" s="1326"/>
      <c r="Q22" s="712"/>
      <c r="R22" s="1372"/>
      <c r="S22" s="1373"/>
      <c r="T22" s="1372"/>
      <c r="U22" s="1373"/>
      <c r="V22" s="1372"/>
      <c r="W22" s="1373"/>
      <c r="X22" s="1359"/>
      <c r="Y22" s="1326"/>
      <c r="Z22" s="1346"/>
      <c r="AA22" s="1388">
        <v>1</v>
      </c>
      <c r="AB22" s="1388">
        <v>1</v>
      </c>
      <c r="AC22" s="1388">
        <v>1</v>
      </c>
    </row>
    <row r="23" s="1127" customFormat="1" ht="42" spans="1:29">
      <c r="A23" s="1209"/>
      <c r="B23" s="1210" t="s">
        <v>1049</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7"/>
      <c r="J23" s="1203">
        <f>SUMIF(91:91,I24,92:92)-SUMIF(91:91,C24,92:92)+100</f>
        <v>100</v>
      </c>
      <c r="K23" s="1320">
        <v>2</v>
      </c>
      <c r="L23" s="1312"/>
      <c r="M23" s="1313"/>
      <c r="N23" s="1313"/>
      <c r="O23" s="1315"/>
      <c r="P23" s="1326"/>
      <c r="Q23" s="1371" t="str">
        <f t="shared" si="8"/>
        <v>公共配套设施</v>
      </c>
      <c r="R23" s="1367" t="s">
        <v>1031</v>
      </c>
      <c r="S23" s="1368">
        <f>F23</f>
        <v>100</v>
      </c>
      <c r="T23" s="1367" t="s">
        <v>1031</v>
      </c>
      <c r="U23" s="1368">
        <f>H23</f>
        <v>100</v>
      </c>
      <c r="V23" s="1367" t="s">
        <v>1031</v>
      </c>
      <c r="W23" s="1368">
        <f>J23</f>
        <v>100</v>
      </c>
      <c r="X23" s="1369"/>
      <c r="Y23" s="1326"/>
      <c r="Z23" s="1387" t="str">
        <f>Q23</f>
        <v>公共配套设施</v>
      </c>
      <c r="AA23" s="1388">
        <f>D23/F23</f>
        <v>1</v>
      </c>
      <c r="AB23" s="1388">
        <f>D23/H23</f>
        <v>1</v>
      </c>
      <c r="AC23" s="1388">
        <f>D23/J23</f>
        <v>1</v>
      </c>
    </row>
    <row r="24" s="1127" customFormat="1" ht="15.5" spans="1:29">
      <c r="A24" s="1209"/>
      <c r="B24" s="1208"/>
      <c r="C24" s="1201" t="s">
        <v>1047</v>
      </c>
      <c r="D24" s="1202"/>
      <c r="E24" s="1201" t="s">
        <v>1047</v>
      </c>
      <c r="F24" s="1202"/>
      <c r="G24" s="1201" t="s">
        <v>1047</v>
      </c>
      <c r="H24" s="1202"/>
      <c r="I24" s="1201" t="s">
        <v>1047</v>
      </c>
      <c r="J24" s="1202"/>
      <c r="K24" s="1316"/>
      <c r="L24" s="1312"/>
      <c r="M24" s="1313"/>
      <c r="N24" s="1313"/>
      <c r="O24" s="1315"/>
      <c r="P24" s="1326"/>
      <c r="Q24" s="1371"/>
      <c r="R24" s="1367"/>
      <c r="S24" s="1368"/>
      <c r="T24" s="1367"/>
      <c r="U24" s="1368"/>
      <c r="V24" s="1367"/>
      <c r="W24" s="1368"/>
      <c r="X24" s="1369"/>
      <c r="Y24" s="1326"/>
      <c r="Z24" s="1387"/>
      <c r="AA24" s="1386">
        <v>1</v>
      </c>
      <c r="AB24" s="1386">
        <v>1</v>
      </c>
      <c r="AC24" s="1386">
        <v>1</v>
      </c>
    </row>
    <row r="25" s="1127" customFormat="1" ht="42" spans="1:29">
      <c r="A25" s="1209"/>
      <c r="B25" s="1210" t="s">
        <v>1050</v>
      </c>
      <c r="C25" s="1205" t="str">
        <f>估价对象房地状况!G20</f>
        <v>估价对象所在区域基础设施水平</v>
      </c>
      <c r="D25" s="1203">
        <v>100</v>
      </c>
      <c r="E25" s="1206"/>
      <c r="F25" s="1203">
        <f>SUMIF(93:93,E26,94:94)-SUMIF(93:93,C26,94:94)+100</f>
        <v>100</v>
      </c>
      <c r="G25" s="1206"/>
      <c r="H25" s="1203">
        <f>SUMIF(93:93,G26,94:94)-SUMIF(93:93,C26,94:94)+100</f>
        <v>100</v>
      </c>
      <c r="I25" s="1327"/>
      <c r="J25" s="1203">
        <f>SUMIF(93:93,I26,94:94)-SUMIF(93:93,C26,94:94)+100</f>
        <v>100</v>
      </c>
      <c r="K25" s="1320">
        <v>2</v>
      </c>
      <c r="L25" s="1312"/>
      <c r="M25" s="1313"/>
      <c r="N25" s="1313"/>
      <c r="O25" s="1315"/>
      <c r="P25" s="1326"/>
      <c r="Q25" s="1371" t="str">
        <f t="shared" ref="Q25" si="9">B25</f>
        <v>基础设施水平</v>
      </c>
      <c r="R25" s="1367" t="s">
        <v>1031</v>
      </c>
      <c r="S25" s="1368">
        <f>F25</f>
        <v>100</v>
      </c>
      <c r="T25" s="1367" t="s">
        <v>1031</v>
      </c>
      <c r="U25" s="1368">
        <f>H25</f>
        <v>100</v>
      </c>
      <c r="V25" s="1367" t="s">
        <v>1031</v>
      </c>
      <c r="W25" s="1368">
        <f>J25</f>
        <v>100</v>
      </c>
      <c r="X25" s="1369"/>
      <c r="Y25" s="1326"/>
      <c r="Z25" s="1387" t="str">
        <f>Q25</f>
        <v>基础设施水平</v>
      </c>
      <c r="AA25" s="1388">
        <f>D25/F25</f>
        <v>1</v>
      </c>
      <c r="AB25" s="1388">
        <f>D25/H25</f>
        <v>1</v>
      </c>
      <c r="AC25" s="1388">
        <f>D25/J25</f>
        <v>1</v>
      </c>
    </row>
    <row r="26" s="1127" customFormat="1" ht="16.25" spans="1:29">
      <c r="A26" s="1209"/>
      <c r="B26" s="1208"/>
      <c r="C26" s="1211" t="s">
        <v>236</v>
      </c>
      <c r="D26" s="1202"/>
      <c r="E26" s="1211" t="s">
        <v>236</v>
      </c>
      <c r="F26" s="1202"/>
      <c r="G26" s="1211" t="s">
        <v>236</v>
      </c>
      <c r="H26" s="1202"/>
      <c r="I26" s="1211" t="s">
        <v>236</v>
      </c>
      <c r="J26" s="1202"/>
      <c r="K26" s="1316"/>
      <c r="L26" s="1312"/>
      <c r="M26" s="1313"/>
      <c r="N26" s="1313"/>
      <c r="O26" s="1315"/>
      <c r="P26" s="1326"/>
      <c r="Q26" s="1371"/>
      <c r="R26" s="1367"/>
      <c r="S26" s="1368"/>
      <c r="T26" s="1367"/>
      <c r="U26" s="1368"/>
      <c r="V26" s="1367"/>
      <c r="W26" s="1368"/>
      <c r="X26" s="1369"/>
      <c r="Y26" s="1326"/>
      <c r="Z26" s="1387"/>
      <c r="AA26" s="1386">
        <v>1</v>
      </c>
      <c r="AB26" s="1386">
        <v>1</v>
      </c>
      <c r="AC26" s="1386">
        <v>1</v>
      </c>
    </row>
    <row r="27" ht="15.5" hidden="1" spans="1:29">
      <c r="A27" s="1180"/>
      <c r="B27" s="1208" t="s">
        <v>1052</v>
      </c>
      <c r="C27" s="1212"/>
      <c r="D27" s="1190">
        <v>100</v>
      </c>
      <c r="E27" s="1213"/>
      <c r="F27" s="1190">
        <f>SUMIF(95:95,E27,96:96)-SUMIF(95:95,C27,96:96)+100</f>
        <v>100</v>
      </c>
      <c r="G27" s="1213"/>
      <c r="H27" s="1190">
        <f>SUMIF(95:95,G27,96:96)-SUMIF(95:95,C27,96:96)+100</f>
        <v>100</v>
      </c>
      <c r="I27" s="1213"/>
      <c r="J27" s="1190">
        <f>SUMIF(95:95,I27,96:96)-SUMIF(95:95,C27,96:96)+100</f>
        <v>100</v>
      </c>
      <c r="K27" s="1320"/>
      <c r="L27" s="1323"/>
      <c r="M27" s="1307"/>
      <c r="N27" s="1307"/>
      <c r="O27" s="1322"/>
      <c r="P27" s="1326"/>
      <c r="Q27" s="712" t="str">
        <f t="shared" si="8"/>
        <v>临街状况</v>
      </c>
      <c r="R27" s="1372" t="s">
        <v>1031</v>
      </c>
      <c r="S27" s="1373">
        <f t="shared" ref="S27:S40" si="10">F27</f>
        <v>100</v>
      </c>
      <c r="T27" s="1372" t="s">
        <v>1031</v>
      </c>
      <c r="U27" s="1373">
        <f t="shared" ref="U27:U40" si="11">H27</f>
        <v>100</v>
      </c>
      <c r="V27" s="1372" t="s">
        <v>1031</v>
      </c>
      <c r="W27" s="1373">
        <f t="shared" ref="W27:W40" si="12">J27</f>
        <v>100</v>
      </c>
      <c r="X27" s="1359"/>
      <c r="Y27" s="1326"/>
      <c r="Z27" s="1346" t="str">
        <f t="shared" ref="Z27:Z40" si="13">Q27</f>
        <v>临街状况</v>
      </c>
      <c r="AA27" s="1388">
        <f t="shared" si="3"/>
        <v>1</v>
      </c>
      <c r="AB27" s="1388">
        <f t="shared" si="4"/>
        <v>1</v>
      </c>
      <c r="AC27" s="1388">
        <f t="shared" si="5"/>
        <v>1</v>
      </c>
    </row>
    <row r="28" ht="28" hidden="1" spans="1:29">
      <c r="A28" s="1180"/>
      <c r="B28" s="1210" t="s">
        <v>1619</v>
      </c>
      <c r="C28" s="1214">
        <f>估价对象房地状况!G22</f>
        <v>0</v>
      </c>
      <c r="D28" s="1203">
        <v>100</v>
      </c>
      <c r="E28" s="1206"/>
      <c r="F28" s="1203">
        <f>SUMIF(97:97,E29,98:98)-SUMIF(97:97,C29,98:98)+100</f>
        <v>100</v>
      </c>
      <c r="G28" s="1206"/>
      <c r="H28" s="1203">
        <f>SUMIF(97:97,G29,98:98)-SUMIF(97:97,C29,98:98)+100</f>
        <v>100</v>
      </c>
      <c r="I28" s="1327"/>
      <c r="J28" s="1203">
        <f>SUMIF(97:97,I29,98:98)-SUMIF(97:97,C29,98:98)+100</f>
        <v>100</v>
      </c>
      <c r="K28" s="1320"/>
      <c r="L28" s="1323"/>
      <c r="M28" s="1307"/>
      <c r="N28" s="1307"/>
      <c r="O28" s="1322"/>
      <c r="P28" s="1326"/>
      <c r="Q28" s="712" t="str">
        <f t="shared" si="8"/>
        <v>毗邻道路的类型与等级</v>
      </c>
      <c r="R28" s="1372" t="s">
        <v>1031</v>
      </c>
      <c r="S28" s="1373">
        <f t="shared" si="10"/>
        <v>100</v>
      </c>
      <c r="T28" s="1372" t="s">
        <v>1031</v>
      </c>
      <c r="U28" s="1373">
        <f t="shared" si="11"/>
        <v>100</v>
      </c>
      <c r="V28" s="1372" t="s">
        <v>1031</v>
      </c>
      <c r="W28" s="1373">
        <f t="shared" si="12"/>
        <v>100</v>
      </c>
      <c r="X28" s="1359"/>
      <c r="Y28" s="1326"/>
      <c r="Z28" s="1346" t="str">
        <f t="shared" si="13"/>
        <v>毗邻道路的类型与等级</v>
      </c>
      <c r="AA28" s="1388">
        <f t="shared" si="3"/>
        <v>1</v>
      </c>
      <c r="AB28" s="1388">
        <f t="shared" si="4"/>
        <v>1</v>
      </c>
      <c r="AC28" s="1388">
        <f t="shared" si="5"/>
        <v>1</v>
      </c>
    </row>
    <row r="29" ht="15.5" hidden="1" spans="1:29">
      <c r="A29" s="1180"/>
      <c r="B29" s="1208"/>
      <c r="C29" s="1201"/>
      <c r="D29" s="1202"/>
      <c r="E29" s="1215"/>
      <c r="F29" s="1202"/>
      <c r="G29" s="1215"/>
      <c r="H29" s="1202"/>
      <c r="I29" s="1215"/>
      <c r="J29" s="1202"/>
      <c r="K29" s="1329"/>
      <c r="L29" s="1323"/>
      <c r="M29" s="1307"/>
      <c r="N29" s="1307"/>
      <c r="O29" s="1322"/>
      <c r="P29" s="1326"/>
      <c r="Q29" s="712"/>
      <c r="R29" s="1372"/>
      <c r="S29" s="1373"/>
      <c r="T29" s="1372"/>
      <c r="U29" s="1373"/>
      <c r="V29" s="1372"/>
      <c r="W29" s="1373"/>
      <c r="X29" s="1359"/>
      <c r="Y29" s="1326"/>
      <c r="Z29" s="1346"/>
      <c r="AA29" s="1388">
        <v>1</v>
      </c>
      <c r="AB29" s="1388">
        <v>1</v>
      </c>
      <c r="AC29" s="1388">
        <v>1</v>
      </c>
    </row>
    <row r="30" ht="15.5" hidden="1" spans="1:29">
      <c r="A30" s="1180"/>
      <c r="B30" s="1216" t="s">
        <v>1649</v>
      </c>
      <c r="C30" s="1217">
        <f>估价对象房地状况!G23</f>
        <v>0</v>
      </c>
      <c r="D30" s="1190">
        <v>100</v>
      </c>
      <c r="E30" s="1213"/>
      <c r="F30" s="1190">
        <f>SUMIF(99:99,E30,100:100)-SUMIF(99:99,C30,100:100)+100</f>
        <v>100</v>
      </c>
      <c r="G30" s="1213"/>
      <c r="H30" s="1190">
        <f>SUMIF(99:99,G30,100:100)-SUMIF(99:99,C30,100:100)+100</f>
        <v>100</v>
      </c>
      <c r="I30" s="1213"/>
      <c r="J30" s="1190">
        <f>SUMIF(99:99,I30,100:100)-SUMIF(99:99,C30,100:100)+100</f>
        <v>100</v>
      </c>
      <c r="K30" s="1330"/>
      <c r="L30" s="1323"/>
      <c r="M30" s="1307"/>
      <c r="N30" s="1307"/>
      <c r="O30" s="1322"/>
      <c r="P30" s="1326"/>
      <c r="Q30" s="712" t="str">
        <f t="shared" si="8"/>
        <v>土地级别</v>
      </c>
      <c r="R30" s="1372" t="s">
        <v>1031</v>
      </c>
      <c r="S30" s="1373">
        <f t="shared" si="10"/>
        <v>100</v>
      </c>
      <c r="T30" s="1372" t="s">
        <v>1031</v>
      </c>
      <c r="U30" s="1373">
        <f t="shared" si="11"/>
        <v>100</v>
      </c>
      <c r="V30" s="1372" t="s">
        <v>1031</v>
      </c>
      <c r="W30" s="1373">
        <f t="shared" si="12"/>
        <v>100</v>
      </c>
      <c r="X30" s="1359"/>
      <c r="Y30" s="1326"/>
      <c r="Z30" s="1346" t="str">
        <f t="shared" si="13"/>
        <v>土地级别</v>
      </c>
      <c r="AA30" s="1388">
        <f t="shared" si="3"/>
        <v>1</v>
      </c>
      <c r="AB30" s="1388">
        <f t="shared" si="4"/>
        <v>1</v>
      </c>
      <c r="AC30" s="1388">
        <f t="shared" si="5"/>
        <v>1</v>
      </c>
    </row>
    <row r="31" ht="15.5" hidden="1" spans="1:29">
      <c r="A31" s="1152"/>
      <c r="B31" s="1218">
        <v>111</v>
      </c>
      <c r="C31" s="1188"/>
      <c r="D31" s="1190">
        <v>100</v>
      </c>
      <c r="E31" s="1219"/>
      <c r="F31" s="1190">
        <f>SUMIF(101:101,E31,102:102)-SUMIF(101:101,C31,102:102)+100</f>
        <v>100</v>
      </c>
      <c r="G31" s="1219"/>
      <c r="H31" s="1190">
        <f>SUMIF(101:101,G31,102:102)-SUMIF(101:101,C31,102:102)+100</f>
        <v>100</v>
      </c>
      <c r="I31" s="1187"/>
      <c r="J31" s="1190">
        <f>SUMIF(101:101,I31,102:102)-SUMIF(101:101,C31,102:102)+100</f>
        <v>100</v>
      </c>
      <c r="K31" s="1329"/>
      <c r="L31" s="1323"/>
      <c r="M31" s="1307"/>
      <c r="N31" s="1307"/>
      <c r="O31" s="1322"/>
      <c r="P31" s="1326"/>
      <c r="Q31" s="712">
        <f t="shared" si="8"/>
        <v>111</v>
      </c>
      <c r="R31" s="1372" t="s">
        <v>1031</v>
      </c>
      <c r="S31" s="1373">
        <f t="shared" si="10"/>
        <v>100</v>
      </c>
      <c r="T31" s="1372" t="s">
        <v>1031</v>
      </c>
      <c r="U31" s="1373">
        <f t="shared" si="11"/>
        <v>100</v>
      </c>
      <c r="V31" s="1372" t="s">
        <v>1031</v>
      </c>
      <c r="W31" s="1373">
        <f t="shared" si="12"/>
        <v>100</v>
      </c>
      <c r="X31" s="1359"/>
      <c r="Y31" s="1326"/>
      <c r="Z31" s="1346">
        <f t="shared" si="13"/>
        <v>111</v>
      </c>
      <c r="AA31" s="1388">
        <f t="shared" si="3"/>
        <v>1</v>
      </c>
      <c r="AB31" s="1388">
        <f t="shared" si="4"/>
        <v>1</v>
      </c>
      <c r="AC31" s="1388">
        <f t="shared" si="5"/>
        <v>1</v>
      </c>
    </row>
    <row r="32" ht="15.5" hidden="1" spans="1:29">
      <c r="A32" s="1220"/>
      <c r="B32" s="1221">
        <v>111</v>
      </c>
      <c r="C32" s="1188"/>
      <c r="D32" s="1190">
        <v>100</v>
      </c>
      <c r="E32" s="1219"/>
      <c r="F32" s="1190">
        <f>SUMIF(103:103,E33,104:104)-SUMIF(103:103,C33,104:104)+100</f>
        <v>100</v>
      </c>
      <c r="G32" s="1219"/>
      <c r="H32" s="1190">
        <f>SUMIF(103:103,G32,104:104)-SUMIF(103:103,C32,104:104)+100</f>
        <v>100</v>
      </c>
      <c r="I32" s="1188"/>
      <c r="J32" s="1190">
        <f>SUMIF(103:103,I32,104:104)-SUMIF(103:103,C32,104:104)+100</f>
        <v>100</v>
      </c>
      <c r="K32" s="1329"/>
      <c r="L32" s="1323"/>
      <c r="M32" s="1307"/>
      <c r="N32" s="1307"/>
      <c r="O32" s="1322"/>
      <c r="P32" s="1331" t="s">
        <v>1058</v>
      </c>
      <c r="Q32" s="712">
        <f t="shared" si="8"/>
        <v>111</v>
      </c>
      <c r="R32" s="1372" t="s">
        <v>1031</v>
      </c>
      <c r="S32" s="1373">
        <f t="shared" si="10"/>
        <v>100</v>
      </c>
      <c r="T32" s="1372" t="s">
        <v>1031</v>
      </c>
      <c r="U32" s="1373">
        <f t="shared" si="11"/>
        <v>100</v>
      </c>
      <c r="V32" s="1372" t="s">
        <v>1031</v>
      </c>
      <c r="W32" s="1373">
        <f t="shared" si="12"/>
        <v>100</v>
      </c>
      <c r="X32" s="1359"/>
      <c r="Y32" s="1334" t="s">
        <v>1058</v>
      </c>
      <c r="Z32" s="1346">
        <f t="shared" si="13"/>
        <v>111</v>
      </c>
      <c r="AA32" s="1388">
        <f t="shared" si="3"/>
        <v>1</v>
      </c>
      <c r="AB32" s="1388">
        <f t="shared" si="4"/>
        <v>1</v>
      </c>
      <c r="AC32" s="1388">
        <f t="shared" si="5"/>
        <v>1</v>
      </c>
    </row>
    <row r="33" s="1129" customFormat="1" ht="16.25" hidden="1" spans="1:29">
      <c r="A33" s="1222"/>
      <c r="B33" s="1223">
        <v>111</v>
      </c>
      <c r="C33" s="1224"/>
      <c r="D33" s="1225">
        <v>100</v>
      </c>
      <c r="E33" s="1226"/>
      <c r="F33" s="1194">
        <f>SUMIF(105:105,E33,106:106)-SUMIF(105:105,C33,106:106)+100</f>
        <v>100</v>
      </c>
      <c r="G33" s="1226"/>
      <c r="H33" s="1194">
        <f>SUMIF(105:105,G33,106:106)-SUMIF(105:105,C33,106:106)+100</f>
        <v>100</v>
      </c>
      <c r="I33" s="1224"/>
      <c r="J33" s="1194">
        <f>SUMIF(105:105,I33,106:106)-SUMIF(105:105,C33,106:106)+100</f>
        <v>100</v>
      </c>
      <c r="K33" s="1329"/>
      <c r="L33" s="1321"/>
      <c r="M33" s="1332"/>
      <c r="N33" s="1332"/>
      <c r="O33" s="1333"/>
      <c r="P33" s="1334"/>
      <c r="Q33" s="712">
        <f t="shared" si="8"/>
        <v>111</v>
      </c>
      <c r="R33" s="1374" t="s">
        <v>1031</v>
      </c>
      <c r="S33" s="1375">
        <f t="shared" si="10"/>
        <v>100</v>
      </c>
      <c r="T33" s="1374" t="s">
        <v>1031</v>
      </c>
      <c r="U33" s="1375">
        <f t="shared" si="11"/>
        <v>100</v>
      </c>
      <c r="V33" s="1374" t="s">
        <v>1031</v>
      </c>
      <c r="W33" s="1375">
        <f t="shared" si="12"/>
        <v>100</v>
      </c>
      <c r="X33" s="1376"/>
      <c r="Y33" s="1334"/>
      <c r="Z33" s="1389">
        <f t="shared" si="13"/>
        <v>111</v>
      </c>
      <c r="AA33" s="1388">
        <f t="shared" si="3"/>
        <v>1</v>
      </c>
      <c r="AB33" s="1388">
        <f t="shared" si="4"/>
        <v>1</v>
      </c>
      <c r="AC33" s="1388">
        <f t="shared" si="5"/>
        <v>1</v>
      </c>
    </row>
    <row r="34" ht="15.5" spans="1:29">
      <c r="A34" s="1195" t="s">
        <v>1056</v>
      </c>
      <c r="B34" s="1227" t="s">
        <v>1650</v>
      </c>
      <c r="C34" s="1228">
        <f>'数据-汇总表'!D3</f>
        <v>11805</v>
      </c>
      <c r="D34" s="1229">
        <v>100</v>
      </c>
      <c r="E34" s="1228">
        <f>土地案例!C4</f>
        <v>11827.31</v>
      </c>
      <c r="F34" s="1229">
        <f>LOOKUP(E34,108:108,109:109)-LOOKUP(C34,108:108,109:109)+100</f>
        <v>100</v>
      </c>
      <c r="G34" s="1228">
        <f>土地案例!C5</f>
        <v>4416.93</v>
      </c>
      <c r="H34" s="1229">
        <f>LOOKUP(G34,108:108,109:109)-LOOKUP(C34,108:108,109:109)+100</f>
        <v>100</v>
      </c>
      <c r="I34" s="1335">
        <f>土地案例!C6</f>
        <v>4838.57</v>
      </c>
      <c r="J34" s="1229">
        <f>LOOKUP(I34,108:108,109:109)-LOOKUP(C34,108:108,109:109)+100</f>
        <v>100</v>
      </c>
      <c r="K34" s="1329"/>
      <c r="L34" s="1323"/>
      <c r="M34" s="1307"/>
      <c r="N34" s="1307"/>
      <c r="O34" s="1322"/>
      <c r="P34" s="1334"/>
      <c r="Q34" s="712" t="str">
        <f t="shared" si="8"/>
        <v>宗地面积</v>
      </c>
      <c r="R34" s="1372" t="s">
        <v>1031</v>
      </c>
      <c r="S34" s="1373">
        <f t="shared" si="10"/>
        <v>100</v>
      </c>
      <c r="T34" s="1372" t="s">
        <v>1031</v>
      </c>
      <c r="U34" s="1373">
        <f t="shared" si="11"/>
        <v>100</v>
      </c>
      <c r="V34" s="1372" t="s">
        <v>1031</v>
      </c>
      <c r="W34" s="1373">
        <f t="shared" si="12"/>
        <v>100</v>
      </c>
      <c r="X34" s="1359"/>
      <c r="Y34" s="1334"/>
      <c r="Z34" s="1346" t="str">
        <f t="shared" si="13"/>
        <v>宗地面积</v>
      </c>
      <c r="AA34" s="1388">
        <f t="shared" si="3"/>
        <v>1</v>
      </c>
      <c r="AB34" s="1388">
        <f t="shared" si="4"/>
        <v>1</v>
      </c>
      <c r="AC34" s="1388">
        <f t="shared" si="5"/>
        <v>1</v>
      </c>
    </row>
    <row r="35" ht="15.5" spans="1:29">
      <c r="A35" s="1230"/>
      <c r="B35" s="1177" t="s">
        <v>1651</v>
      </c>
      <c r="C35" s="1231"/>
      <c r="D35" s="1190">
        <v>100</v>
      </c>
      <c r="E35" s="1231"/>
      <c r="F35" s="1190">
        <f>SUMIF(110:110,E35,111:111)-SUMIF(110:110,C35,111:111)+100</f>
        <v>100</v>
      </c>
      <c r="G35" s="1231"/>
      <c r="H35" s="1190">
        <f>SUMIF(110:110,G35,111:111)-SUMIF(110:110,C35,111:111)+100</f>
        <v>100</v>
      </c>
      <c r="I35" s="1231"/>
      <c r="J35" s="1190">
        <f>SUMIF(110:110,I35,111:111)-SUMIF(110:110,C35,111:111)+100</f>
        <v>100</v>
      </c>
      <c r="K35" s="1330"/>
      <c r="L35" s="1323"/>
      <c r="M35" s="1307"/>
      <c r="N35" s="1307"/>
      <c r="O35" s="1322"/>
      <c r="P35" s="1334"/>
      <c r="Q35" s="712" t="str">
        <f t="shared" ref="Q35:Q40" si="14">B35</f>
        <v>宗地形状</v>
      </c>
      <c r="R35" s="1372" t="s">
        <v>1031</v>
      </c>
      <c r="S35" s="1373">
        <f t="shared" si="10"/>
        <v>100</v>
      </c>
      <c r="T35" s="1372" t="s">
        <v>1031</v>
      </c>
      <c r="U35" s="1373">
        <f t="shared" si="11"/>
        <v>100</v>
      </c>
      <c r="V35" s="1372" t="s">
        <v>1031</v>
      </c>
      <c r="W35" s="1373">
        <f t="shared" si="12"/>
        <v>100</v>
      </c>
      <c r="X35" s="1359"/>
      <c r="Y35" s="1334"/>
      <c r="Z35" s="1346" t="str">
        <f t="shared" si="13"/>
        <v>宗地形状</v>
      </c>
      <c r="AA35" s="1388">
        <f t="shared" si="3"/>
        <v>1</v>
      </c>
      <c r="AB35" s="1388">
        <f t="shared" si="4"/>
        <v>1</v>
      </c>
      <c r="AC35" s="1388">
        <f t="shared" si="5"/>
        <v>1</v>
      </c>
    </row>
    <row r="36" s="1127" customFormat="1" ht="15.5" spans="1:29">
      <c r="A36" s="1232"/>
      <c r="B36" s="1177" t="s">
        <v>1653</v>
      </c>
      <c r="C36" s="1233"/>
      <c r="D36" s="1179">
        <v>100</v>
      </c>
      <c r="E36" s="1233"/>
      <c r="F36" s="1190">
        <f>SUMIF(112:112,E36,113:113)-SUMIF(112:112,C36,113:113)+100</f>
        <v>100</v>
      </c>
      <c r="G36" s="1233"/>
      <c r="H36" s="1190">
        <f>SUMIF(112:112,G36,113:113)-SUMIF(112:112,C36,113:113)+100</f>
        <v>100</v>
      </c>
      <c r="I36" s="1233"/>
      <c r="J36" s="1190">
        <f>SUMIF(112:112,I36,113:113)-SUMIF(112:112,C36,113:113)+100</f>
        <v>100</v>
      </c>
      <c r="K36" s="1330"/>
      <c r="L36" s="1312"/>
      <c r="M36" s="1313"/>
      <c r="N36" s="1313"/>
      <c r="O36" s="1315"/>
      <c r="P36" s="1334"/>
      <c r="Q36" s="712" t="str">
        <f t="shared" si="14"/>
        <v>宗地开发程度</v>
      </c>
      <c r="R36" s="1367" t="s">
        <v>1031</v>
      </c>
      <c r="S36" s="1368">
        <f t="shared" si="10"/>
        <v>100</v>
      </c>
      <c r="T36" s="1367" t="s">
        <v>1031</v>
      </c>
      <c r="U36" s="1368">
        <f t="shared" si="11"/>
        <v>100</v>
      </c>
      <c r="V36" s="1367" t="s">
        <v>1031</v>
      </c>
      <c r="W36" s="1368">
        <f t="shared" si="12"/>
        <v>100</v>
      </c>
      <c r="X36" s="1369"/>
      <c r="Y36" s="1334"/>
      <c r="Z36" s="1387" t="str">
        <f t="shared" si="13"/>
        <v>宗地开发程度</v>
      </c>
      <c r="AA36" s="1386">
        <f t="shared" si="3"/>
        <v>1</v>
      </c>
      <c r="AB36" s="1386">
        <f t="shared" si="4"/>
        <v>1</v>
      </c>
      <c r="AC36" s="1386">
        <f t="shared" si="5"/>
        <v>1</v>
      </c>
    </row>
    <row r="37" ht="16.25" spans="1:29">
      <c r="A37" s="1230"/>
      <c r="B37" s="1177" t="s">
        <v>1654</v>
      </c>
      <c r="C37" s="1231"/>
      <c r="D37" s="1190">
        <v>100</v>
      </c>
      <c r="E37" s="1231"/>
      <c r="F37" s="1190">
        <f>SUMIF(114:114,E37,115:115)-SUMIF(114:114,C37,115:115)+100</f>
        <v>100</v>
      </c>
      <c r="G37" s="1231"/>
      <c r="H37" s="1190">
        <f>SUMIF(114:114,G37,115:115)-SUMIF(114:114,C37,115:115)+100</f>
        <v>100</v>
      </c>
      <c r="I37" s="1231"/>
      <c r="J37" s="1190">
        <f>SUMIF(114:114,I37,115:115)-SUMIF(114:114,C37,115:115)+100</f>
        <v>100</v>
      </c>
      <c r="K37" s="1330"/>
      <c r="L37" s="1323"/>
      <c r="M37" s="1307"/>
      <c r="N37" s="1307"/>
      <c r="O37" s="1322"/>
      <c r="P37" s="1334" t="s">
        <v>1058</v>
      </c>
      <c r="Q37" s="712" t="str">
        <f t="shared" si="14"/>
        <v>工程地质条件</v>
      </c>
      <c r="R37" s="1372" t="s">
        <v>1031</v>
      </c>
      <c r="S37" s="1373">
        <f t="shared" si="10"/>
        <v>100</v>
      </c>
      <c r="T37" s="1372" t="s">
        <v>1031</v>
      </c>
      <c r="U37" s="1373">
        <f t="shared" si="11"/>
        <v>100</v>
      </c>
      <c r="V37" s="1372" t="s">
        <v>1031</v>
      </c>
      <c r="W37" s="1373">
        <f t="shared" si="12"/>
        <v>100</v>
      </c>
      <c r="X37" s="1359"/>
      <c r="Y37" s="1334" t="s">
        <v>1058</v>
      </c>
      <c r="Z37" s="1346" t="str">
        <f t="shared" si="13"/>
        <v>工程地质条件</v>
      </c>
      <c r="AA37" s="1388">
        <f t="shared" si="3"/>
        <v>1</v>
      </c>
      <c r="AB37" s="1388">
        <f t="shared" si="4"/>
        <v>1</v>
      </c>
      <c r="AC37" s="1388">
        <f t="shared" si="5"/>
        <v>1</v>
      </c>
    </row>
    <row r="38" ht="15.5" hidden="1" spans="1:29">
      <c r="A38" s="1230"/>
      <c r="B38" s="1234">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29"/>
      <c r="L38" s="1323"/>
      <c r="M38" s="1307"/>
      <c r="N38" s="1307"/>
      <c r="O38" s="1322"/>
      <c r="P38" s="1334"/>
      <c r="Q38" s="712">
        <f t="shared" si="14"/>
        <v>111</v>
      </c>
      <c r="R38" s="1372" t="s">
        <v>1031</v>
      </c>
      <c r="S38" s="1373">
        <f t="shared" si="10"/>
        <v>100</v>
      </c>
      <c r="T38" s="1372" t="s">
        <v>1031</v>
      </c>
      <c r="U38" s="1373">
        <f t="shared" si="11"/>
        <v>100</v>
      </c>
      <c r="V38" s="1372" t="s">
        <v>1031</v>
      </c>
      <c r="W38" s="1373">
        <f t="shared" si="12"/>
        <v>100</v>
      </c>
      <c r="X38" s="1359"/>
      <c r="Y38" s="1334"/>
      <c r="Z38" s="1346">
        <f t="shared" si="13"/>
        <v>111</v>
      </c>
      <c r="AA38" s="1388">
        <f t="shared" si="3"/>
        <v>1</v>
      </c>
      <c r="AB38" s="1388">
        <f t="shared" si="4"/>
        <v>1</v>
      </c>
      <c r="AC38" s="1388">
        <f t="shared" si="5"/>
        <v>1</v>
      </c>
    </row>
    <row r="39" ht="15.5" hidden="1" spans="1:29">
      <c r="A39" s="1230"/>
      <c r="B39" s="1234">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29"/>
      <c r="L39" s="1323"/>
      <c r="M39" s="1307"/>
      <c r="N39" s="1307"/>
      <c r="O39" s="1322"/>
      <c r="P39" s="1334"/>
      <c r="Q39" s="712">
        <f t="shared" si="14"/>
        <v>111</v>
      </c>
      <c r="R39" s="1372" t="s">
        <v>1031</v>
      </c>
      <c r="S39" s="1373">
        <f t="shared" si="10"/>
        <v>100</v>
      </c>
      <c r="T39" s="1372" t="s">
        <v>1031</v>
      </c>
      <c r="U39" s="1373">
        <f t="shared" si="11"/>
        <v>100</v>
      </c>
      <c r="V39" s="1372" t="s">
        <v>1031</v>
      </c>
      <c r="W39" s="1373">
        <f t="shared" si="12"/>
        <v>100</v>
      </c>
      <c r="X39" s="1359"/>
      <c r="Y39" s="1334"/>
      <c r="Z39" s="1346">
        <f t="shared" si="13"/>
        <v>111</v>
      </c>
      <c r="AA39" s="1388">
        <f t="shared" si="3"/>
        <v>1</v>
      </c>
      <c r="AB39" s="1388">
        <f t="shared" si="4"/>
        <v>1</v>
      </c>
      <c r="AC39" s="1388">
        <f t="shared" si="5"/>
        <v>1</v>
      </c>
    </row>
    <row r="40" s="1129" customFormat="1" ht="16.25" hidden="1" spans="1:29">
      <c r="A40" s="1235"/>
      <c r="B40" s="1234">
        <v>111</v>
      </c>
      <c r="C40" s="1236"/>
      <c r="D40" s="1225">
        <v>100</v>
      </c>
      <c r="E40" s="1188"/>
      <c r="F40" s="1194">
        <f>SUMIF(120:120,E40,121:121)-SUMIF(120:120,C40,121:121)+100</f>
        <v>100</v>
      </c>
      <c r="G40" s="1188"/>
      <c r="H40" s="1194">
        <f>SUMIF(120:120,G40,121:121)-SUMIF(120:120,C40,121:121)+100</f>
        <v>100</v>
      </c>
      <c r="I40" s="1187"/>
      <c r="J40" s="1194">
        <f>SUMIF(120:120,I40,121:121)-SUMIF(120:120,C40,121:121)+100</f>
        <v>100</v>
      </c>
      <c r="K40" s="1336"/>
      <c r="L40" s="1321"/>
      <c r="M40" s="1332"/>
      <c r="N40" s="1332"/>
      <c r="O40" s="1333"/>
      <c r="P40" s="1334"/>
      <c r="Q40" s="712">
        <f t="shared" si="14"/>
        <v>111</v>
      </c>
      <c r="R40" s="1374" t="s">
        <v>1031</v>
      </c>
      <c r="S40" s="1375">
        <f t="shared" si="10"/>
        <v>100</v>
      </c>
      <c r="T40" s="1374" t="s">
        <v>1031</v>
      </c>
      <c r="U40" s="1375">
        <f t="shared" si="11"/>
        <v>100</v>
      </c>
      <c r="V40" s="1374" t="s">
        <v>1031</v>
      </c>
      <c r="W40" s="1375">
        <f t="shared" si="12"/>
        <v>100</v>
      </c>
      <c r="X40" s="1376"/>
      <c r="Y40" s="1334"/>
      <c r="Z40" s="1389">
        <f t="shared" si="13"/>
        <v>111</v>
      </c>
      <c r="AA40" s="1388">
        <f t="shared" si="3"/>
        <v>1</v>
      </c>
      <c r="AB40" s="1388">
        <f t="shared" si="4"/>
        <v>1</v>
      </c>
      <c r="AC40" s="1388">
        <f t="shared" si="5"/>
        <v>1</v>
      </c>
    </row>
    <row r="41" spans="1:29">
      <c r="A41" s="1237" t="s">
        <v>1636</v>
      </c>
      <c r="B41" s="1238" t="s">
        <v>1689</v>
      </c>
      <c r="C41" s="1239" t="s">
        <v>124</v>
      </c>
      <c r="D41" s="1240"/>
      <c r="E41" s="1241">
        <f>土地案例!P4</f>
        <v>677</v>
      </c>
      <c r="F41" s="1242"/>
      <c r="G41" s="1243">
        <f>土地案例!P5</f>
        <v>681</v>
      </c>
      <c r="H41" s="1244"/>
      <c r="I41" s="1241">
        <f>土地案例!P6</f>
        <v>667</v>
      </c>
      <c r="J41" s="1244"/>
      <c r="K41" s="1337"/>
      <c r="L41" s="1338"/>
      <c r="M41" s="1307"/>
      <c r="N41" s="1307"/>
      <c r="O41" s="1254"/>
      <c r="P41" s="712" t="str">
        <f>A41</f>
        <v>成交单价</v>
      </c>
      <c r="Q41" s="712"/>
      <c r="R41" s="1346">
        <f>E41</f>
        <v>677</v>
      </c>
      <c r="S41" s="1346"/>
      <c r="T41" s="1346">
        <f>G41</f>
        <v>681</v>
      </c>
      <c r="U41" s="1346"/>
      <c r="V41" s="1346">
        <f>I41</f>
        <v>667</v>
      </c>
      <c r="W41" s="1346"/>
      <c r="X41" s="1295"/>
      <c r="Y41" s="1390"/>
      <c r="Z41" s="1295"/>
      <c r="AA41" s="1295"/>
      <c r="AB41" s="1295"/>
      <c r="AC41" s="1295"/>
    </row>
    <row r="42" ht="14.75" spans="1:29">
      <c r="A42" s="1245" t="s">
        <v>1075</v>
      </c>
      <c r="B42" s="1246"/>
      <c r="C42" s="1247">
        <f>R43</f>
        <v>601</v>
      </c>
      <c r="D42" s="1248" t="s">
        <v>1076</v>
      </c>
      <c r="E42" s="1247">
        <f>R42</f>
        <v>603</v>
      </c>
      <c r="F42" s="1249"/>
      <c r="G42" s="1250">
        <f>T42</f>
        <v>606</v>
      </c>
      <c r="H42" s="1249"/>
      <c r="I42" s="1247">
        <f>V42</f>
        <v>594</v>
      </c>
      <c r="J42" s="1249"/>
      <c r="K42" s="1339">
        <f>F42+H42+J42</f>
        <v>0</v>
      </c>
      <c r="L42" s="1338"/>
      <c r="M42" s="1307"/>
      <c r="N42" s="1307"/>
      <c r="O42" s="1254"/>
      <c r="P42" s="712" t="str">
        <f>A42</f>
        <v>比较价值（元/平方米）</v>
      </c>
      <c r="Q42" s="712"/>
      <c r="R42" s="1377">
        <f>ROUND(PRODUCT(R41,AA7:AA40),0)</f>
        <v>603</v>
      </c>
      <c r="S42" s="1377"/>
      <c r="T42" s="1377">
        <f>ROUND(PRODUCT(T41,AB7:AB40),0)</f>
        <v>606</v>
      </c>
      <c r="U42" s="1377"/>
      <c r="V42" s="1377">
        <f>ROUND(PRODUCT(V41,AC7:AC40),0)</f>
        <v>594</v>
      </c>
      <c r="W42" s="1377"/>
      <c r="X42" s="1295"/>
      <c r="Y42" s="1295"/>
      <c r="Z42" s="1295"/>
      <c r="AA42" s="1295"/>
      <c r="AB42" s="1295"/>
      <c r="AC42" s="1295"/>
    </row>
    <row r="43" ht="14.75" spans="1:29">
      <c r="A43" s="1251" t="s">
        <v>1077</v>
      </c>
      <c r="B43" s="1252"/>
      <c r="C43" s="1253">
        <f>R43</f>
        <v>601</v>
      </c>
      <c r="D43" s="1253"/>
      <c r="E43" s="1253"/>
      <c r="F43" s="1253"/>
      <c r="G43" s="1253"/>
      <c r="H43" s="1253"/>
      <c r="I43" s="1253"/>
      <c r="J43" s="1253"/>
      <c r="K43" s="1340"/>
      <c r="L43" s="1338"/>
      <c r="M43" s="1307"/>
      <c r="N43" s="1307"/>
      <c r="O43" s="1254"/>
      <c r="P43" s="1341" t="str">
        <f>A43</f>
        <v>估价对象XX用房的比较价值（楼面单价，元/平方米）</v>
      </c>
      <c r="Q43" s="1378"/>
      <c r="R43" s="1379">
        <f>ROUND(IF(D42="简单平均",AVERAGE(R42:W42),R42*F42+T42*H42+V42*J42),0)</f>
        <v>601</v>
      </c>
      <c r="S43" s="1379"/>
      <c r="T43" s="1379"/>
      <c r="U43" s="1379"/>
      <c r="V43" s="1379"/>
      <c r="W43" s="1379"/>
      <c r="X43" s="1295"/>
      <c r="Y43" s="1295"/>
      <c r="Z43" s="1295"/>
      <c r="AA43" s="1295"/>
      <c r="AB43" s="1295"/>
      <c r="AC43" s="1295"/>
    </row>
    <row r="44" spans="1:31">
      <c r="A44" s="1254"/>
      <c r="B44" s="1254"/>
      <c r="C44" s="1254"/>
      <c r="D44" s="1254"/>
      <c r="E44" s="1254"/>
      <c r="F44" s="1254"/>
      <c r="G44" s="1255"/>
      <c r="H44" s="1254"/>
      <c r="I44" s="1254"/>
      <c r="J44" s="1254"/>
      <c r="K44" s="1342"/>
      <c r="L44" s="1343"/>
      <c r="M44" s="1307"/>
      <c r="N44" s="1307"/>
      <c r="O44" s="1254"/>
      <c r="P44" s="1254"/>
      <c r="Q44" s="1254"/>
      <c r="R44" s="1254"/>
      <c r="S44" s="1254"/>
      <c r="T44" s="1254"/>
      <c r="U44" s="1254"/>
      <c r="V44" s="1254"/>
      <c r="W44" s="1254"/>
      <c r="X44" s="1254"/>
      <c r="Y44" s="1254"/>
      <c r="Z44" s="1254"/>
      <c r="AA44" s="1254"/>
      <c r="AB44" s="1254"/>
      <c r="AC44" s="1254"/>
      <c r="AD44" s="1254"/>
      <c r="AE44" s="1254"/>
    </row>
    <row r="45" spans="1:31">
      <c r="A45" s="1254"/>
      <c r="B45" s="1254"/>
      <c r="C45" s="1254"/>
      <c r="D45" s="1254"/>
      <c r="E45" s="1254"/>
      <c r="F45" s="1254"/>
      <c r="G45" s="1254"/>
      <c r="H45" s="1254"/>
      <c r="I45" s="1254"/>
      <c r="J45" s="1254"/>
      <c r="K45" s="1342"/>
      <c r="L45" s="1343"/>
      <c r="M45" s="1307"/>
      <c r="N45" s="1307"/>
      <c r="O45" s="1254"/>
      <c r="P45" s="1254"/>
      <c r="Q45" s="1254"/>
      <c r="R45" s="1254"/>
      <c r="S45" s="1254"/>
      <c r="T45" s="1254"/>
      <c r="U45" s="1254"/>
      <c r="V45" s="1254"/>
      <c r="W45" s="1254"/>
      <c r="X45" s="1254"/>
      <c r="Y45" s="1254"/>
      <c r="Z45" s="1254"/>
      <c r="AA45" s="1254"/>
      <c r="AB45" s="1254"/>
      <c r="AC45" s="1254"/>
      <c r="AD45" s="1254"/>
      <c r="AE45" s="1254"/>
    </row>
    <row r="46" ht="13.5" customHeight="1" spans="1:31">
      <c r="A46" s="1254"/>
      <c r="B46" s="1254"/>
      <c r="C46" s="1256" t="s">
        <v>1078</v>
      </c>
      <c r="D46" s="756"/>
      <c r="E46" s="1257">
        <f>IF(E41&lt;E42,E42/E41-1,E41/E42-1)</f>
        <v>0.122719734660033</v>
      </c>
      <c r="F46" s="1258" t="str">
        <f>IF(OR(E46&gt;=0.3,E46&lt;=-0.3),"超过30%","")</f>
        <v/>
      </c>
      <c r="G46" s="1257">
        <f>IF(G41&lt;G42,G42/G41-1,G41/G42-1)</f>
        <v>0.123762376237624</v>
      </c>
      <c r="H46" s="1258" t="str">
        <f>IF(OR(G46&gt;=0.3,G46&lt;=-0.3),"超过30%","")</f>
        <v/>
      </c>
      <c r="I46" s="1257">
        <f>IF(I41&lt;I42,I42/I41-1,I41/I42-1)</f>
        <v>0.122895622895623</v>
      </c>
      <c r="J46" s="1258" t="str">
        <f>IF(OR(I46&gt;=0.3,I46&lt;=-0.3),"超过30%","")</f>
        <v/>
      </c>
      <c r="K46" s="1342"/>
      <c r="L46" s="1343"/>
      <c r="M46" s="1307"/>
      <c r="N46" s="1307"/>
      <c r="O46" s="1254"/>
      <c r="P46" s="1254"/>
      <c r="Q46" s="1254"/>
      <c r="R46" s="1254"/>
      <c r="S46" s="1254"/>
      <c r="T46" s="1254"/>
      <c r="U46" s="1254"/>
      <c r="V46" s="1254"/>
      <c r="W46" s="1254"/>
      <c r="X46" s="1254"/>
      <c r="Y46" s="1254"/>
      <c r="Z46" s="1254"/>
      <c r="AA46" s="1254"/>
      <c r="AB46" s="1254"/>
      <c r="AC46" s="1254"/>
      <c r="AD46" s="1254"/>
      <c r="AE46" s="1254"/>
    </row>
    <row r="47" ht="13.5" customHeight="1" spans="1:31">
      <c r="A47" s="1254"/>
      <c r="B47" s="1254"/>
      <c r="C47" s="1256" t="s">
        <v>1079</v>
      </c>
      <c r="D47" s="755"/>
      <c r="E47" s="1257">
        <f>IF(E42&lt;G42,G42/E42-1,E42/G42-1)</f>
        <v>0.00497512437810954</v>
      </c>
      <c r="F47" s="1258" t="str">
        <f>IF(OR(E47&gt;=0.2,E47&lt;=-0.2),"超过20%","")</f>
        <v/>
      </c>
      <c r="G47" s="1257">
        <f>IF(G42&lt;I42,I42/G42-1,G42/I42-1)</f>
        <v>0.0202020202020201</v>
      </c>
      <c r="H47" s="1258" t="str">
        <f>IF(OR(G47&gt;=0.2,G47&lt;=-0.2),"超过20%","")</f>
        <v/>
      </c>
      <c r="I47" s="1257">
        <f>IF(I42&lt;E42,E42/I42-1,I42/E42-1)</f>
        <v>0.0151515151515151</v>
      </c>
      <c r="J47" s="1258" t="str">
        <f>IF(OR(I47&gt;=0.2,I47&lt;=-0.2),"超过20%","")</f>
        <v/>
      </c>
      <c r="K47" s="1342"/>
      <c r="L47" s="1343"/>
      <c r="M47" s="1254"/>
      <c r="N47" s="1254"/>
      <c r="O47" s="1254"/>
      <c r="P47" s="1254"/>
      <c r="Q47" s="1254"/>
      <c r="R47" s="1254"/>
      <c r="S47" s="1254"/>
      <c r="T47" s="1254"/>
      <c r="U47" s="1254"/>
      <c r="V47" s="1254"/>
      <c r="W47" s="1254"/>
      <c r="X47" s="1254"/>
      <c r="Y47" s="1254"/>
      <c r="Z47" s="1254"/>
      <c r="AA47" s="1254"/>
      <c r="AB47" s="1254"/>
      <c r="AC47" s="1254"/>
      <c r="AD47" s="1254"/>
      <c r="AE47" s="1254"/>
    </row>
    <row r="48" s="1130" customFormat="1" ht="13.5" customHeight="1" spans="1:31">
      <c r="A48" s="1259"/>
      <c r="B48" s="1259"/>
      <c r="C48" s="1256" t="s">
        <v>1080</v>
      </c>
      <c r="D48" s="755"/>
      <c r="E48" s="1257">
        <f>IF(E41&lt;G41,G41/E41-1,E41/G41-1)</f>
        <v>0.00590841949778431</v>
      </c>
      <c r="F48" s="1258" t="str">
        <f>IF(OR(E48&gt;=0.3,E48&lt;=-0.3),"超过30%","")</f>
        <v/>
      </c>
      <c r="G48" s="1257">
        <f>IF(G41&lt;I41,I41/G41-1,G41/I41-1)</f>
        <v>0.0209895052473763</v>
      </c>
      <c r="H48" s="1258" t="str">
        <f>IF(OR(G48&gt;=0.3,G48&lt;=-0.3),"超过30%","")</f>
        <v/>
      </c>
      <c r="I48" s="1257">
        <f>IF(I41&lt;E41,E41/I41-1,I41/E41-1)</f>
        <v>0.014992503748126</v>
      </c>
      <c r="J48" s="1258" t="str">
        <f>IF(OR(I48&gt;=0.3,I48&lt;=-0.3),"超过30%","")</f>
        <v/>
      </c>
      <c r="K48" s="1344"/>
      <c r="L48" s="1345"/>
      <c r="M48" s="1259"/>
      <c r="N48" s="1259"/>
      <c r="O48" s="1259"/>
      <c r="P48" s="1259"/>
      <c r="Q48" s="1259"/>
      <c r="R48" s="1259"/>
      <c r="S48" s="1259"/>
      <c r="T48" s="1259"/>
      <c r="U48" s="1259"/>
      <c r="V48" s="1259"/>
      <c r="W48" s="1259"/>
      <c r="X48" s="1259"/>
      <c r="Y48" s="1259"/>
      <c r="Z48" s="1259"/>
      <c r="AA48" s="1259"/>
      <c r="AB48" s="1259"/>
      <c r="AC48" s="1259"/>
      <c r="AD48" s="1259"/>
      <c r="AE48" s="1259"/>
    </row>
    <row r="49" s="1130" customFormat="1" ht="14.75" spans="1:31">
      <c r="A49" s="1259"/>
      <c r="B49" s="1260"/>
      <c r="C49" s="1261"/>
      <c r="D49" s="1262"/>
      <c r="E49" s="1262"/>
      <c r="F49" s="1262"/>
      <c r="G49" s="1262"/>
      <c r="H49" s="1262"/>
      <c r="I49" s="1262"/>
      <c r="J49" s="1262"/>
      <c r="K49" s="1344"/>
      <c r="L49" s="1345"/>
      <c r="M49" s="1259"/>
      <c r="N49" s="1259"/>
      <c r="O49" s="1259"/>
      <c r="P49" s="1259"/>
      <c r="Q49" s="1259"/>
      <c r="R49" s="1259"/>
      <c r="S49" s="1259"/>
      <c r="T49" s="1259"/>
      <c r="U49" s="1259"/>
      <c r="V49" s="1259"/>
      <c r="W49" s="1259"/>
      <c r="X49" s="1259"/>
      <c r="Y49" s="1259"/>
      <c r="Z49" s="1259"/>
      <c r="AA49" s="1259"/>
      <c r="AB49" s="1259"/>
      <c r="AC49" s="1259"/>
      <c r="AD49" s="1259"/>
      <c r="AE49" s="1259"/>
    </row>
    <row r="50" ht="28" spans="1:31">
      <c r="A50" s="1263" t="s">
        <v>1657</v>
      </c>
      <c r="B50" s="1264" t="s">
        <v>1658</v>
      </c>
      <c r="C50" s="1265" t="s">
        <v>1659</v>
      </c>
      <c r="D50" s="1266" t="s">
        <v>1660</v>
      </c>
      <c r="E50" s="1267" t="s">
        <v>1661</v>
      </c>
      <c r="F50" s="1268" t="s">
        <v>1662</v>
      </c>
      <c r="G50" s="1148" t="s">
        <v>1663</v>
      </c>
      <c r="H50" s="707"/>
      <c r="I50" s="1346" t="s">
        <v>1690</v>
      </c>
      <c r="J50" s="1346">
        <f>项目基本情况!F35</f>
        <v>0</v>
      </c>
      <c r="K50" s="1347" t="s">
        <v>1665</v>
      </c>
      <c r="L50" s="1343"/>
      <c r="M50" s="1254"/>
      <c r="N50" s="1254"/>
      <c r="O50" s="1254"/>
      <c r="P50" s="1254"/>
      <c r="Q50" s="1254"/>
      <c r="R50" s="1254"/>
      <c r="S50" s="1254"/>
      <c r="T50" s="1254"/>
      <c r="U50" s="1254"/>
      <c r="V50" s="1254"/>
      <c r="W50" s="1254"/>
      <c r="X50" s="1254"/>
      <c r="Y50" s="1254"/>
      <c r="Z50" s="1254"/>
      <c r="AA50" s="1254"/>
      <c r="AB50" s="1254"/>
      <c r="AC50" s="1254"/>
      <c r="AD50" s="1254"/>
      <c r="AE50" s="1254"/>
    </row>
    <row r="51" s="1131" customFormat="1" spans="1:31">
      <c r="A51" s="1269" t="s">
        <v>1666</v>
      </c>
      <c r="B51" s="1270">
        <f>C43</f>
        <v>601</v>
      </c>
      <c r="C51" s="1271">
        <v>1</v>
      </c>
      <c r="D51" s="1272">
        <v>1</v>
      </c>
      <c r="E51" s="1271">
        <f>'数据-汇总表'!E8+'数据-汇总表'!E9</f>
        <v>36094.88</v>
      </c>
      <c r="F51" s="1273">
        <f t="shared" ref="F51:F60" si="15">ROUND(B51*E51/10000,0)</f>
        <v>2169</v>
      </c>
      <c r="G51" s="1274"/>
      <c r="H51" s="712"/>
      <c r="I51" s="742">
        <v>1</v>
      </c>
      <c r="J51" s="742">
        <v>1</v>
      </c>
      <c r="K51" s="1259"/>
      <c r="L51" s="1348"/>
      <c r="M51" s="1348"/>
      <c r="N51" s="1348"/>
      <c r="O51" s="1348"/>
      <c r="P51" s="1348"/>
      <c r="Q51" s="1348"/>
      <c r="R51" s="1348"/>
      <c r="S51" s="1348"/>
      <c r="T51" s="1348"/>
      <c r="U51" s="1348"/>
      <c r="V51" s="1348"/>
      <c r="W51" s="1348"/>
      <c r="X51" s="1348"/>
      <c r="Y51" s="1348"/>
      <c r="Z51" s="1348"/>
      <c r="AA51" s="1348"/>
      <c r="AB51" s="1348"/>
      <c r="AC51" s="1348"/>
      <c r="AD51" s="1348"/>
      <c r="AE51" s="1348"/>
    </row>
    <row r="52" s="1131" customFormat="1" spans="1:31">
      <c r="A52" s="1275" t="s">
        <v>1667</v>
      </c>
      <c r="B52" s="423">
        <f>ROUND($C$43*C52*D52,0)</f>
        <v>0</v>
      </c>
      <c r="C52" s="626">
        <f t="shared" ref="C52:C60" si="16">IF($C$50="北京市系数",I52,J52)</f>
        <v>0</v>
      </c>
      <c r="D52" s="1276">
        <v>0.25</v>
      </c>
      <c r="E52" s="1277"/>
      <c r="F52" s="1273">
        <f t="shared" si="15"/>
        <v>0</v>
      </c>
      <c r="G52" s="1278" t="s">
        <v>1668</v>
      </c>
      <c r="H52" s="1279">
        <f>项目基本情况!B37</f>
        <v>0</v>
      </c>
      <c r="I52" s="742">
        <f>SUMIF(修正!A57:A68,H52,修正!B57:B68)</f>
        <v>0</v>
      </c>
      <c r="J52" s="1349"/>
      <c r="K52" s="1254"/>
      <c r="L52" s="1348"/>
      <c r="M52" s="1348"/>
      <c r="N52" s="1348"/>
      <c r="O52" s="1348"/>
      <c r="P52" s="1348"/>
      <c r="Q52" s="1348"/>
      <c r="R52" s="1348"/>
      <c r="S52" s="1348"/>
      <c r="T52" s="1348"/>
      <c r="U52" s="1348"/>
      <c r="V52" s="1348"/>
      <c r="W52" s="1348"/>
      <c r="X52" s="1348"/>
      <c r="Y52" s="1348"/>
      <c r="Z52" s="1348"/>
      <c r="AA52" s="1348"/>
      <c r="AB52" s="1348"/>
      <c r="AC52" s="1348"/>
      <c r="AD52" s="1348"/>
      <c r="AE52" s="1348"/>
    </row>
    <row r="53" s="1131" customFormat="1" spans="1:31">
      <c r="A53" s="1275" t="s">
        <v>1669</v>
      </c>
      <c r="B53" s="423">
        <f t="shared" ref="B53:B60" si="17">ROUND($C$43*C53*D53,0)</f>
        <v>0</v>
      </c>
      <c r="C53" s="626">
        <f t="shared" si="16"/>
        <v>0</v>
      </c>
      <c r="D53" s="1276">
        <v>0.25</v>
      </c>
      <c r="E53" s="1277"/>
      <c r="F53" s="1273">
        <f t="shared" si="15"/>
        <v>0</v>
      </c>
      <c r="G53" s="1280"/>
      <c r="H53" s="1279">
        <f>项目基本情况!B37</f>
        <v>0</v>
      </c>
      <c r="I53" s="742">
        <f>SUMIF(修正!A57:A68,H53,修正!C57:C68)</f>
        <v>0</v>
      </c>
      <c r="J53" s="1349"/>
      <c r="K53" s="1259"/>
      <c r="L53" s="1348"/>
      <c r="M53" s="1348"/>
      <c r="N53" s="1348"/>
      <c r="O53" s="1348"/>
      <c r="P53" s="1348"/>
      <c r="Q53" s="1348"/>
      <c r="R53" s="1348"/>
      <c r="S53" s="1348"/>
      <c r="T53" s="1348"/>
      <c r="U53" s="1348"/>
      <c r="V53" s="1348"/>
      <c r="W53" s="1348"/>
      <c r="X53" s="1348"/>
      <c r="Y53" s="1348"/>
      <c r="Z53" s="1348"/>
      <c r="AA53" s="1348"/>
      <c r="AB53" s="1348"/>
      <c r="AC53" s="1348"/>
      <c r="AD53" s="1348"/>
      <c r="AE53" s="1348"/>
    </row>
    <row r="54" s="1131" customFormat="1" spans="1:31">
      <c r="A54" s="1275" t="s">
        <v>1670</v>
      </c>
      <c r="B54" s="423">
        <f t="shared" si="17"/>
        <v>0</v>
      </c>
      <c r="C54" s="626">
        <f t="shared" si="16"/>
        <v>0</v>
      </c>
      <c r="D54" s="1276">
        <v>0.25</v>
      </c>
      <c r="E54" s="1277"/>
      <c r="F54" s="1273">
        <f t="shared" si="15"/>
        <v>0</v>
      </c>
      <c r="G54" s="1280"/>
      <c r="H54" s="1279">
        <f>项目基本情况!B37</f>
        <v>0</v>
      </c>
      <c r="I54" s="742">
        <f>SUMIF(修正!A57:A68,H54,修正!D57:D68)</f>
        <v>0</v>
      </c>
      <c r="J54" s="1349"/>
      <c r="K54" s="1254"/>
      <c r="L54" s="1348"/>
      <c r="M54" s="1348"/>
      <c r="N54" s="1348"/>
      <c r="O54" s="1348"/>
      <c r="P54" s="1348"/>
      <c r="Q54" s="1348"/>
      <c r="R54" s="1348"/>
      <c r="S54" s="1348"/>
      <c r="T54" s="1348"/>
      <c r="U54" s="1348"/>
      <c r="V54" s="1348"/>
      <c r="W54" s="1348"/>
      <c r="X54" s="1348"/>
      <c r="Y54" s="1348"/>
      <c r="Z54" s="1348"/>
      <c r="AA54" s="1348"/>
      <c r="AB54" s="1348"/>
      <c r="AC54" s="1348"/>
      <c r="AD54" s="1348"/>
      <c r="AE54" s="1348"/>
    </row>
    <row r="55" s="1131" customFormat="1" hidden="1" spans="1:31">
      <c r="A55" s="1275"/>
      <c r="B55" s="423"/>
      <c r="C55" s="626"/>
      <c r="D55" s="1276"/>
      <c r="E55" s="1277"/>
      <c r="F55" s="1273"/>
      <c r="G55" s="1281"/>
      <c r="H55" s="1279"/>
      <c r="I55" s="742"/>
      <c r="J55" s="1349"/>
      <c r="K55" s="1259"/>
      <c r="L55" s="1348"/>
      <c r="M55" s="1348"/>
      <c r="N55" s="1348"/>
      <c r="O55" s="1348"/>
      <c r="P55" s="1348"/>
      <c r="Q55" s="1348"/>
      <c r="R55" s="1348"/>
      <c r="S55" s="1348"/>
      <c r="T55" s="1348"/>
      <c r="U55" s="1348"/>
      <c r="V55" s="1348"/>
      <c r="W55" s="1348"/>
      <c r="X55" s="1348"/>
      <c r="Y55" s="1348"/>
      <c r="Z55" s="1348"/>
      <c r="AA55" s="1348"/>
      <c r="AB55" s="1348"/>
      <c r="AC55" s="1348"/>
      <c r="AD55" s="1348"/>
      <c r="AE55" s="1348"/>
    </row>
    <row r="56" s="1131" customFormat="1" spans="1:31">
      <c r="A56" s="1275" t="s">
        <v>1671</v>
      </c>
      <c r="B56" s="423">
        <f t="shared" si="17"/>
        <v>0</v>
      </c>
      <c r="C56" s="626">
        <f t="shared" si="16"/>
        <v>0</v>
      </c>
      <c r="D56" s="1276">
        <v>0.25</v>
      </c>
      <c r="E56" s="422">
        <f>'数据-汇总表'!E11</f>
        <v>0</v>
      </c>
      <c r="F56" s="1273">
        <f t="shared" si="15"/>
        <v>0</v>
      </c>
      <c r="G56" s="1282" t="s">
        <v>1672</v>
      </c>
      <c r="H56" s="1279">
        <f>项目基本情况!C37</f>
        <v>0</v>
      </c>
      <c r="I56" s="742">
        <f>SUMIF(修正!A57:A68,H56,修正!E57:E68)</f>
        <v>0</v>
      </c>
      <c r="J56" s="1349"/>
      <c r="K56" s="1254"/>
      <c r="L56" s="1348"/>
      <c r="M56" s="1348"/>
      <c r="N56" s="1348"/>
      <c r="O56" s="1348"/>
      <c r="P56" s="1348"/>
      <c r="Q56" s="1348"/>
      <c r="R56" s="1348"/>
      <c r="S56" s="1348"/>
      <c r="T56" s="1348"/>
      <c r="U56" s="1348"/>
      <c r="V56" s="1348"/>
      <c r="W56" s="1348"/>
      <c r="X56" s="1348"/>
      <c r="Y56" s="1348"/>
      <c r="Z56" s="1348"/>
      <c r="AA56" s="1348"/>
      <c r="AB56" s="1348"/>
      <c r="AC56" s="1348"/>
      <c r="AD56" s="1348"/>
      <c r="AE56" s="1348"/>
    </row>
    <row r="57" s="1131" customFormat="1" spans="1:31">
      <c r="A57" s="1275" t="s">
        <v>1673</v>
      </c>
      <c r="B57" s="423">
        <f t="shared" si="17"/>
        <v>0</v>
      </c>
      <c r="C57" s="626">
        <f t="shared" si="16"/>
        <v>0</v>
      </c>
      <c r="D57" s="1276">
        <v>0.25</v>
      </c>
      <c r="E57" s="422">
        <f>'数据-汇总表'!E12</f>
        <v>0</v>
      </c>
      <c r="F57" s="1273">
        <f t="shared" si="15"/>
        <v>0</v>
      </c>
      <c r="G57" s="1283" t="s">
        <v>408</v>
      </c>
      <c r="H57" s="1279">
        <f>IF(G57="商业",项目基本情况!B37,IF(G57="办公",项目基本情况!C37,IF(G57="住宅",项目基本情况!D37,项目基本情况!E37)))</f>
        <v>0</v>
      </c>
      <c r="I57" s="742">
        <f>SUMIF(修正!A57:A68,H57,修正!F57:F68)</f>
        <v>0</v>
      </c>
      <c r="J57" s="1349"/>
      <c r="K57" s="1259"/>
      <c r="L57" s="1348"/>
      <c r="M57" s="1348"/>
      <c r="N57" s="1348"/>
      <c r="O57" s="1348"/>
      <c r="P57" s="1348"/>
      <c r="Q57" s="1348"/>
      <c r="R57" s="1348"/>
      <c r="S57" s="1348"/>
      <c r="T57" s="1348"/>
      <c r="U57" s="1348"/>
      <c r="V57" s="1348"/>
      <c r="W57" s="1348"/>
      <c r="X57" s="1348"/>
      <c r="Y57" s="1348"/>
      <c r="Z57" s="1348"/>
      <c r="AA57" s="1348"/>
      <c r="AB57" s="1348"/>
      <c r="AC57" s="1348"/>
      <c r="AD57" s="1348"/>
      <c r="AE57" s="1348"/>
    </row>
    <row r="58" s="1131" customFormat="1" spans="1:31">
      <c r="A58" s="1275" t="s">
        <v>1675</v>
      </c>
      <c r="B58" s="423">
        <f t="shared" si="17"/>
        <v>0</v>
      </c>
      <c r="C58" s="626">
        <f t="shared" si="16"/>
        <v>0</v>
      </c>
      <c r="D58" s="1276">
        <v>0.25</v>
      </c>
      <c r="E58" s="422">
        <f>'数据-汇总表'!E13</f>
        <v>9659.3</v>
      </c>
      <c r="F58" s="1273">
        <f t="shared" si="15"/>
        <v>0</v>
      </c>
      <c r="G58" s="1283" t="s">
        <v>408</v>
      </c>
      <c r="H58" s="1279">
        <f>IF(G58="商业",项目基本情况!B37,IF(G58="办公",项目基本情况!C37,IF(G58="住宅",项目基本情况!D37,项目基本情况!E37)))</f>
        <v>0</v>
      </c>
      <c r="I58" s="742">
        <f>SUMIF(修正!A57:A68,H58,修正!G57:G68)</f>
        <v>0</v>
      </c>
      <c r="J58" s="1349"/>
      <c r="K58" s="1254"/>
      <c r="L58" s="1348"/>
      <c r="M58" s="1348"/>
      <c r="N58" s="1348"/>
      <c r="O58" s="1348"/>
      <c r="P58" s="1348"/>
      <c r="Q58" s="1348"/>
      <c r="R58" s="1348"/>
      <c r="S58" s="1348"/>
      <c r="T58" s="1348"/>
      <c r="U58" s="1348"/>
      <c r="V58" s="1348"/>
      <c r="W58" s="1348"/>
      <c r="X58" s="1348"/>
      <c r="Y58" s="1348"/>
      <c r="Z58" s="1348"/>
      <c r="AA58" s="1348"/>
      <c r="AB58" s="1348"/>
      <c r="AC58" s="1348"/>
      <c r="AD58" s="1348"/>
      <c r="AE58" s="1348"/>
    </row>
    <row r="59" s="1131" customFormat="1" spans="1:31">
      <c r="A59" s="1275" t="s">
        <v>1677</v>
      </c>
      <c r="B59" s="423">
        <f t="shared" si="17"/>
        <v>0</v>
      </c>
      <c r="C59" s="626">
        <f t="shared" si="16"/>
        <v>0</v>
      </c>
      <c r="D59" s="1276">
        <v>0.25</v>
      </c>
      <c r="E59" s="422">
        <f>'数据-汇总表'!E14</f>
        <v>0</v>
      </c>
      <c r="F59" s="1273">
        <f t="shared" si="15"/>
        <v>0</v>
      </c>
      <c r="G59" s="1282" t="s">
        <v>1668</v>
      </c>
      <c r="H59" s="1279">
        <f>项目基本情况!B37</f>
        <v>0</v>
      </c>
      <c r="I59" s="742">
        <f>SUMIF(修正!A57:A68,H59,修正!G57:G68)</f>
        <v>0</v>
      </c>
      <c r="J59" s="1349"/>
      <c r="K59" s="1259"/>
      <c r="L59" s="1348"/>
      <c r="M59" s="1348"/>
      <c r="N59" s="1348"/>
      <c r="O59" s="1348"/>
      <c r="P59" s="1348"/>
      <c r="Q59" s="1348"/>
      <c r="R59" s="1348"/>
      <c r="S59" s="1348"/>
      <c r="T59" s="1348"/>
      <c r="U59" s="1348"/>
      <c r="V59" s="1348"/>
      <c r="W59" s="1348"/>
      <c r="X59" s="1348"/>
      <c r="Y59" s="1348"/>
      <c r="Z59" s="1348"/>
      <c r="AA59" s="1348"/>
      <c r="AB59" s="1348"/>
      <c r="AC59" s="1348"/>
      <c r="AD59" s="1348"/>
      <c r="AE59" s="1348"/>
    </row>
    <row r="60" s="1131" customFormat="1" ht="14.75" spans="1:31">
      <c r="A60" s="1275" t="s">
        <v>1678</v>
      </c>
      <c r="B60" s="423">
        <f t="shared" si="17"/>
        <v>0</v>
      </c>
      <c r="C60" s="626">
        <f t="shared" si="16"/>
        <v>0</v>
      </c>
      <c r="D60" s="1276">
        <v>0.25</v>
      </c>
      <c r="E60" s="422">
        <f>'数据-汇总表'!E15</f>
        <v>0</v>
      </c>
      <c r="F60" s="1273">
        <f t="shared" si="15"/>
        <v>0</v>
      </c>
      <c r="G60" s="1284" t="s">
        <v>1672</v>
      </c>
      <c r="H60" s="1285">
        <f>项目基本情况!C37</f>
        <v>0</v>
      </c>
      <c r="I60" s="742">
        <f>SUMIF(修正!A57:A68,H60,修正!G57:G68)</f>
        <v>0</v>
      </c>
      <c r="J60" s="1349"/>
      <c r="K60" s="1254"/>
      <c r="L60" s="1348"/>
      <c r="M60" s="1348"/>
      <c r="N60" s="1348"/>
      <c r="O60" s="1348"/>
      <c r="P60" s="1348"/>
      <c r="Q60" s="1348"/>
      <c r="R60" s="1348"/>
      <c r="S60" s="1348"/>
      <c r="T60" s="1348"/>
      <c r="U60" s="1348"/>
      <c r="V60" s="1348"/>
      <c r="W60" s="1348"/>
      <c r="X60" s="1348"/>
      <c r="Y60" s="1348"/>
      <c r="Z60" s="1348"/>
      <c r="AA60" s="1348"/>
      <c r="AB60" s="1348"/>
      <c r="AC60" s="1348"/>
      <c r="AD60" s="1348"/>
      <c r="AE60" s="1348"/>
    </row>
    <row r="61" s="1131" customFormat="1" ht="14.75" spans="1:31">
      <c r="A61" s="1286" t="s">
        <v>1679</v>
      </c>
      <c r="B61" s="1287" t="s">
        <v>1680</v>
      </c>
      <c r="C61" s="1287" t="s">
        <v>1680</v>
      </c>
      <c r="D61" s="1287" t="s">
        <v>1680</v>
      </c>
      <c r="E61" s="1287">
        <f>IF(B41="楼面地价",SUM(E51:E60),'数据-汇总表'!D3)</f>
        <v>45754.18</v>
      </c>
      <c r="F61" s="1288">
        <f>IF(B41="楼面地价",SUM(F51:F60),ROUND(C43*E61/10000,0))</f>
        <v>2169</v>
      </c>
      <c r="G61" s="1289"/>
      <c r="H61" s="1289"/>
      <c r="I61" s="1289"/>
      <c r="J61" s="1289"/>
      <c r="K61" s="1342"/>
      <c r="L61" s="1348"/>
      <c r="M61" s="1348"/>
      <c r="N61" s="1348"/>
      <c r="O61" s="1348"/>
      <c r="P61" s="1348"/>
      <c r="Q61" s="1348"/>
      <c r="R61" s="1348"/>
      <c r="S61" s="1348"/>
      <c r="T61" s="1348"/>
      <c r="U61" s="1348"/>
      <c r="V61" s="1348"/>
      <c r="W61" s="1348"/>
      <c r="X61" s="1348"/>
      <c r="Y61" s="1348"/>
      <c r="Z61" s="1348"/>
      <c r="AA61" s="1348"/>
      <c r="AB61" s="1348"/>
      <c r="AC61" s="1348"/>
      <c r="AD61" s="1348"/>
      <c r="AE61" s="1348"/>
    </row>
    <row r="62" spans="1:31">
      <c r="A62" s="1290"/>
      <c r="B62" s="1291"/>
      <c r="C62" s="1292"/>
      <c r="D62" s="1290"/>
      <c r="E62" s="1290"/>
      <c r="F62" s="1290"/>
      <c r="G62" s="1290"/>
      <c r="H62" s="1290"/>
      <c r="I62" s="1290"/>
      <c r="J62" s="1290"/>
      <c r="K62" s="1350"/>
      <c r="L62" s="1351"/>
      <c r="M62" s="1290"/>
      <c r="N62" s="1290"/>
      <c r="O62" s="1290"/>
      <c r="P62" s="1254"/>
      <c r="Q62" s="1254"/>
      <c r="R62" s="1254"/>
      <c r="S62" s="1254"/>
      <c r="T62" s="1254"/>
      <c r="U62" s="1254"/>
      <c r="V62" s="1254"/>
      <c r="W62" s="1254"/>
      <c r="X62" s="1254"/>
      <c r="Y62" s="1254"/>
      <c r="Z62" s="1254"/>
      <c r="AA62" s="1254"/>
      <c r="AB62" s="1254"/>
      <c r="AC62" s="1254"/>
      <c r="AD62" s="1254"/>
      <c r="AE62" s="1254"/>
    </row>
    <row r="63" spans="1:31">
      <c r="A63" s="1290"/>
      <c r="B63" s="1291"/>
      <c r="C63" s="1293" t="str">
        <f>YEAR(C7)&amp;"-"&amp;MONTH(C7)&amp;"-1"</f>
        <v>2025-7-1</v>
      </c>
      <c r="D63" s="1293">
        <f>EDATE(C63,-3)</f>
        <v>45748</v>
      </c>
      <c r="E63" s="1293">
        <f>EDATE(D63,-3)</f>
        <v>45658</v>
      </c>
      <c r="F63" s="1293">
        <f t="shared" ref="F63:O63" si="18">EDATE(E63,-3)</f>
        <v>45566</v>
      </c>
      <c r="G63" s="1293">
        <f t="shared" si="18"/>
        <v>45474</v>
      </c>
      <c r="H63" s="1293">
        <f t="shared" si="18"/>
        <v>45383</v>
      </c>
      <c r="I63" s="1293">
        <f t="shared" si="18"/>
        <v>45292</v>
      </c>
      <c r="J63" s="1293">
        <f t="shared" si="18"/>
        <v>45200</v>
      </c>
      <c r="K63" s="1293">
        <f t="shared" si="18"/>
        <v>45108</v>
      </c>
      <c r="L63" s="1293">
        <f t="shared" si="18"/>
        <v>45017</v>
      </c>
      <c r="M63" s="1293">
        <f t="shared" si="18"/>
        <v>44927</v>
      </c>
      <c r="N63" s="1293">
        <f t="shared" si="18"/>
        <v>44835</v>
      </c>
      <c r="O63" s="1293">
        <f t="shared" si="18"/>
        <v>44743</v>
      </c>
      <c r="P63" s="1254"/>
      <c r="Q63" s="1254"/>
      <c r="R63" s="1254"/>
      <c r="S63" s="1254"/>
      <c r="T63" s="1254"/>
      <c r="U63" s="1254"/>
      <c r="V63" s="1254"/>
      <c r="W63" s="1254"/>
      <c r="X63" s="1254"/>
      <c r="Y63" s="1254"/>
      <c r="Z63" s="1254"/>
      <c r="AA63" s="1254"/>
      <c r="AB63" s="1254"/>
      <c r="AC63" s="1254"/>
      <c r="AD63" s="1254"/>
      <c r="AE63" s="1254"/>
    </row>
    <row r="64" ht="21.75" spans="1:31">
      <c r="A64" s="1294" t="s">
        <v>1081</v>
      </c>
      <c r="B64" s="1295"/>
      <c r="C64" s="1296"/>
      <c r="D64" s="1296"/>
      <c r="E64" s="1296"/>
      <c r="F64" s="1297"/>
      <c r="G64" s="1297"/>
      <c r="H64" s="1296"/>
      <c r="I64" s="1296"/>
      <c r="J64" s="1296"/>
      <c r="K64" s="1352"/>
      <c r="L64" s="1353"/>
      <c r="M64" s="1296"/>
      <c r="N64" s="1296"/>
      <c r="O64" s="1354"/>
      <c r="P64" s="1355"/>
      <c r="Q64" s="1380"/>
      <c r="R64" s="1254"/>
      <c r="S64" s="1254"/>
      <c r="T64" s="1254"/>
      <c r="U64" s="1254"/>
      <c r="V64" s="1254"/>
      <c r="W64" s="1254"/>
      <c r="X64" s="1254"/>
      <c r="Y64" s="1254"/>
      <c r="Z64" s="1254"/>
      <c r="AA64" s="1254"/>
      <c r="AB64" s="1254"/>
      <c r="AC64" s="1254"/>
      <c r="AD64" s="1254"/>
      <c r="AE64" s="1254"/>
    </row>
    <row r="65" s="1132" customFormat="1" spans="1:31">
      <c r="A65" s="1391" t="s">
        <v>1681</v>
      </c>
      <c r="B65" s="1392"/>
      <c r="C65" s="1393" t="str">
        <f>YEAR(C63)&amp;"-"&amp;ROUNDUP(MONTH(C63)/3,0)</f>
        <v>2025-3</v>
      </c>
      <c r="D65" s="1393" t="str">
        <f t="shared" ref="D65:O65" si="19">YEAR(D63)&amp;"-"&amp;ROUNDUP(MONTH(D63)/3,0)</f>
        <v>2025-2</v>
      </c>
      <c r="E65" s="1393" t="str">
        <f t="shared" si="19"/>
        <v>2025-1</v>
      </c>
      <c r="F65" s="1393" t="str">
        <f t="shared" si="19"/>
        <v>2024-4</v>
      </c>
      <c r="G65" s="1393" t="str">
        <f t="shared" si="19"/>
        <v>2024-3</v>
      </c>
      <c r="H65" s="1393" t="str">
        <f t="shared" si="19"/>
        <v>2024-2</v>
      </c>
      <c r="I65" s="1393" t="str">
        <f t="shared" si="19"/>
        <v>2024-1</v>
      </c>
      <c r="J65" s="1393" t="str">
        <f t="shared" si="19"/>
        <v>2023-4</v>
      </c>
      <c r="K65" s="1393" t="str">
        <f t="shared" si="19"/>
        <v>2023-3</v>
      </c>
      <c r="L65" s="1393" t="str">
        <f t="shared" si="19"/>
        <v>2023-2</v>
      </c>
      <c r="M65" s="1393" t="str">
        <f t="shared" si="19"/>
        <v>2023-1</v>
      </c>
      <c r="N65" s="1393" t="str">
        <f t="shared" si="19"/>
        <v>2022-4</v>
      </c>
      <c r="O65" s="1393" t="str">
        <f t="shared" si="19"/>
        <v>2022-3</v>
      </c>
      <c r="P65" s="1445"/>
      <c r="Q65" s="1501"/>
      <c r="R65" s="1501"/>
      <c r="S65" s="1501"/>
      <c r="T65" s="1501"/>
      <c r="U65" s="1501"/>
      <c r="V65" s="1501"/>
      <c r="W65" s="1501"/>
      <c r="X65" s="1501"/>
      <c r="Y65" s="1501"/>
      <c r="Z65" s="1501"/>
      <c r="AA65" s="1501"/>
      <c r="AB65" s="1501"/>
      <c r="AC65" s="1501"/>
      <c r="AD65" s="1501"/>
      <c r="AE65" s="1501"/>
    </row>
    <row r="66" s="1127" customFormat="1" ht="30.75" customHeight="1" spans="1:31">
      <c r="A66" s="1394" t="s">
        <v>1691</v>
      </c>
      <c r="B66" s="1395" t="str">
        <f>"北京市平均增长率"&amp;TEXT(基准地价修正!P28,"0.00%")</f>
        <v>北京市平均增长率0.00%</v>
      </c>
      <c r="C66" s="891">
        <v>100</v>
      </c>
      <c r="D66" s="1396">
        <v>100</v>
      </c>
      <c r="E66" s="1396">
        <v>100</v>
      </c>
      <c r="F66" s="1396">
        <v>100</v>
      </c>
      <c r="G66" s="1396">
        <v>100</v>
      </c>
      <c r="H66" s="1396">
        <v>100</v>
      </c>
      <c r="I66" s="1396"/>
      <c r="J66" s="1396"/>
      <c r="K66" s="1396"/>
      <c r="L66" s="1396"/>
      <c r="M66" s="1446"/>
      <c r="N66" s="1446"/>
      <c r="O66" s="1447"/>
      <c r="P66" s="1380"/>
      <c r="Q66" s="1502"/>
      <c r="R66" s="1502"/>
      <c r="S66" s="1502"/>
      <c r="T66" s="1502"/>
      <c r="U66" s="1502"/>
      <c r="V66" s="1502"/>
      <c r="W66" s="1502"/>
      <c r="X66" s="1502"/>
      <c r="Y66" s="1502"/>
      <c r="Z66" s="1502"/>
      <c r="AA66" s="1502"/>
      <c r="AB66" s="1502"/>
      <c r="AC66" s="1502"/>
      <c r="AD66" s="1502"/>
      <c r="AE66" s="1502"/>
    </row>
    <row r="67" s="1127" customFormat="1" ht="14.75" spans="1:31">
      <c r="A67" s="1397" t="s">
        <v>1082</v>
      </c>
      <c r="B67" s="1398"/>
      <c r="C67" s="1399"/>
      <c r="D67" s="1400"/>
      <c r="E67" s="1400"/>
      <c r="F67" s="1400"/>
      <c r="G67" s="1400"/>
      <c r="H67" s="1400"/>
      <c r="I67" s="1400"/>
      <c r="J67" s="1400"/>
      <c r="K67" s="1400"/>
      <c r="L67" s="1400"/>
      <c r="M67" s="1448"/>
      <c r="N67" s="1448"/>
      <c r="O67" s="1449"/>
      <c r="P67" s="1380"/>
      <c r="Q67" s="1380"/>
      <c r="R67" s="1502"/>
      <c r="S67" s="1502"/>
      <c r="T67" s="1502"/>
      <c r="U67" s="1502"/>
      <c r="V67" s="1502"/>
      <c r="W67" s="1502"/>
      <c r="X67" s="1502"/>
      <c r="Y67" s="1502"/>
      <c r="Z67" s="1502"/>
      <c r="AA67" s="1502"/>
      <c r="AB67" s="1502"/>
      <c r="AC67" s="1502"/>
      <c r="AD67" s="1502"/>
      <c r="AE67" s="1502"/>
    </row>
    <row r="68" s="1127" customFormat="1" spans="1:31">
      <c r="A68" s="1401" t="s">
        <v>1032</v>
      </c>
      <c r="B68" s="1402"/>
      <c r="C68" s="1403" t="s">
        <v>1083</v>
      </c>
      <c r="D68" s="1404"/>
      <c r="E68" s="1404"/>
      <c r="F68" s="1404"/>
      <c r="G68" s="1404"/>
      <c r="H68" s="1404"/>
      <c r="I68" s="1404"/>
      <c r="J68" s="1404"/>
      <c r="K68" s="1404"/>
      <c r="L68" s="1450"/>
      <c r="M68" s="1451"/>
      <c r="N68" s="1452"/>
      <c r="O68" s="1452"/>
      <c r="P68" s="1453"/>
      <c r="Q68" s="1380"/>
      <c r="R68" s="1502"/>
      <c r="S68" s="1502"/>
      <c r="T68" s="1502"/>
      <c r="U68" s="1502"/>
      <c r="V68" s="1502"/>
      <c r="W68" s="1502"/>
      <c r="X68" s="1502"/>
      <c r="Y68" s="1502"/>
      <c r="Z68" s="1502"/>
      <c r="AA68" s="1502"/>
      <c r="AB68" s="1502"/>
      <c r="AC68" s="1502"/>
      <c r="AD68" s="1502"/>
      <c r="AE68" s="1502"/>
    </row>
    <row r="69" s="1127" customFormat="1" ht="14.75" spans="1:31">
      <c r="A69" s="1401"/>
      <c r="B69" s="1402"/>
      <c r="C69" s="1405">
        <v>100</v>
      </c>
      <c r="D69" s="1406"/>
      <c r="E69" s="1406"/>
      <c r="F69" s="1406"/>
      <c r="G69" s="1406"/>
      <c r="H69" s="1406"/>
      <c r="I69" s="1406"/>
      <c r="J69" s="1406"/>
      <c r="K69" s="1406"/>
      <c r="L69" s="1406"/>
      <c r="M69" s="1454"/>
      <c r="N69" s="1452"/>
      <c r="O69" s="1452"/>
      <c r="P69" s="1380"/>
      <c r="Q69" s="1380"/>
      <c r="R69" s="1502"/>
      <c r="S69" s="1502"/>
      <c r="T69" s="1502"/>
      <c r="U69" s="1502"/>
      <c r="V69" s="1502"/>
      <c r="W69" s="1502"/>
      <c r="X69" s="1502"/>
      <c r="Y69" s="1502"/>
      <c r="Z69" s="1502"/>
      <c r="AA69" s="1502"/>
      <c r="AB69" s="1502"/>
      <c r="AC69" s="1502"/>
      <c r="AD69" s="1502"/>
      <c r="AE69" s="1502"/>
    </row>
    <row r="70" spans="1:31">
      <c r="A70" s="1407" t="s">
        <v>1084</v>
      </c>
      <c r="B70" s="1408" t="s">
        <v>1036</v>
      </c>
      <c r="C70" s="1335"/>
      <c r="D70" s="1335"/>
      <c r="E70" s="1335"/>
      <c r="F70" s="1335"/>
      <c r="G70" s="1335"/>
      <c r="H70" s="1335"/>
      <c r="I70" s="1335"/>
      <c r="J70" s="1335"/>
      <c r="K70" s="1455"/>
      <c r="L70" s="1456"/>
      <c r="M70" s="1457"/>
      <c r="N70" s="1458"/>
      <c r="O70" s="1458"/>
      <c r="P70" s="1459"/>
      <c r="Q70" s="1380"/>
      <c r="R70" s="1254"/>
      <c r="S70" s="1254"/>
      <c r="T70" s="1254"/>
      <c r="U70" s="1254"/>
      <c r="V70" s="1254"/>
      <c r="W70" s="1254"/>
      <c r="X70" s="1254"/>
      <c r="Y70" s="1254"/>
      <c r="Z70" s="1254"/>
      <c r="AA70" s="1254"/>
      <c r="AB70" s="1254"/>
      <c r="AC70" s="1254"/>
      <c r="AD70" s="1254"/>
      <c r="AE70" s="1254"/>
    </row>
    <row r="71" ht="14.75" spans="1:31">
      <c r="A71" s="1409"/>
      <c r="B71" s="1410"/>
      <c r="C71" s="1411"/>
      <c r="D71" s="1411"/>
      <c r="E71" s="1411"/>
      <c r="F71" s="1411"/>
      <c r="G71" s="1411"/>
      <c r="H71" s="1411"/>
      <c r="I71" s="1411"/>
      <c r="J71" s="1411"/>
      <c r="K71" s="1411"/>
      <c r="L71" s="1411"/>
      <c r="M71" s="1460"/>
      <c r="N71" s="1461"/>
      <c r="O71" s="1461"/>
      <c r="P71" s="1459"/>
      <c r="Q71" s="1380"/>
      <c r="R71" s="1254"/>
      <c r="S71" s="1254"/>
      <c r="T71" s="1254"/>
      <c r="U71" s="1254"/>
      <c r="V71" s="1254"/>
      <c r="W71" s="1254"/>
      <c r="X71" s="1254"/>
      <c r="Y71" s="1254"/>
      <c r="Z71" s="1254"/>
      <c r="AA71" s="1254"/>
      <c r="AB71" s="1254"/>
      <c r="AC71" s="1254"/>
      <c r="AD71" s="1254"/>
      <c r="AE71" s="1254"/>
    </row>
    <row r="72" ht="28.75" spans="1:31">
      <c r="A72" s="1409"/>
      <c r="B72" s="1412" t="s">
        <v>1039</v>
      </c>
      <c r="C72" s="1413"/>
      <c r="D72" s="1413"/>
      <c r="E72" s="1413"/>
      <c r="F72" s="1413"/>
      <c r="G72" s="1413"/>
      <c r="H72" s="1413"/>
      <c r="I72" s="1413"/>
      <c r="J72" s="1413"/>
      <c r="K72" s="1462"/>
      <c r="L72" s="1463"/>
      <c r="M72" s="1464"/>
      <c r="N72" s="1458"/>
      <c r="O72" s="1458"/>
      <c r="P72" s="1459"/>
      <c r="Q72" s="1380"/>
      <c r="R72" s="1254"/>
      <c r="S72" s="1254"/>
      <c r="T72" s="1254"/>
      <c r="U72" s="1254"/>
      <c r="V72" s="1254"/>
      <c r="W72" s="1254"/>
      <c r="X72" s="1254"/>
      <c r="Y72" s="1254"/>
      <c r="Z72" s="1254"/>
      <c r="AA72" s="1254"/>
      <c r="AB72" s="1254"/>
      <c r="AC72" s="1254"/>
      <c r="AD72" s="1254"/>
      <c r="AE72" s="1254"/>
    </row>
    <row r="73" ht="14.75" spans="1:31">
      <c r="A73" s="1409"/>
      <c r="B73" s="1414"/>
      <c r="C73" s="1415"/>
      <c r="D73" s="1415"/>
      <c r="E73" s="1415"/>
      <c r="F73" s="1415"/>
      <c r="G73" s="1415"/>
      <c r="H73" s="1415"/>
      <c r="I73" s="1415"/>
      <c r="J73" s="1415"/>
      <c r="K73" s="1415"/>
      <c r="L73" s="1415"/>
      <c r="M73" s="1465"/>
      <c r="N73" s="1461"/>
      <c r="O73" s="1461"/>
      <c r="P73" s="1459"/>
      <c r="Q73" s="1380"/>
      <c r="R73" s="1254"/>
      <c r="S73" s="1254"/>
      <c r="T73" s="1254"/>
      <c r="U73" s="1254"/>
      <c r="V73" s="1254"/>
      <c r="W73" s="1254"/>
      <c r="X73" s="1254"/>
      <c r="Y73" s="1254"/>
      <c r="Z73" s="1254"/>
      <c r="AA73" s="1254"/>
      <c r="AB73" s="1254"/>
      <c r="AC73" s="1254"/>
      <c r="AD73" s="1254"/>
      <c r="AE73" s="1254"/>
    </row>
    <row r="74" ht="14.75" spans="1:31">
      <c r="A74" s="1409"/>
      <c r="B74" s="1416" t="s">
        <v>1042</v>
      </c>
      <c r="C74" s="1417" t="str">
        <f>C75&amp;"（含）"&amp;"-"&amp;D75</f>
        <v>0（含）-1</v>
      </c>
      <c r="D74" s="1417" t="str">
        <f t="shared" ref="D74:L74" si="20">D75&amp;"（含）"&amp;"-"&amp;E75</f>
        <v>1（含）-2</v>
      </c>
      <c r="E74" s="1417" t="str">
        <f t="shared" si="20"/>
        <v>2（含）-3</v>
      </c>
      <c r="F74" s="1417" t="str">
        <f t="shared" si="20"/>
        <v>3（含）-</v>
      </c>
      <c r="G74" s="1417" t="str">
        <f t="shared" si="20"/>
        <v>（含）-</v>
      </c>
      <c r="H74" s="1417" t="str">
        <f t="shared" si="20"/>
        <v>（含）-</v>
      </c>
      <c r="I74" s="1417" t="str">
        <f t="shared" si="20"/>
        <v>（含）-</v>
      </c>
      <c r="J74" s="1417" t="str">
        <f t="shared" si="20"/>
        <v>（含）-</v>
      </c>
      <c r="K74" s="1417" t="str">
        <f t="shared" si="20"/>
        <v>（含）-</v>
      </c>
      <c r="L74" s="1417" t="str">
        <f t="shared" si="20"/>
        <v>（含）-</v>
      </c>
      <c r="M74" s="1202" t="str">
        <f>M75&amp;"（含）"&amp;"-"&amp;P75</f>
        <v>（含）-</v>
      </c>
      <c r="N74" s="1461"/>
      <c r="O74" s="1461"/>
      <c r="P74" s="1459"/>
      <c r="Q74" s="1380"/>
      <c r="R74" s="1254"/>
      <c r="S74" s="1254"/>
      <c r="T74" s="1254"/>
      <c r="U74" s="1254"/>
      <c r="V74" s="1254"/>
      <c r="W74" s="1254"/>
      <c r="X74" s="1254"/>
      <c r="Y74" s="1254"/>
      <c r="Z74" s="1254"/>
      <c r="AA74" s="1254"/>
      <c r="AB74" s="1254"/>
      <c r="AC74" s="1254"/>
      <c r="AD74" s="1254"/>
      <c r="AE74" s="1254"/>
    </row>
    <row r="75" spans="1:31">
      <c r="A75" s="1409"/>
      <c r="B75" s="1418"/>
      <c r="C75" s="1187">
        <v>0</v>
      </c>
      <c r="D75" s="1187">
        <v>1</v>
      </c>
      <c r="E75" s="1187">
        <v>2</v>
      </c>
      <c r="F75" s="1187">
        <v>3</v>
      </c>
      <c r="G75" s="1187"/>
      <c r="H75" s="1187"/>
      <c r="I75" s="1187"/>
      <c r="J75" s="1187"/>
      <c r="K75" s="1466"/>
      <c r="L75" s="1467"/>
      <c r="M75" s="1468"/>
      <c r="N75" s="1458"/>
      <c r="O75" s="1458"/>
      <c r="P75" s="1459"/>
      <c r="Q75" s="1380"/>
      <c r="R75" s="1254"/>
      <c r="S75" s="1254"/>
      <c r="T75" s="1254"/>
      <c r="U75" s="1254"/>
      <c r="V75" s="1254"/>
      <c r="W75" s="1254"/>
      <c r="X75" s="1254"/>
      <c r="Y75" s="1254"/>
      <c r="Z75" s="1254"/>
      <c r="AA75" s="1254"/>
      <c r="AB75" s="1254"/>
      <c r="AC75" s="1254"/>
      <c r="AD75" s="1254"/>
      <c r="AE75" s="1254"/>
    </row>
    <row r="76" ht="14.75" spans="1:31">
      <c r="A76" s="1409"/>
      <c r="B76" s="1410"/>
      <c r="C76" s="1415">
        <v>100</v>
      </c>
      <c r="D76" s="1415">
        <f>IF($B$41="单位面积地价",C76+$K11,C76-$K11)</f>
        <v>97</v>
      </c>
      <c r="E76" s="1415">
        <f t="shared" ref="E76:M76" si="21">IF($B$41="单位面积地价",D76+$K11,D76-$K11)</f>
        <v>94</v>
      </c>
      <c r="F76" s="1415">
        <f t="shared" si="21"/>
        <v>91</v>
      </c>
      <c r="G76" s="1415">
        <f t="shared" si="21"/>
        <v>88</v>
      </c>
      <c r="H76" s="1415">
        <f t="shared" si="21"/>
        <v>85</v>
      </c>
      <c r="I76" s="1415">
        <f t="shared" si="21"/>
        <v>82</v>
      </c>
      <c r="J76" s="1415">
        <f t="shared" si="21"/>
        <v>79</v>
      </c>
      <c r="K76" s="1415">
        <f t="shared" si="21"/>
        <v>76</v>
      </c>
      <c r="L76" s="1415">
        <f t="shared" si="21"/>
        <v>73</v>
      </c>
      <c r="M76" s="1415">
        <f t="shared" si="21"/>
        <v>70</v>
      </c>
      <c r="N76" s="1461"/>
      <c r="O76" s="1461"/>
      <c r="P76" s="1459"/>
      <c r="Q76" s="1380"/>
      <c r="R76" s="1254"/>
      <c r="S76" s="1254"/>
      <c r="T76" s="1254"/>
      <c r="U76" s="1254"/>
      <c r="V76" s="1254"/>
      <c r="W76" s="1254"/>
      <c r="X76" s="1254"/>
      <c r="Y76" s="1254"/>
      <c r="Z76" s="1254"/>
      <c r="AA76" s="1254"/>
      <c r="AB76" s="1254"/>
      <c r="AC76" s="1254"/>
      <c r="AD76" s="1254"/>
      <c r="AE76" s="1254"/>
    </row>
    <row r="77" s="1129" customFormat="1" ht="14.75" spans="1:31">
      <c r="A77" s="1419"/>
      <c r="B77" s="1412">
        <f>B12</f>
        <v>111</v>
      </c>
      <c r="C77" s="1420"/>
      <c r="D77" s="1420"/>
      <c r="E77" s="1420"/>
      <c r="F77" s="1420"/>
      <c r="G77" s="1420"/>
      <c r="H77" s="1421"/>
      <c r="I77" s="1421"/>
      <c r="J77" s="1421"/>
      <c r="K77" s="1421"/>
      <c r="L77" s="1469"/>
      <c r="M77" s="1470"/>
      <c r="N77" s="1471"/>
      <c r="O77" s="1471"/>
      <c r="P77" s="1472"/>
      <c r="Q77" s="1503"/>
      <c r="R77" s="1504"/>
      <c r="S77" s="1504"/>
      <c r="T77" s="1504"/>
      <c r="U77" s="1504"/>
      <c r="V77" s="1504"/>
      <c r="W77" s="1504"/>
      <c r="X77" s="1504"/>
      <c r="Y77" s="1504"/>
      <c r="Z77" s="1504"/>
      <c r="AA77" s="1504"/>
      <c r="AB77" s="1504"/>
      <c r="AC77" s="1504"/>
      <c r="AD77" s="1504"/>
      <c r="AE77" s="1504"/>
    </row>
    <row r="78" s="1129" customFormat="1" ht="14.75" spans="1:31">
      <c r="A78" s="1419"/>
      <c r="B78" s="1414"/>
      <c r="C78" s="1422"/>
      <c r="D78" s="1411"/>
      <c r="E78" s="1411"/>
      <c r="F78" s="1411"/>
      <c r="G78" s="1411"/>
      <c r="H78" s="1411"/>
      <c r="I78" s="1411"/>
      <c r="J78" s="1411"/>
      <c r="K78" s="1411"/>
      <c r="L78" s="1411"/>
      <c r="M78" s="1460"/>
      <c r="N78" s="1461"/>
      <c r="O78" s="1461"/>
      <c r="P78" s="1472"/>
      <c r="Q78" s="1503"/>
      <c r="R78" s="1504"/>
      <c r="S78" s="1504"/>
      <c r="T78" s="1504"/>
      <c r="U78" s="1504"/>
      <c r="V78" s="1504"/>
      <c r="W78" s="1504"/>
      <c r="X78" s="1504"/>
      <c r="Y78" s="1504"/>
      <c r="Z78" s="1504"/>
      <c r="AA78" s="1504"/>
      <c r="AB78" s="1504"/>
      <c r="AC78" s="1504"/>
      <c r="AD78" s="1504"/>
      <c r="AE78" s="1504"/>
    </row>
    <row r="79" s="1129" customFormat="1" ht="14.75" spans="1:31">
      <c r="A79" s="1419"/>
      <c r="B79" s="1412">
        <f>B13</f>
        <v>111</v>
      </c>
      <c r="C79" s="1420"/>
      <c r="D79" s="1420"/>
      <c r="E79" s="1420"/>
      <c r="F79" s="1420"/>
      <c r="G79" s="1420"/>
      <c r="H79" s="1421"/>
      <c r="I79" s="1421"/>
      <c r="J79" s="1421"/>
      <c r="K79" s="1421"/>
      <c r="L79" s="1469"/>
      <c r="M79" s="1470"/>
      <c r="N79" s="1471"/>
      <c r="O79" s="1471"/>
      <c r="P79" s="1332"/>
      <c r="Q79" s="1505"/>
      <c r="R79" s="1504"/>
      <c r="S79" s="1504"/>
      <c r="T79" s="1504"/>
      <c r="U79" s="1504"/>
      <c r="V79" s="1504"/>
      <c r="W79" s="1504"/>
      <c r="X79" s="1504"/>
      <c r="Y79" s="1504"/>
      <c r="Z79" s="1504"/>
      <c r="AA79" s="1504"/>
      <c r="AB79" s="1504"/>
      <c r="AC79" s="1504"/>
      <c r="AD79" s="1504"/>
      <c r="AE79" s="1504"/>
    </row>
    <row r="80" s="1129" customFormat="1" ht="14.75" spans="1:31">
      <c r="A80" s="1419"/>
      <c r="B80" s="1414"/>
      <c r="C80" s="1422"/>
      <c r="D80" s="1422"/>
      <c r="E80" s="1422"/>
      <c r="F80" s="1422"/>
      <c r="G80" s="1422"/>
      <c r="H80" s="1423"/>
      <c r="I80" s="1423"/>
      <c r="J80" s="1423"/>
      <c r="K80" s="1423"/>
      <c r="L80" s="1423"/>
      <c r="M80" s="1473"/>
      <c r="N80" s="1471"/>
      <c r="O80" s="1471"/>
      <c r="P80" s="1472"/>
      <c r="Q80" s="1503"/>
      <c r="R80" s="1504"/>
      <c r="S80" s="1504"/>
      <c r="T80" s="1504"/>
      <c r="U80" s="1504"/>
      <c r="V80" s="1504"/>
      <c r="W80" s="1504"/>
      <c r="X80" s="1504"/>
      <c r="Y80" s="1504"/>
      <c r="Z80" s="1504"/>
      <c r="AA80" s="1504"/>
      <c r="AB80" s="1504"/>
      <c r="AC80" s="1504"/>
      <c r="AD80" s="1504"/>
      <c r="AE80" s="1504"/>
    </row>
    <row r="81" s="1129" customFormat="1" ht="14.75" spans="1:31">
      <c r="A81" s="1419"/>
      <c r="B81" s="1416">
        <f>B14</f>
        <v>111</v>
      </c>
      <c r="C81" s="1404"/>
      <c r="D81" s="1404"/>
      <c r="E81" s="1404"/>
      <c r="F81" s="1404"/>
      <c r="G81" s="1404"/>
      <c r="H81" s="1424"/>
      <c r="I81" s="1424"/>
      <c r="J81" s="1424"/>
      <c r="K81" s="1424"/>
      <c r="L81" s="1474"/>
      <c r="M81" s="1475"/>
      <c r="N81" s="1471"/>
      <c r="O81" s="1471"/>
      <c r="P81" s="1476"/>
      <c r="Q81" s="1503"/>
      <c r="R81" s="1504"/>
      <c r="S81" s="1504"/>
      <c r="T81" s="1504"/>
      <c r="U81" s="1504"/>
      <c r="V81" s="1504"/>
      <c r="W81" s="1504"/>
      <c r="X81" s="1504"/>
      <c r="Y81" s="1504"/>
      <c r="Z81" s="1504"/>
      <c r="AA81" s="1504"/>
      <c r="AB81" s="1504"/>
      <c r="AC81" s="1504"/>
      <c r="AD81" s="1504"/>
      <c r="AE81" s="1504"/>
    </row>
    <row r="82" s="1129" customFormat="1" ht="14.75" spans="1:31">
      <c r="A82" s="1425"/>
      <c r="B82" s="1426"/>
      <c r="C82" s="1427"/>
      <c r="D82" s="1427"/>
      <c r="E82" s="1427"/>
      <c r="F82" s="1427"/>
      <c r="G82" s="1427"/>
      <c r="H82" s="1428"/>
      <c r="I82" s="1428"/>
      <c r="J82" s="1428"/>
      <c r="K82" s="1428"/>
      <c r="L82" s="1428"/>
      <c r="M82" s="1477"/>
      <c r="N82" s="1471"/>
      <c r="O82" s="1471"/>
      <c r="P82" s="1472"/>
      <c r="Q82" s="1503"/>
      <c r="R82" s="1504"/>
      <c r="S82" s="1504"/>
      <c r="T82" s="1504"/>
      <c r="U82" s="1504"/>
      <c r="V82" s="1504"/>
      <c r="W82" s="1504"/>
      <c r="X82" s="1504"/>
      <c r="Y82" s="1504"/>
      <c r="Z82" s="1504"/>
      <c r="AA82" s="1504"/>
      <c r="AB82" s="1504"/>
      <c r="AC82" s="1504"/>
      <c r="AD82" s="1504"/>
      <c r="AE82" s="1504"/>
    </row>
    <row r="83" spans="1:31">
      <c r="A83" s="1407" t="s">
        <v>1043</v>
      </c>
      <c r="B83" s="1408" t="s">
        <v>1624</v>
      </c>
      <c r="C83" s="1429" t="s">
        <v>1087</v>
      </c>
      <c r="D83" s="1429" t="s">
        <v>1088</v>
      </c>
      <c r="E83" s="1429" t="s">
        <v>1089</v>
      </c>
      <c r="F83" s="1429" t="s">
        <v>1090</v>
      </c>
      <c r="G83" s="1429" t="s">
        <v>1091</v>
      </c>
      <c r="H83" s="1430"/>
      <c r="I83" s="1430"/>
      <c r="J83" s="1430"/>
      <c r="K83" s="1478"/>
      <c r="L83" s="1479"/>
      <c r="M83" s="1480"/>
      <c r="N83" s="1458"/>
      <c r="O83" s="1458"/>
      <c r="P83" s="1481"/>
      <c r="Q83" s="1380"/>
      <c r="R83" s="1254"/>
      <c r="S83" s="1254"/>
      <c r="T83" s="1254"/>
      <c r="U83" s="1254"/>
      <c r="V83" s="1254"/>
      <c r="W83" s="1254"/>
      <c r="X83" s="1254"/>
      <c r="Y83" s="1254"/>
      <c r="Z83" s="1254"/>
      <c r="AA83" s="1254"/>
      <c r="AB83" s="1254"/>
      <c r="AC83" s="1254"/>
      <c r="AD83" s="1254"/>
      <c r="AE83" s="1254"/>
    </row>
    <row r="84" ht="14.75" spans="1:31">
      <c r="A84" s="1409"/>
      <c r="B84" s="1414"/>
      <c r="C84" s="1415">
        <v>100</v>
      </c>
      <c r="D84" s="1415">
        <f>C84-$K15</f>
        <v>98</v>
      </c>
      <c r="E84" s="1415">
        <f>D84-$K15</f>
        <v>96</v>
      </c>
      <c r="F84" s="1415">
        <f>E84-$K15</f>
        <v>94</v>
      </c>
      <c r="G84" s="1415">
        <f>F84-$K15</f>
        <v>92</v>
      </c>
      <c r="H84" s="1415"/>
      <c r="I84" s="1415"/>
      <c r="J84" s="1415"/>
      <c r="K84" s="1415"/>
      <c r="L84" s="1415"/>
      <c r="M84" s="1465"/>
      <c r="N84" s="1461"/>
      <c r="O84" s="1461"/>
      <c r="P84" s="1459"/>
      <c r="Q84" s="1380"/>
      <c r="R84" s="1254"/>
      <c r="S84" s="1254"/>
      <c r="T84" s="1254"/>
      <c r="U84" s="1254"/>
      <c r="V84" s="1254"/>
      <c r="W84" s="1254"/>
      <c r="X84" s="1254"/>
      <c r="Y84" s="1254"/>
      <c r="Z84" s="1254"/>
      <c r="AA84" s="1254"/>
      <c r="AB84" s="1254"/>
      <c r="AC84" s="1254"/>
      <c r="AD84" s="1254"/>
      <c r="AE84" s="1254"/>
    </row>
    <row r="85" ht="14.75" spans="1:31">
      <c r="A85" s="1409"/>
      <c r="B85" s="1412" t="s">
        <v>1048</v>
      </c>
      <c r="C85" s="1431" t="s">
        <v>1087</v>
      </c>
      <c r="D85" s="1431" t="s">
        <v>1088</v>
      </c>
      <c r="E85" s="1431" t="s">
        <v>1089</v>
      </c>
      <c r="F85" s="1431" t="s">
        <v>1090</v>
      </c>
      <c r="G85" s="1431" t="s">
        <v>1091</v>
      </c>
      <c r="H85" s="1413"/>
      <c r="I85" s="1413"/>
      <c r="J85" s="1413"/>
      <c r="K85" s="1462"/>
      <c r="L85" s="1463"/>
      <c r="M85" s="1464"/>
      <c r="N85" s="1458"/>
      <c r="O85" s="1458"/>
      <c r="P85" s="1459"/>
      <c r="Q85" s="1380"/>
      <c r="R85" s="1254"/>
      <c r="S85" s="1254"/>
      <c r="T85" s="1254"/>
      <c r="U85" s="1254"/>
      <c r="V85" s="1254"/>
      <c r="W85" s="1254"/>
      <c r="X85" s="1254"/>
      <c r="Y85" s="1254"/>
      <c r="Z85" s="1254"/>
      <c r="AA85" s="1254"/>
      <c r="AB85" s="1254"/>
      <c r="AC85" s="1254"/>
      <c r="AD85" s="1254"/>
      <c r="AE85" s="1254"/>
    </row>
    <row r="86" ht="14.75" spans="1:31">
      <c r="A86" s="1409"/>
      <c r="B86" s="1414"/>
      <c r="C86" s="1415">
        <v>100</v>
      </c>
      <c r="D86" s="1415">
        <f>C86-$K17</f>
        <v>98</v>
      </c>
      <c r="E86" s="1415">
        <f>D86-$K17</f>
        <v>96</v>
      </c>
      <c r="F86" s="1415">
        <f>E86-$K17</f>
        <v>94</v>
      </c>
      <c r="G86" s="1415">
        <f>F86-$K17</f>
        <v>92</v>
      </c>
      <c r="H86" s="1415"/>
      <c r="I86" s="1415"/>
      <c r="J86" s="1415"/>
      <c r="K86" s="1415"/>
      <c r="L86" s="1415"/>
      <c r="M86" s="1465"/>
      <c r="N86" s="1461"/>
      <c r="O86" s="1461"/>
      <c r="P86" s="1459"/>
      <c r="Q86" s="1380"/>
      <c r="R86" s="1254"/>
      <c r="S86" s="1254"/>
      <c r="T86" s="1254"/>
      <c r="U86" s="1254"/>
      <c r="V86" s="1254"/>
      <c r="W86" s="1254"/>
      <c r="X86" s="1254"/>
      <c r="Y86" s="1254"/>
      <c r="Z86" s="1254"/>
      <c r="AA86" s="1254"/>
      <c r="AB86" s="1254"/>
      <c r="AC86" s="1254"/>
      <c r="AD86" s="1254"/>
      <c r="AE86" s="1254"/>
    </row>
    <row r="87" s="1127" customFormat="1" ht="28.75" spans="1:31">
      <c r="A87" s="1432"/>
      <c r="B87" s="1412" t="s">
        <v>1647</v>
      </c>
      <c r="C87" s="1429" t="s">
        <v>1087</v>
      </c>
      <c r="D87" s="1429" t="s">
        <v>1088</v>
      </c>
      <c r="E87" s="1429" t="s">
        <v>1089</v>
      </c>
      <c r="F87" s="1429" t="s">
        <v>1090</v>
      </c>
      <c r="G87" s="1429" t="s">
        <v>1091</v>
      </c>
      <c r="H87" s="1431"/>
      <c r="I87" s="1431"/>
      <c r="J87" s="1431"/>
      <c r="K87" s="1431"/>
      <c r="L87" s="1482"/>
      <c r="M87" s="1483"/>
      <c r="N87" s="1452"/>
      <c r="O87" s="1452"/>
      <c r="P87" s="1459"/>
      <c r="Q87" s="1380"/>
      <c r="R87" s="1502"/>
      <c r="S87" s="1502"/>
      <c r="T87" s="1502"/>
      <c r="U87" s="1502"/>
      <c r="V87" s="1502"/>
      <c r="W87" s="1502"/>
      <c r="X87" s="1502"/>
      <c r="Y87" s="1502"/>
      <c r="Z87" s="1502"/>
      <c r="AA87" s="1502"/>
      <c r="AB87" s="1502"/>
      <c r="AC87" s="1502"/>
      <c r="AD87" s="1502"/>
      <c r="AE87" s="1502"/>
    </row>
    <row r="88" s="1127" customFormat="1" ht="14.75" spans="1:31">
      <c r="A88" s="1432"/>
      <c r="B88" s="1414"/>
      <c r="C88" s="1433">
        <v>100</v>
      </c>
      <c r="D88" s="1415">
        <f>C88-$K19</f>
        <v>98</v>
      </c>
      <c r="E88" s="1415">
        <f>D88-$K19</f>
        <v>96</v>
      </c>
      <c r="F88" s="1415">
        <f>E88-$K19</f>
        <v>94</v>
      </c>
      <c r="G88" s="1415">
        <f>F88-$K19</f>
        <v>92</v>
      </c>
      <c r="H88" s="1415"/>
      <c r="I88" s="1415"/>
      <c r="J88" s="1415"/>
      <c r="K88" s="1415"/>
      <c r="L88" s="1415"/>
      <c r="M88" s="1465"/>
      <c r="N88" s="1461"/>
      <c r="O88" s="1461"/>
      <c r="P88" s="1459"/>
      <c r="Q88" s="1380"/>
      <c r="R88" s="1502"/>
      <c r="S88" s="1502"/>
      <c r="T88" s="1502"/>
      <c r="U88" s="1502"/>
      <c r="V88" s="1502"/>
      <c r="W88" s="1502"/>
      <c r="X88" s="1502"/>
      <c r="Y88" s="1502"/>
      <c r="Z88" s="1502"/>
      <c r="AA88" s="1502"/>
      <c r="AB88" s="1502"/>
      <c r="AC88" s="1502"/>
      <c r="AD88" s="1502"/>
      <c r="AE88" s="1502"/>
    </row>
    <row r="89" s="1127" customFormat="1" ht="28.75" spans="1:31">
      <c r="A89" s="1432"/>
      <c r="B89" s="1412" t="s">
        <v>1648</v>
      </c>
      <c r="C89" s="1429" t="s">
        <v>1087</v>
      </c>
      <c r="D89" s="1429" t="s">
        <v>1088</v>
      </c>
      <c r="E89" s="1429" t="s">
        <v>1089</v>
      </c>
      <c r="F89" s="1429" t="s">
        <v>1090</v>
      </c>
      <c r="G89" s="1429" t="s">
        <v>1091</v>
      </c>
      <c r="H89" s="1431"/>
      <c r="I89" s="1431"/>
      <c r="J89" s="1431"/>
      <c r="K89" s="1431"/>
      <c r="L89" s="1431"/>
      <c r="M89" s="1483"/>
      <c r="N89" s="1452"/>
      <c r="O89" s="1452"/>
      <c r="P89" s="1459"/>
      <c r="Q89" s="1380"/>
      <c r="R89" s="1502"/>
      <c r="S89" s="1502"/>
      <c r="T89" s="1502"/>
      <c r="U89" s="1502"/>
      <c r="V89" s="1502"/>
      <c r="W89" s="1502"/>
      <c r="X89" s="1502"/>
      <c r="Y89" s="1502"/>
      <c r="Z89" s="1502"/>
      <c r="AA89" s="1502"/>
      <c r="AB89" s="1502"/>
      <c r="AC89" s="1502"/>
      <c r="AD89" s="1502"/>
      <c r="AE89" s="1502"/>
    </row>
    <row r="90" s="1127" customFormat="1" ht="14.75" spans="1:31">
      <c r="A90" s="1432"/>
      <c r="B90" s="1414"/>
      <c r="C90" s="1415">
        <v>100</v>
      </c>
      <c r="D90" s="1415">
        <f>C90-$K21</f>
        <v>98</v>
      </c>
      <c r="E90" s="1415">
        <f>D90-$K21</f>
        <v>96</v>
      </c>
      <c r="F90" s="1415">
        <f>E90-$K21</f>
        <v>94</v>
      </c>
      <c r="G90" s="1415">
        <f>F90-$K21</f>
        <v>92</v>
      </c>
      <c r="H90" s="1415"/>
      <c r="I90" s="1415"/>
      <c r="J90" s="1415"/>
      <c r="K90" s="1415"/>
      <c r="L90" s="1415"/>
      <c r="M90" s="1465"/>
      <c r="N90" s="1461"/>
      <c r="O90" s="1461"/>
      <c r="P90" s="1459"/>
      <c r="Q90" s="1380"/>
      <c r="R90" s="1502"/>
      <c r="S90" s="1502"/>
      <c r="T90" s="1502"/>
      <c r="U90" s="1502"/>
      <c r="V90" s="1502"/>
      <c r="W90" s="1502"/>
      <c r="X90" s="1502"/>
      <c r="Y90" s="1502"/>
      <c r="Z90" s="1502"/>
      <c r="AA90" s="1502"/>
      <c r="AB90" s="1502"/>
      <c r="AC90" s="1502"/>
      <c r="AD90" s="1502"/>
      <c r="AE90" s="1502"/>
    </row>
    <row r="91" s="1129" customFormat="1" ht="14.75" spans="1:31">
      <c r="A91" s="1419"/>
      <c r="B91" s="1412" t="s">
        <v>1049</v>
      </c>
      <c r="C91" s="1429" t="s">
        <v>1087</v>
      </c>
      <c r="D91" s="1429" t="s">
        <v>1088</v>
      </c>
      <c r="E91" s="1429" t="s">
        <v>1089</v>
      </c>
      <c r="F91" s="1429" t="s">
        <v>1090</v>
      </c>
      <c r="G91" s="1429" t="s">
        <v>1091</v>
      </c>
      <c r="H91" s="1434"/>
      <c r="I91" s="1434"/>
      <c r="J91" s="1434"/>
      <c r="K91" s="1434"/>
      <c r="L91" s="1484"/>
      <c r="M91" s="1485"/>
      <c r="N91" s="1471"/>
      <c r="O91" s="1471"/>
      <c r="P91" s="1472"/>
      <c r="Q91" s="1503"/>
      <c r="R91" s="1504"/>
      <c r="S91" s="1504"/>
      <c r="T91" s="1504"/>
      <c r="U91" s="1504"/>
      <c r="V91" s="1504"/>
      <c r="W91" s="1504"/>
      <c r="X91" s="1504"/>
      <c r="Y91" s="1504"/>
      <c r="Z91" s="1504"/>
      <c r="AA91" s="1504"/>
      <c r="AB91" s="1504"/>
      <c r="AC91" s="1504"/>
      <c r="AD91" s="1504"/>
      <c r="AE91" s="1504"/>
    </row>
    <row r="92" s="1129" customFormat="1" ht="14.75" spans="1:31">
      <c r="A92" s="1419"/>
      <c r="B92" s="1414"/>
      <c r="C92" s="1415">
        <v>100</v>
      </c>
      <c r="D92" s="1415">
        <f>C92-$K23</f>
        <v>98</v>
      </c>
      <c r="E92" s="1415">
        <f>D92-$K23</f>
        <v>96</v>
      </c>
      <c r="F92" s="1415">
        <f>E92-$K23</f>
        <v>94</v>
      </c>
      <c r="G92" s="1415">
        <f>F92-$K23</f>
        <v>92</v>
      </c>
      <c r="H92" s="1435"/>
      <c r="I92" s="1435"/>
      <c r="J92" s="1435"/>
      <c r="K92" s="1435"/>
      <c r="L92" s="1435"/>
      <c r="M92" s="1486"/>
      <c r="N92" s="1471"/>
      <c r="O92" s="1471"/>
      <c r="P92" s="1472"/>
      <c r="Q92" s="1503"/>
      <c r="R92" s="1504"/>
      <c r="S92" s="1504"/>
      <c r="T92" s="1504"/>
      <c r="U92" s="1504"/>
      <c r="V92" s="1504"/>
      <c r="W92" s="1504"/>
      <c r="X92" s="1504"/>
      <c r="Y92" s="1504"/>
      <c r="Z92" s="1504"/>
      <c r="AA92" s="1504"/>
      <c r="AB92" s="1504"/>
      <c r="AC92" s="1504"/>
      <c r="AD92" s="1504"/>
      <c r="AE92" s="1504"/>
    </row>
    <row r="93" s="1129" customFormat="1" ht="14.75" spans="1:31">
      <c r="A93" s="1419"/>
      <c r="B93" s="1416" t="s">
        <v>1050</v>
      </c>
      <c r="C93" s="1436" t="s">
        <v>1092</v>
      </c>
      <c r="D93" s="1436" t="s">
        <v>1093</v>
      </c>
      <c r="E93" s="1436" t="s">
        <v>1094</v>
      </c>
      <c r="F93" s="1436" t="s">
        <v>1095</v>
      </c>
      <c r="G93" s="1436" t="s">
        <v>1096</v>
      </c>
      <c r="H93" s="1434"/>
      <c r="I93" s="1434"/>
      <c r="J93" s="1434"/>
      <c r="K93" s="1434"/>
      <c r="L93" s="1434"/>
      <c r="M93" s="1485"/>
      <c r="N93" s="1471"/>
      <c r="O93" s="1471"/>
      <c r="P93" s="1472"/>
      <c r="Q93" s="1503"/>
      <c r="R93" s="1504"/>
      <c r="S93" s="1504"/>
      <c r="T93" s="1504"/>
      <c r="U93" s="1504"/>
      <c r="V93" s="1504"/>
      <c r="W93" s="1504"/>
      <c r="X93" s="1504"/>
      <c r="Y93" s="1504"/>
      <c r="Z93" s="1504"/>
      <c r="AA93" s="1504"/>
      <c r="AB93" s="1504"/>
      <c r="AC93" s="1504"/>
      <c r="AD93" s="1504"/>
      <c r="AE93" s="1504"/>
    </row>
    <row r="94" s="1129" customFormat="1" ht="14.75" spans="1:31">
      <c r="A94" s="1419"/>
      <c r="B94" s="1416"/>
      <c r="C94" s="1415">
        <v>100</v>
      </c>
      <c r="D94" s="1415">
        <f>C94-$K25</f>
        <v>98</v>
      </c>
      <c r="E94" s="1415">
        <f>D94-$K25</f>
        <v>96</v>
      </c>
      <c r="F94" s="1415">
        <f>E94-$K25</f>
        <v>94</v>
      </c>
      <c r="G94" s="1415">
        <f>F94-$K25</f>
        <v>92</v>
      </c>
      <c r="H94" s="1418"/>
      <c r="I94" s="1418"/>
      <c r="J94" s="1418"/>
      <c r="K94" s="1418"/>
      <c r="L94" s="1418"/>
      <c r="M94" s="1487"/>
      <c r="N94" s="1471"/>
      <c r="O94" s="1471"/>
      <c r="P94" s="1472"/>
      <c r="Q94" s="1503"/>
      <c r="R94" s="1504"/>
      <c r="S94" s="1504"/>
      <c r="T94" s="1504"/>
      <c r="U94" s="1504"/>
      <c r="V94" s="1504"/>
      <c r="W94" s="1504"/>
      <c r="X94" s="1504"/>
      <c r="Y94" s="1504"/>
      <c r="Z94" s="1504"/>
      <c r="AA94" s="1504"/>
      <c r="AB94" s="1504"/>
      <c r="AC94" s="1504"/>
      <c r="AD94" s="1504"/>
      <c r="AE94" s="1504"/>
    </row>
    <row r="95" ht="14.75" spans="1:31">
      <c r="A95" s="1409"/>
      <c r="B95" s="1412" t="str">
        <f>B27</f>
        <v>临街状况</v>
      </c>
      <c r="C95" s="1413" t="s">
        <v>1683</v>
      </c>
      <c r="D95" s="1413" t="s">
        <v>1684</v>
      </c>
      <c r="E95" s="1413" t="s">
        <v>1685</v>
      </c>
      <c r="F95" s="1413" t="s">
        <v>1686</v>
      </c>
      <c r="G95" s="1413"/>
      <c r="H95" s="1413"/>
      <c r="I95" s="1413"/>
      <c r="J95" s="1413"/>
      <c r="K95" s="1462"/>
      <c r="L95" s="1463"/>
      <c r="M95" s="1464"/>
      <c r="N95" s="1458"/>
      <c r="O95" s="1458"/>
      <c r="P95" s="1459"/>
      <c r="Q95" s="1380"/>
      <c r="R95" s="1254"/>
      <c r="S95" s="1254"/>
      <c r="T95" s="1254"/>
      <c r="U95" s="1254"/>
      <c r="V95" s="1254"/>
      <c r="W95" s="1254"/>
      <c r="X95" s="1254"/>
      <c r="Y95" s="1254"/>
      <c r="Z95" s="1254"/>
      <c r="AA95" s="1254"/>
      <c r="AB95" s="1254"/>
      <c r="AC95" s="1254"/>
      <c r="AD95" s="1254"/>
      <c r="AE95" s="1254"/>
    </row>
    <row r="96" ht="14.75" spans="1:31">
      <c r="A96" s="1409"/>
      <c r="B96" s="1414"/>
      <c r="C96" s="1415">
        <v>100</v>
      </c>
      <c r="D96" s="1415">
        <f t="shared" ref="D96:M96" si="22">C96-$K27</f>
        <v>100</v>
      </c>
      <c r="E96" s="1415">
        <f t="shared" si="22"/>
        <v>100</v>
      </c>
      <c r="F96" s="1415">
        <f t="shared" si="22"/>
        <v>100</v>
      </c>
      <c r="G96" s="1415">
        <f t="shared" si="22"/>
        <v>100</v>
      </c>
      <c r="H96" s="1415">
        <f t="shared" si="22"/>
        <v>100</v>
      </c>
      <c r="I96" s="1415">
        <f t="shared" si="22"/>
        <v>100</v>
      </c>
      <c r="J96" s="1415">
        <f t="shared" si="22"/>
        <v>100</v>
      </c>
      <c r="K96" s="1415">
        <f t="shared" si="22"/>
        <v>100</v>
      </c>
      <c r="L96" s="1415">
        <f t="shared" si="22"/>
        <v>100</v>
      </c>
      <c r="M96" s="1415">
        <f t="shared" si="22"/>
        <v>100</v>
      </c>
      <c r="N96" s="1461"/>
      <c r="O96" s="1461"/>
      <c r="P96" s="1459"/>
      <c r="Q96" s="1380"/>
      <c r="R96" s="1254"/>
      <c r="S96" s="1254"/>
      <c r="T96" s="1254"/>
      <c r="U96" s="1254"/>
      <c r="V96" s="1254"/>
      <c r="W96" s="1254"/>
      <c r="X96" s="1254"/>
      <c r="Y96" s="1254"/>
      <c r="Z96" s="1254"/>
      <c r="AA96" s="1254"/>
      <c r="AB96" s="1254"/>
      <c r="AC96" s="1254"/>
      <c r="AD96" s="1254"/>
      <c r="AE96" s="1254"/>
    </row>
    <row r="97" ht="28.75" spans="1:31">
      <c r="A97" s="1409"/>
      <c r="B97" s="1412" t="s">
        <v>1619</v>
      </c>
      <c r="C97" s="1420"/>
      <c r="D97" s="1420"/>
      <c r="E97" s="1420"/>
      <c r="F97" s="1420"/>
      <c r="G97" s="1420"/>
      <c r="H97" s="1437"/>
      <c r="I97" s="1437"/>
      <c r="J97" s="1437"/>
      <c r="K97" s="1488"/>
      <c r="L97" s="1489"/>
      <c r="M97" s="1490"/>
      <c r="N97" s="1458"/>
      <c r="O97" s="1458"/>
      <c r="P97" s="1459"/>
      <c r="Q97" s="1380"/>
      <c r="R97" s="1254"/>
      <c r="S97" s="1254"/>
      <c r="T97" s="1254"/>
      <c r="U97" s="1254"/>
      <c r="V97" s="1254"/>
      <c r="W97" s="1254"/>
      <c r="X97" s="1254"/>
      <c r="Y97" s="1254"/>
      <c r="Z97" s="1254"/>
      <c r="AA97" s="1254"/>
      <c r="AB97" s="1254"/>
      <c r="AC97" s="1254"/>
      <c r="AD97" s="1254"/>
      <c r="AE97" s="1254"/>
    </row>
    <row r="98" ht="14.75" spans="1:31">
      <c r="A98" s="1409"/>
      <c r="B98" s="1414"/>
      <c r="C98" s="1415">
        <v>100</v>
      </c>
      <c r="D98" s="1415">
        <f t="shared" ref="D98:M98" si="23">C98-$K28</f>
        <v>100</v>
      </c>
      <c r="E98" s="1415">
        <f t="shared" si="23"/>
        <v>100</v>
      </c>
      <c r="F98" s="1415">
        <f t="shared" si="23"/>
        <v>100</v>
      </c>
      <c r="G98" s="1415">
        <f t="shared" si="23"/>
        <v>100</v>
      </c>
      <c r="H98" s="1415">
        <f t="shared" si="23"/>
        <v>100</v>
      </c>
      <c r="I98" s="1415">
        <f t="shared" si="23"/>
        <v>100</v>
      </c>
      <c r="J98" s="1415">
        <f t="shared" si="23"/>
        <v>100</v>
      </c>
      <c r="K98" s="1415">
        <f t="shared" si="23"/>
        <v>100</v>
      </c>
      <c r="L98" s="1415">
        <f t="shared" si="23"/>
        <v>100</v>
      </c>
      <c r="M98" s="1415">
        <f t="shared" si="23"/>
        <v>100</v>
      </c>
      <c r="N98" s="1461"/>
      <c r="O98" s="1461"/>
      <c r="P98" s="1459"/>
      <c r="Q98" s="1380"/>
      <c r="R98" s="1254"/>
      <c r="S98" s="1254"/>
      <c r="T98" s="1254"/>
      <c r="U98" s="1254"/>
      <c r="V98" s="1254"/>
      <c r="W98" s="1254"/>
      <c r="X98" s="1254"/>
      <c r="Y98" s="1254"/>
      <c r="Z98" s="1254"/>
      <c r="AA98" s="1254"/>
      <c r="AB98" s="1254"/>
      <c r="AC98" s="1254"/>
      <c r="AD98" s="1254"/>
      <c r="AE98" s="1254"/>
    </row>
    <row r="99" ht="14.75" spans="1:31">
      <c r="A99" s="1409"/>
      <c r="B99" s="1412" t="s">
        <v>1649</v>
      </c>
      <c r="C99" s="1437"/>
      <c r="D99" s="1437"/>
      <c r="E99" s="1437"/>
      <c r="F99" s="1437"/>
      <c r="G99" s="1437"/>
      <c r="H99" s="1437"/>
      <c r="I99" s="1437"/>
      <c r="J99" s="1437"/>
      <c r="K99" s="1488"/>
      <c r="L99" s="1489"/>
      <c r="M99" s="1490"/>
      <c r="N99" s="1458"/>
      <c r="O99" s="1458"/>
      <c r="P99" s="1459"/>
      <c r="Q99" s="1380"/>
      <c r="R99" s="1254"/>
      <c r="S99" s="1254"/>
      <c r="T99" s="1254"/>
      <c r="U99" s="1254"/>
      <c r="V99" s="1254"/>
      <c r="W99" s="1254"/>
      <c r="X99" s="1254"/>
      <c r="Y99" s="1254"/>
      <c r="Z99" s="1254"/>
      <c r="AA99" s="1254"/>
      <c r="AB99" s="1254"/>
      <c r="AC99" s="1254"/>
      <c r="AD99" s="1254"/>
      <c r="AE99" s="1254"/>
    </row>
    <row r="100" ht="14.75" spans="1:31">
      <c r="A100" s="1409"/>
      <c r="B100" s="1414"/>
      <c r="C100" s="1415">
        <v>100</v>
      </c>
      <c r="D100" s="1415">
        <f t="shared" ref="D100:M100" si="24">C100-$K30</f>
        <v>100</v>
      </c>
      <c r="E100" s="1415">
        <f t="shared" si="24"/>
        <v>100</v>
      </c>
      <c r="F100" s="1415">
        <f t="shared" si="24"/>
        <v>100</v>
      </c>
      <c r="G100" s="1415">
        <f t="shared" si="24"/>
        <v>100</v>
      </c>
      <c r="H100" s="1415">
        <f t="shared" si="24"/>
        <v>100</v>
      </c>
      <c r="I100" s="1415">
        <f t="shared" si="24"/>
        <v>100</v>
      </c>
      <c r="J100" s="1415">
        <f t="shared" si="24"/>
        <v>100</v>
      </c>
      <c r="K100" s="1415">
        <f t="shared" si="24"/>
        <v>100</v>
      </c>
      <c r="L100" s="1415">
        <f t="shared" si="24"/>
        <v>100</v>
      </c>
      <c r="M100" s="1415">
        <f t="shared" si="24"/>
        <v>100</v>
      </c>
      <c r="N100" s="1461"/>
      <c r="O100" s="1461"/>
      <c r="P100" s="1459"/>
      <c r="Q100" s="1380"/>
      <c r="R100" s="1254"/>
      <c r="S100" s="1254"/>
      <c r="T100" s="1254"/>
      <c r="U100" s="1254"/>
      <c r="V100" s="1254"/>
      <c r="W100" s="1254"/>
      <c r="X100" s="1254"/>
      <c r="Y100" s="1254"/>
      <c r="Z100" s="1254"/>
      <c r="AA100" s="1254"/>
      <c r="AB100" s="1254"/>
      <c r="AC100" s="1254"/>
      <c r="AD100" s="1254"/>
      <c r="AE100" s="1254"/>
    </row>
    <row r="101" ht="14.75" spans="1:31">
      <c r="A101" s="1409"/>
      <c r="B101" s="1416">
        <f>B31</f>
        <v>111</v>
      </c>
      <c r="C101" s="1420"/>
      <c r="D101" s="1420"/>
      <c r="E101" s="1420"/>
      <c r="F101" s="1420"/>
      <c r="G101" s="1438"/>
      <c r="H101" s="1438"/>
      <c r="I101" s="1438"/>
      <c r="J101" s="1438"/>
      <c r="K101" s="1491"/>
      <c r="L101" s="1492"/>
      <c r="M101" s="1493"/>
      <c r="N101" s="1458"/>
      <c r="O101" s="1458"/>
      <c r="P101" s="1459"/>
      <c r="Q101" s="1380"/>
      <c r="R101" s="1254"/>
      <c r="S101" s="1254"/>
      <c r="T101" s="1254"/>
      <c r="U101" s="1254"/>
      <c r="V101" s="1254"/>
      <c r="W101" s="1254"/>
      <c r="X101" s="1254"/>
      <c r="Y101" s="1254"/>
      <c r="Z101" s="1254"/>
      <c r="AA101" s="1254"/>
      <c r="AB101" s="1254"/>
      <c r="AC101" s="1254"/>
      <c r="AD101" s="1254"/>
      <c r="AE101" s="1254"/>
    </row>
    <row r="102" ht="14.75" spans="1:31">
      <c r="A102" s="1409"/>
      <c r="B102" s="1426"/>
      <c r="C102" s="1422"/>
      <c r="D102" s="1411"/>
      <c r="E102" s="1411"/>
      <c r="F102" s="1411"/>
      <c r="G102" s="1439"/>
      <c r="H102" s="1439"/>
      <c r="I102" s="1439"/>
      <c r="J102" s="1439"/>
      <c r="K102" s="1439"/>
      <c r="L102" s="1439"/>
      <c r="M102" s="1494"/>
      <c r="N102" s="1461"/>
      <c r="O102" s="1461"/>
      <c r="P102" s="1459"/>
      <c r="Q102" s="1380"/>
      <c r="R102" s="1254"/>
      <c r="S102" s="1254"/>
      <c r="T102" s="1254"/>
      <c r="U102" s="1254"/>
      <c r="V102" s="1254"/>
      <c r="W102" s="1254"/>
      <c r="X102" s="1254"/>
      <c r="Y102" s="1254"/>
      <c r="Z102" s="1254"/>
      <c r="AA102" s="1254"/>
      <c r="AB102" s="1254"/>
      <c r="AC102" s="1254"/>
      <c r="AD102" s="1254"/>
      <c r="AE102" s="1254"/>
    </row>
    <row r="103" ht="14.75" spans="1:31">
      <c r="A103" s="1220"/>
      <c r="B103" s="1412">
        <f>B32</f>
        <v>111</v>
      </c>
      <c r="C103" s="1420"/>
      <c r="D103" s="1420"/>
      <c r="E103" s="1420"/>
      <c r="F103" s="1420"/>
      <c r="G103" s="1437"/>
      <c r="H103" s="1437"/>
      <c r="I103" s="1437"/>
      <c r="J103" s="1437"/>
      <c r="K103" s="1488"/>
      <c r="L103" s="1489"/>
      <c r="M103" s="1490"/>
      <c r="N103" s="1458"/>
      <c r="O103" s="1458"/>
      <c r="P103" s="1459"/>
      <c r="Q103" s="1380"/>
      <c r="R103" s="1254"/>
      <c r="S103" s="1254"/>
      <c r="T103" s="1254"/>
      <c r="U103" s="1254"/>
      <c r="V103" s="1254"/>
      <c r="W103" s="1254"/>
      <c r="X103" s="1254"/>
      <c r="Y103" s="1254"/>
      <c r="Z103" s="1254"/>
      <c r="AA103" s="1254"/>
      <c r="AB103" s="1254"/>
      <c r="AC103" s="1254"/>
      <c r="AD103" s="1254"/>
      <c r="AE103" s="1254"/>
    </row>
    <row r="104" ht="14.75" spans="1:31">
      <c r="A104" s="1409"/>
      <c r="B104" s="1414"/>
      <c r="C104" s="1422"/>
      <c r="D104" s="1422"/>
      <c r="E104" s="1422"/>
      <c r="F104" s="1422"/>
      <c r="G104" s="1411"/>
      <c r="H104" s="1411"/>
      <c r="I104" s="1411"/>
      <c r="J104" s="1411"/>
      <c r="K104" s="1411"/>
      <c r="L104" s="1411"/>
      <c r="M104" s="1460"/>
      <c r="N104" s="1461"/>
      <c r="O104" s="1461"/>
      <c r="P104" s="1459"/>
      <c r="Q104" s="1380"/>
      <c r="R104" s="1254"/>
      <c r="S104" s="1254"/>
      <c r="T104" s="1254"/>
      <c r="U104" s="1254"/>
      <c r="V104" s="1254"/>
      <c r="W104" s="1254"/>
      <c r="X104" s="1254"/>
      <c r="Y104" s="1254"/>
      <c r="Z104" s="1254"/>
      <c r="AA104" s="1254"/>
      <c r="AB104" s="1254"/>
      <c r="AC104" s="1254"/>
      <c r="AD104" s="1254"/>
      <c r="AE104" s="1254"/>
    </row>
    <row r="105" s="1129" customFormat="1" ht="14.75" spans="1:31">
      <c r="A105" s="1440"/>
      <c r="B105" s="1441">
        <f>B33</f>
        <v>111</v>
      </c>
      <c r="C105" s="1404"/>
      <c r="D105" s="1404"/>
      <c r="E105" s="1404"/>
      <c r="F105" s="1404"/>
      <c r="G105" s="1396"/>
      <c r="H105" s="1396"/>
      <c r="I105" s="1396"/>
      <c r="J105" s="1495"/>
      <c r="K105" s="1495"/>
      <c r="L105" s="1496"/>
      <c r="M105" s="1497"/>
      <c r="N105" s="1471"/>
      <c r="O105" s="1471"/>
      <c r="P105" s="1472"/>
      <c r="Q105" s="1503"/>
      <c r="R105" s="1504"/>
      <c r="S105" s="1504"/>
      <c r="T105" s="1504"/>
      <c r="U105" s="1504"/>
      <c r="V105" s="1504"/>
      <c r="W105" s="1504"/>
      <c r="X105" s="1504"/>
      <c r="Y105" s="1504"/>
      <c r="Z105" s="1504"/>
      <c r="AA105" s="1504"/>
      <c r="AB105" s="1504"/>
      <c r="AC105" s="1504"/>
      <c r="AD105" s="1504"/>
      <c r="AE105" s="1504"/>
    </row>
    <row r="106" s="1129" customFormat="1" ht="14.75" spans="1:31">
      <c r="A106" s="1419"/>
      <c r="B106" s="1416"/>
      <c r="C106" s="1427"/>
      <c r="D106" s="1427"/>
      <c r="E106" s="1427"/>
      <c r="F106" s="1427"/>
      <c r="G106" s="1442"/>
      <c r="H106" s="1442"/>
      <c r="I106" s="1442"/>
      <c r="J106" s="1442"/>
      <c r="K106" s="1442"/>
      <c r="L106" s="1442"/>
      <c r="M106" s="1498"/>
      <c r="N106" s="1461"/>
      <c r="O106" s="1461"/>
      <c r="P106" s="1472"/>
      <c r="Q106" s="1503"/>
      <c r="R106" s="1504"/>
      <c r="S106" s="1504"/>
      <c r="T106" s="1504"/>
      <c r="U106" s="1504"/>
      <c r="V106" s="1504"/>
      <c r="W106" s="1504"/>
      <c r="X106" s="1504"/>
      <c r="Y106" s="1504"/>
      <c r="Z106" s="1504"/>
      <c r="AA106" s="1504"/>
      <c r="AB106" s="1504"/>
      <c r="AC106" s="1504"/>
      <c r="AD106" s="1504"/>
      <c r="AE106" s="1504"/>
    </row>
    <row r="107" ht="28" spans="1:31">
      <c r="A107" s="1407" t="s">
        <v>1056</v>
      </c>
      <c r="B107" s="1408" t="s">
        <v>1650</v>
      </c>
      <c r="C107" s="1430" t="str">
        <f t="shared" ref="C107:L107" si="25">C108&amp;"(含)"&amp;"-"&amp;D108</f>
        <v>0(含)-20000</v>
      </c>
      <c r="D107" s="1430" t="str">
        <f t="shared" si="25"/>
        <v>20000(含)-40000</v>
      </c>
      <c r="E107" s="1430" t="str">
        <f t="shared" si="25"/>
        <v>40000(含)-60000</v>
      </c>
      <c r="F107" s="1430" t="str">
        <f t="shared" si="25"/>
        <v>60000(含)-</v>
      </c>
      <c r="G107" s="1430" t="str">
        <f t="shared" si="25"/>
        <v>(含)-</v>
      </c>
      <c r="H107" s="1430" t="str">
        <f t="shared" si="25"/>
        <v>(含)-</v>
      </c>
      <c r="I107" s="1430" t="str">
        <f t="shared" si="25"/>
        <v>(含)-</v>
      </c>
      <c r="J107" s="1430" t="str">
        <f t="shared" si="25"/>
        <v>(含)-</v>
      </c>
      <c r="K107" s="1499" t="str">
        <f t="shared" si="25"/>
        <v>(含)-</v>
      </c>
      <c r="L107" s="1499" t="str">
        <f t="shared" si="25"/>
        <v>(含)-</v>
      </c>
      <c r="M107" s="1500" t="str">
        <f>M108&amp;"(含)"&amp;"-"&amp;P108</f>
        <v>(含)-</v>
      </c>
      <c r="N107" s="1458"/>
      <c r="O107" s="1458"/>
      <c r="P107" s="1459"/>
      <c r="Q107" s="1380"/>
      <c r="R107" s="1254"/>
      <c r="S107" s="1254"/>
      <c r="T107" s="1254"/>
      <c r="U107" s="1254"/>
      <c r="V107" s="1254"/>
      <c r="W107" s="1254"/>
      <c r="X107" s="1254"/>
      <c r="Y107" s="1254"/>
      <c r="Z107" s="1254"/>
      <c r="AA107" s="1254"/>
      <c r="AB107" s="1254"/>
      <c r="AC107" s="1254"/>
      <c r="AD107" s="1254"/>
      <c r="AE107" s="1254"/>
    </row>
    <row r="108" spans="1:31">
      <c r="A108" s="1409"/>
      <c r="B108" s="1416"/>
      <c r="C108" s="1396">
        <v>0</v>
      </c>
      <c r="D108" s="1396">
        <v>20000</v>
      </c>
      <c r="E108" s="1396">
        <v>40000</v>
      </c>
      <c r="F108" s="1396">
        <v>60000</v>
      </c>
      <c r="G108" s="1396"/>
      <c r="H108" s="1396"/>
      <c r="I108" s="1396"/>
      <c r="J108" s="1495"/>
      <c r="K108" s="1495"/>
      <c r="L108" s="1496"/>
      <c r="M108" s="1497"/>
      <c r="N108" s="1458"/>
      <c r="O108" s="1458"/>
      <c r="P108" s="1459"/>
      <c r="Q108" s="1380"/>
      <c r="R108" s="1254"/>
      <c r="S108" s="1254"/>
      <c r="T108" s="1254"/>
      <c r="U108" s="1254"/>
      <c r="V108" s="1254"/>
      <c r="W108" s="1254"/>
      <c r="X108" s="1254"/>
      <c r="Y108" s="1254"/>
      <c r="Z108" s="1254"/>
      <c r="AA108" s="1254"/>
      <c r="AB108" s="1254"/>
      <c r="AC108" s="1254"/>
      <c r="AD108" s="1254"/>
      <c r="AE108" s="1254"/>
    </row>
    <row r="109" ht="14.75" spans="1:31">
      <c r="A109" s="1409"/>
      <c r="B109" s="1414"/>
      <c r="C109" s="1427">
        <v>100</v>
      </c>
      <c r="D109" s="1439">
        <v>101</v>
      </c>
      <c r="E109" s="1439">
        <v>102</v>
      </c>
      <c r="F109" s="1439">
        <v>103</v>
      </c>
      <c r="G109" s="1439"/>
      <c r="H109" s="1439"/>
      <c r="I109" s="1439"/>
      <c r="J109" s="1439"/>
      <c r="K109" s="1439"/>
      <c r="L109" s="1439"/>
      <c r="M109" s="1494"/>
      <c r="N109" s="1461"/>
      <c r="O109" s="1461"/>
      <c r="P109" s="1459"/>
      <c r="Q109" s="1380"/>
      <c r="R109" s="1254"/>
      <c r="S109" s="1254"/>
      <c r="T109" s="1254"/>
      <c r="U109" s="1254"/>
      <c r="V109" s="1254"/>
      <c r="W109" s="1254"/>
      <c r="X109" s="1254"/>
      <c r="Y109" s="1254"/>
      <c r="Z109" s="1254"/>
      <c r="AA109" s="1254"/>
      <c r="AB109" s="1254"/>
      <c r="AC109" s="1254"/>
      <c r="AD109" s="1254"/>
      <c r="AE109" s="1254"/>
    </row>
    <row r="110" ht="14.75" spans="1:31">
      <c r="A110" s="1443"/>
      <c r="B110" s="1412" t="s">
        <v>1651</v>
      </c>
      <c r="C110" s="1437"/>
      <c r="D110" s="1437"/>
      <c r="E110" s="1437"/>
      <c r="F110" s="1437"/>
      <c r="G110" s="1437"/>
      <c r="H110" s="1437"/>
      <c r="I110" s="1437"/>
      <c r="J110" s="1437"/>
      <c r="K110" s="1488"/>
      <c r="L110" s="1489"/>
      <c r="M110" s="1490"/>
      <c r="N110" s="1458"/>
      <c r="O110" s="1458"/>
      <c r="P110" s="1459"/>
      <c r="Q110" s="1380"/>
      <c r="R110" s="1254"/>
      <c r="S110" s="1254"/>
      <c r="T110" s="1254"/>
      <c r="U110" s="1254"/>
      <c r="V110" s="1254"/>
      <c r="W110" s="1254"/>
      <c r="X110" s="1254"/>
      <c r="Y110" s="1254"/>
      <c r="Z110" s="1254"/>
      <c r="AA110" s="1254"/>
      <c r="AB110" s="1254"/>
      <c r="AC110" s="1254"/>
      <c r="AD110" s="1254"/>
      <c r="AE110" s="1254"/>
    </row>
    <row r="111" ht="14.75" spans="1:31">
      <c r="A111" s="1409"/>
      <c r="B111" s="1414"/>
      <c r="C111" s="1415">
        <v>100</v>
      </c>
      <c r="D111" s="1415">
        <f t="shared" ref="D111:M111" si="26">C111-$K35</f>
        <v>100</v>
      </c>
      <c r="E111" s="1415">
        <f t="shared" si="26"/>
        <v>100</v>
      </c>
      <c r="F111" s="1415">
        <f t="shared" si="26"/>
        <v>100</v>
      </c>
      <c r="G111" s="1415">
        <f t="shared" si="26"/>
        <v>100</v>
      </c>
      <c r="H111" s="1415">
        <f t="shared" si="26"/>
        <v>100</v>
      </c>
      <c r="I111" s="1415">
        <f t="shared" si="26"/>
        <v>100</v>
      </c>
      <c r="J111" s="1415">
        <f t="shared" si="26"/>
        <v>100</v>
      </c>
      <c r="K111" s="1415">
        <f t="shared" si="26"/>
        <v>100</v>
      </c>
      <c r="L111" s="1415">
        <f t="shared" si="26"/>
        <v>100</v>
      </c>
      <c r="M111" s="1465">
        <f t="shared" si="26"/>
        <v>100</v>
      </c>
      <c r="N111" s="1461"/>
      <c r="O111" s="1461"/>
      <c r="P111" s="1459"/>
      <c r="Q111" s="1380"/>
      <c r="R111" s="1254"/>
      <c r="S111" s="1254"/>
      <c r="T111" s="1254"/>
      <c r="U111" s="1254"/>
      <c r="V111" s="1254"/>
      <c r="W111" s="1254"/>
      <c r="X111" s="1254"/>
      <c r="Y111" s="1254"/>
      <c r="Z111" s="1254"/>
      <c r="AA111" s="1254"/>
      <c r="AB111" s="1254"/>
      <c r="AC111" s="1254"/>
      <c r="AD111" s="1254"/>
      <c r="AE111" s="1254"/>
    </row>
    <row r="112" s="1129" customFormat="1" ht="14.75" spans="1:31">
      <c r="A112" s="1440"/>
      <c r="B112" s="1412" t="s">
        <v>1653</v>
      </c>
      <c r="C112" s="1420"/>
      <c r="D112" s="1420"/>
      <c r="E112" s="1420"/>
      <c r="F112" s="1420"/>
      <c r="G112" s="1420"/>
      <c r="H112" s="1437"/>
      <c r="I112" s="1437"/>
      <c r="J112" s="1437"/>
      <c r="K112" s="1488"/>
      <c r="L112" s="1489"/>
      <c r="M112" s="1490"/>
      <c r="N112" s="1471"/>
      <c r="O112" s="1471"/>
      <c r="P112" s="1472"/>
      <c r="Q112" s="1503"/>
      <c r="R112" s="1504"/>
      <c r="S112" s="1504"/>
      <c r="T112" s="1504"/>
      <c r="U112" s="1504"/>
      <c r="V112" s="1504"/>
      <c r="W112" s="1504"/>
      <c r="X112" s="1504"/>
      <c r="Y112" s="1504"/>
      <c r="Z112" s="1504"/>
      <c r="AA112" s="1504"/>
      <c r="AB112" s="1504"/>
      <c r="AC112" s="1504"/>
      <c r="AD112" s="1504"/>
      <c r="AE112" s="1504"/>
    </row>
    <row r="113" s="1129" customFormat="1" ht="14.75" spans="1:31">
      <c r="A113" s="1419"/>
      <c r="B113" s="1414"/>
      <c r="C113" s="1415">
        <v>100</v>
      </c>
      <c r="D113" s="1415">
        <f t="shared" ref="D113:M113" si="27">C113-$K36</f>
        <v>100</v>
      </c>
      <c r="E113" s="1415">
        <f t="shared" si="27"/>
        <v>100</v>
      </c>
      <c r="F113" s="1415">
        <f t="shared" si="27"/>
        <v>100</v>
      </c>
      <c r="G113" s="1415">
        <f t="shared" si="27"/>
        <v>100</v>
      </c>
      <c r="H113" s="1415">
        <f t="shared" si="27"/>
        <v>100</v>
      </c>
      <c r="I113" s="1415">
        <f t="shared" si="27"/>
        <v>100</v>
      </c>
      <c r="J113" s="1415">
        <f t="shared" si="27"/>
        <v>100</v>
      </c>
      <c r="K113" s="1415">
        <f t="shared" si="27"/>
        <v>100</v>
      </c>
      <c r="L113" s="1415">
        <f t="shared" si="27"/>
        <v>100</v>
      </c>
      <c r="M113" s="1465">
        <f t="shared" si="27"/>
        <v>100</v>
      </c>
      <c r="N113" s="1471"/>
      <c r="O113" s="1471"/>
      <c r="P113" s="1472"/>
      <c r="Q113" s="1503"/>
      <c r="R113" s="1504"/>
      <c r="S113" s="1504"/>
      <c r="T113" s="1504"/>
      <c r="U113" s="1504"/>
      <c r="V113" s="1504"/>
      <c r="W113" s="1504"/>
      <c r="X113" s="1504"/>
      <c r="Y113" s="1504"/>
      <c r="Z113" s="1504"/>
      <c r="AA113" s="1504"/>
      <c r="AB113" s="1504"/>
      <c r="AC113" s="1504"/>
      <c r="AD113" s="1504"/>
      <c r="AE113" s="1504"/>
    </row>
    <row r="114" ht="14.75" spans="1:31">
      <c r="A114" s="1443"/>
      <c r="B114" s="1412" t="s">
        <v>1654</v>
      </c>
      <c r="C114" s="1420"/>
      <c r="D114" s="1420"/>
      <c r="E114" s="1437"/>
      <c r="F114" s="1437"/>
      <c r="G114" s="1437"/>
      <c r="H114" s="1437"/>
      <c r="I114" s="1437"/>
      <c r="J114" s="1437"/>
      <c r="K114" s="1488"/>
      <c r="L114" s="1489"/>
      <c r="M114" s="1490"/>
      <c r="N114" s="1458"/>
      <c r="O114" s="1458"/>
      <c r="P114" s="1459"/>
      <c r="Q114" s="1380"/>
      <c r="R114" s="1254"/>
      <c r="S114" s="1254"/>
      <c r="T114" s="1254"/>
      <c r="U114" s="1254"/>
      <c r="V114" s="1254"/>
      <c r="W114" s="1254"/>
      <c r="X114" s="1254"/>
      <c r="Y114" s="1254"/>
      <c r="Z114" s="1254"/>
      <c r="AA114" s="1254"/>
      <c r="AB114" s="1254"/>
      <c r="AC114" s="1254"/>
      <c r="AD114" s="1254"/>
      <c r="AE114" s="1254"/>
    </row>
    <row r="115" ht="14.75" spans="1:31">
      <c r="A115" s="1409"/>
      <c r="B115" s="1414"/>
      <c r="C115" s="1415">
        <v>100</v>
      </c>
      <c r="D115" s="1415">
        <f t="shared" ref="D115:M115" si="28">C115-$K37</f>
        <v>100</v>
      </c>
      <c r="E115" s="1415">
        <f t="shared" si="28"/>
        <v>100</v>
      </c>
      <c r="F115" s="1415">
        <f t="shared" si="28"/>
        <v>100</v>
      </c>
      <c r="G115" s="1415">
        <f t="shared" si="28"/>
        <v>100</v>
      </c>
      <c r="H115" s="1415">
        <f t="shared" si="28"/>
        <v>100</v>
      </c>
      <c r="I115" s="1415">
        <f t="shared" si="28"/>
        <v>100</v>
      </c>
      <c r="J115" s="1415">
        <f t="shared" si="28"/>
        <v>100</v>
      </c>
      <c r="K115" s="1415">
        <f t="shared" si="28"/>
        <v>100</v>
      </c>
      <c r="L115" s="1415">
        <f t="shared" si="28"/>
        <v>100</v>
      </c>
      <c r="M115" s="1465">
        <f t="shared" si="28"/>
        <v>100</v>
      </c>
      <c r="N115" s="1461"/>
      <c r="O115" s="1461"/>
      <c r="P115" s="1459"/>
      <c r="Q115" s="1380"/>
      <c r="R115" s="1254"/>
      <c r="S115" s="1254"/>
      <c r="T115" s="1254"/>
      <c r="U115" s="1254"/>
      <c r="V115" s="1254"/>
      <c r="W115" s="1254"/>
      <c r="X115" s="1254"/>
      <c r="Y115" s="1254"/>
      <c r="Z115" s="1254"/>
      <c r="AA115" s="1254"/>
      <c r="AB115" s="1254"/>
      <c r="AC115" s="1254"/>
      <c r="AD115" s="1254"/>
      <c r="AE115" s="1254"/>
    </row>
    <row r="116" ht="14.75" spans="1:31">
      <c r="A116" s="1443"/>
      <c r="B116" s="1412">
        <f>B38</f>
        <v>111</v>
      </c>
      <c r="C116" s="1420"/>
      <c r="D116" s="1420"/>
      <c r="E116" s="1420"/>
      <c r="F116" s="1420"/>
      <c r="G116" s="1420"/>
      <c r="H116" s="1437"/>
      <c r="I116" s="1437"/>
      <c r="J116" s="1437"/>
      <c r="K116" s="1488"/>
      <c r="L116" s="1489"/>
      <c r="M116" s="1490"/>
      <c r="N116" s="1458"/>
      <c r="O116" s="1458"/>
      <c r="P116" s="1459"/>
      <c r="Q116" s="1380"/>
      <c r="R116" s="1254"/>
      <c r="S116" s="1254"/>
      <c r="T116" s="1254"/>
      <c r="U116" s="1254"/>
      <c r="V116" s="1254"/>
      <c r="W116" s="1254"/>
      <c r="X116" s="1254"/>
      <c r="Y116" s="1254"/>
      <c r="Z116" s="1254"/>
      <c r="AA116" s="1254"/>
      <c r="AB116" s="1254"/>
      <c r="AC116" s="1254"/>
      <c r="AD116" s="1254"/>
      <c r="AE116" s="1254"/>
    </row>
    <row r="117" ht="14.75" spans="1:31">
      <c r="A117" s="1409"/>
      <c r="B117" s="1414"/>
      <c r="C117" s="1422"/>
      <c r="D117" s="1411"/>
      <c r="E117" s="1411"/>
      <c r="F117" s="1411"/>
      <c r="G117" s="1411"/>
      <c r="H117" s="1411"/>
      <c r="I117" s="1411"/>
      <c r="J117" s="1411"/>
      <c r="K117" s="1411"/>
      <c r="L117" s="1411"/>
      <c r="M117" s="1460"/>
      <c r="N117" s="1461"/>
      <c r="O117" s="1461"/>
      <c r="P117" s="1459"/>
      <c r="Q117" s="1380"/>
      <c r="R117" s="1254"/>
      <c r="S117" s="1254"/>
      <c r="T117" s="1254"/>
      <c r="U117" s="1254"/>
      <c r="V117" s="1254"/>
      <c r="W117" s="1254"/>
      <c r="X117" s="1254"/>
      <c r="Y117" s="1254"/>
      <c r="Z117" s="1254"/>
      <c r="AA117" s="1254"/>
      <c r="AB117" s="1254"/>
      <c r="AC117" s="1254"/>
      <c r="AD117" s="1254"/>
      <c r="AE117" s="1254"/>
    </row>
    <row r="118" ht="14.75" spans="1:31">
      <c r="A118" s="1443"/>
      <c r="B118" s="1412">
        <f>B39</f>
        <v>111</v>
      </c>
      <c r="C118" s="1420"/>
      <c r="D118" s="1420"/>
      <c r="E118" s="1420"/>
      <c r="F118" s="1420"/>
      <c r="G118" s="1437"/>
      <c r="H118" s="1437"/>
      <c r="I118" s="1437"/>
      <c r="J118" s="1437"/>
      <c r="K118" s="1488"/>
      <c r="L118" s="1489"/>
      <c r="M118" s="1490"/>
      <c r="N118" s="1458"/>
      <c r="O118" s="1458"/>
      <c r="P118" s="1459"/>
      <c r="Q118" s="1380"/>
      <c r="R118" s="1254"/>
      <c r="S118" s="1254"/>
      <c r="T118" s="1254"/>
      <c r="U118" s="1254"/>
      <c r="V118" s="1254"/>
      <c r="W118" s="1254"/>
      <c r="X118" s="1254"/>
      <c r="Y118" s="1254"/>
      <c r="Z118" s="1254"/>
      <c r="AA118" s="1254"/>
      <c r="AB118" s="1254"/>
      <c r="AC118" s="1254"/>
      <c r="AD118" s="1254"/>
      <c r="AE118" s="1254"/>
    </row>
    <row r="119" ht="14.75" spans="1:31">
      <c r="A119" s="1409"/>
      <c r="B119" s="1414"/>
      <c r="C119" s="1422"/>
      <c r="D119" s="1422"/>
      <c r="E119" s="1422"/>
      <c r="F119" s="1422"/>
      <c r="G119" s="1411"/>
      <c r="H119" s="1411"/>
      <c r="I119" s="1411"/>
      <c r="J119" s="1411"/>
      <c r="K119" s="1411"/>
      <c r="L119" s="1411"/>
      <c r="M119" s="1460"/>
      <c r="N119" s="1461"/>
      <c r="O119" s="1461"/>
      <c r="P119" s="1459"/>
      <c r="Q119" s="1380"/>
      <c r="R119" s="1254"/>
      <c r="S119" s="1254"/>
      <c r="T119" s="1254"/>
      <c r="U119" s="1254"/>
      <c r="V119" s="1254"/>
      <c r="W119" s="1254"/>
      <c r="X119" s="1254"/>
      <c r="Y119" s="1254"/>
      <c r="Z119" s="1254"/>
      <c r="AA119" s="1254"/>
      <c r="AB119" s="1254"/>
      <c r="AC119" s="1254"/>
      <c r="AD119" s="1254"/>
      <c r="AE119" s="1254"/>
    </row>
    <row r="120" s="1129" customFormat="1" ht="14.75" spans="1:31">
      <c r="A120" s="1440"/>
      <c r="B120" s="1412">
        <f>B40</f>
        <v>111</v>
      </c>
      <c r="C120" s="1404"/>
      <c r="D120" s="1404"/>
      <c r="E120" s="1404"/>
      <c r="F120" s="1404"/>
      <c r="G120" s="1421"/>
      <c r="H120" s="1421"/>
      <c r="I120" s="1421"/>
      <c r="J120" s="1421"/>
      <c r="K120" s="1421"/>
      <c r="L120" s="1469"/>
      <c r="M120" s="1470"/>
      <c r="N120" s="1471"/>
      <c r="O120" s="1471"/>
      <c r="P120" s="1472"/>
      <c r="Q120" s="1503"/>
      <c r="R120" s="1504"/>
      <c r="S120" s="1504"/>
      <c r="T120" s="1504"/>
      <c r="U120" s="1504"/>
      <c r="V120" s="1504"/>
      <c r="W120" s="1504"/>
      <c r="X120" s="1504"/>
      <c r="Y120" s="1504"/>
      <c r="Z120" s="1504"/>
      <c r="AA120" s="1504"/>
      <c r="AB120" s="1504"/>
      <c r="AC120" s="1504"/>
      <c r="AD120" s="1504"/>
      <c r="AE120" s="1504"/>
    </row>
    <row r="121" s="1129" customFormat="1" ht="14.75" spans="1:31">
      <c r="A121" s="1425"/>
      <c r="B121" s="1444"/>
      <c r="C121" s="1427"/>
      <c r="D121" s="1427"/>
      <c r="E121" s="1427"/>
      <c r="F121" s="1427"/>
      <c r="G121" s="1439"/>
      <c r="H121" s="1439"/>
      <c r="I121" s="1439"/>
      <c r="J121" s="1439"/>
      <c r="K121" s="1439"/>
      <c r="L121" s="1439"/>
      <c r="M121" s="1494"/>
      <c r="N121" s="1471"/>
      <c r="O121" s="1471"/>
      <c r="P121" s="1472"/>
      <c r="Q121" s="1503"/>
      <c r="R121" s="1504"/>
      <c r="S121" s="1504"/>
      <c r="T121" s="1504"/>
      <c r="U121" s="1504"/>
      <c r="V121" s="1504"/>
      <c r="W121" s="1504"/>
      <c r="X121" s="1504"/>
      <c r="Y121" s="1504"/>
      <c r="Z121" s="1504"/>
      <c r="AA121" s="1504"/>
      <c r="AB121" s="1504"/>
      <c r="AC121" s="1504"/>
      <c r="AD121" s="1504"/>
      <c r="AE121" s="1504"/>
    </row>
    <row r="122" spans="14:31">
      <c r="N122" s="1254"/>
      <c r="O122" s="1254"/>
      <c r="P122" s="1254"/>
      <c r="Q122" s="1254"/>
      <c r="R122" s="1254"/>
      <c r="S122" s="1254"/>
      <c r="T122" s="1254"/>
      <c r="U122" s="1254"/>
      <c r="V122" s="1254"/>
      <c r="W122" s="1254"/>
      <c r="X122" s="1254"/>
      <c r="Y122" s="1254"/>
      <c r="Z122" s="1254"/>
      <c r="AA122" s="1254"/>
      <c r="AB122" s="1254"/>
      <c r="AC122" s="1254"/>
      <c r="AD122" s="1254"/>
      <c r="AE122" s="1254"/>
    </row>
    <row r="123" spans="16:31">
      <c r="P123" s="1254"/>
      <c r="Q123" s="1254"/>
      <c r="R123" s="1254"/>
      <c r="S123" s="1254"/>
      <c r="T123" s="1254"/>
      <c r="U123" s="1254"/>
      <c r="V123" s="1254"/>
      <c r="W123" s="1254"/>
      <c r="X123" s="1254"/>
      <c r="Y123" s="1254"/>
      <c r="Z123" s="1254"/>
      <c r="AA123" s="1254"/>
      <c r="AB123" s="1254"/>
      <c r="AC123" s="1254"/>
      <c r="AD123" s="1254"/>
      <c r="AE123" s="12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1002" customWidth="1"/>
    <col min="2" max="2" width="9.2545454545454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1692</v>
      </c>
      <c r="C1" s="1008" t="s">
        <v>1693</v>
      </c>
      <c r="D1" s="1009"/>
      <c r="E1" s="1009"/>
      <c r="F1" s="1009"/>
      <c r="G1" s="1009"/>
      <c r="H1" s="1009"/>
      <c r="I1" s="1009"/>
      <c r="J1" s="1009"/>
      <c r="K1" s="1009"/>
      <c r="L1" s="1009"/>
      <c r="M1" s="1009"/>
      <c r="N1" s="1009"/>
      <c r="O1" s="1009"/>
      <c r="P1" s="1009"/>
      <c r="Q1" s="1009"/>
      <c r="R1" s="1009"/>
      <c r="S1" s="1091"/>
      <c r="T1" s="1007" t="s">
        <v>1694</v>
      </c>
    </row>
    <row r="2" s="997" customFormat="1" ht="13" spans="1:45">
      <c r="A2" s="1010"/>
      <c r="B2" s="1011" t="s">
        <v>469</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ht="13" spans="1:45">
      <c r="A3" s="1014"/>
      <c r="B3" s="1015"/>
      <c r="C3" s="1016"/>
      <c r="D3" s="1017"/>
      <c r="E3" s="1017"/>
      <c r="F3" s="1018"/>
      <c r="G3" s="1018"/>
      <c r="H3" s="1018"/>
      <c r="I3" s="1018"/>
      <c r="J3" s="1018"/>
      <c r="K3" s="1018"/>
      <c r="L3" s="941"/>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7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ht="13" spans="1:45">
      <c r="A5" s="1024"/>
      <c r="B5" s="1025" t="s">
        <v>1695</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7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ht="13" spans="1:45">
      <c r="A7" s="1024"/>
      <c r="B7" s="1033" t="s">
        <v>1696</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7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ht="13" spans="1:45">
      <c r="A9" s="1024"/>
      <c r="B9" s="1033" t="s">
        <v>1697</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75" spans="1:45">
      <c r="A10" s="1024"/>
      <c r="B10" s="1020"/>
      <c r="C10" s="1037">
        <v>100</v>
      </c>
      <c r="D10" s="1038">
        <f>C10-$T9</f>
        <v>100</v>
      </c>
      <c r="E10" s="1038">
        <f t="shared" ref="E10:S10" si="9">D10-$T9</f>
        <v>100</v>
      </c>
      <c r="F10" s="796">
        <f t="shared" si="9"/>
        <v>100</v>
      </c>
      <c r="G10" s="796">
        <f t="shared" si="9"/>
        <v>100</v>
      </c>
      <c r="H10" s="796">
        <f t="shared" si="9"/>
        <v>100</v>
      </c>
      <c r="I10" s="796">
        <f t="shared" si="9"/>
        <v>100</v>
      </c>
      <c r="J10" s="796">
        <f t="shared" si="9"/>
        <v>100</v>
      </c>
      <c r="K10" s="796">
        <f t="shared" si="9"/>
        <v>100</v>
      </c>
      <c r="L10" s="796">
        <f t="shared" si="9"/>
        <v>100</v>
      </c>
      <c r="M10" s="796">
        <f t="shared" si="9"/>
        <v>100</v>
      </c>
      <c r="N10" s="796">
        <f t="shared" si="9"/>
        <v>100</v>
      </c>
      <c r="O10" s="796">
        <f t="shared" si="9"/>
        <v>100</v>
      </c>
      <c r="P10" s="796">
        <f t="shared" si="9"/>
        <v>100</v>
      </c>
      <c r="Q10" s="796">
        <f t="shared" si="9"/>
        <v>100</v>
      </c>
      <c r="R10" s="796">
        <f t="shared" si="9"/>
        <v>100</v>
      </c>
      <c r="S10" s="796">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ht="13" spans="1:45">
      <c r="A11" s="1024"/>
      <c r="B11" s="1025" t="s">
        <v>1698</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7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ht="13" spans="1:45">
      <c r="A13" s="1024"/>
      <c r="B13" s="1025" t="s">
        <v>1699</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7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ht="13" spans="1:45">
      <c r="A15" s="1024"/>
      <c r="B15" s="1025" t="s">
        <v>1700</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7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ht="13" spans="1:45">
      <c r="A17" s="1041" t="s">
        <v>1701</v>
      </c>
      <c r="B17" s="1042" t="s">
        <v>1702</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7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ht="13" spans="1:19">
      <c r="A19" s="1049"/>
      <c r="B19" s="1050"/>
      <c r="C19" s="1050"/>
      <c r="D19" s="1051" t="s">
        <v>1703</v>
      </c>
      <c r="E19" s="1052"/>
      <c r="F19" s="1052"/>
      <c r="G19" s="1052"/>
      <c r="H19" s="1053"/>
      <c r="I19" s="1050"/>
      <c r="J19" s="1050"/>
      <c r="K19" s="1050"/>
      <c r="L19" s="1050"/>
      <c r="M19" s="1050"/>
      <c r="N19" s="1050"/>
      <c r="O19" s="1050"/>
      <c r="P19" s="1050"/>
      <c r="Q19" s="1050"/>
      <c r="R19" s="1118"/>
      <c r="S19" s="1049"/>
    </row>
    <row r="20" ht="16.25" spans="1:19">
      <c r="A20" s="1054" t="s">
        <v>1704</v>
      </c>
      <c r="B20" s="1055" t="e">
        <f ca="1">IF(D20="——",S22,S22-F20)</f>
        <v>#REF!</v>
      </c>
      <c r="C20" s="1050"/>
      <c r="D20" s="1056"/>
      <c r="E20" s="1057"/>
      <c r="F20" s="1007" t="e">
        <f ca="1">SUMIF(INDIRECT("'"&amp;H20&amp;"'"&amp;"!A:A"),"承租人权益价值",INDIRECT("'"&amp;H20&amp;"'"&amp;"!c:c"))</f>
        <v>#REF!</v>
      </c>
      <c r="G20" s="1007" t="s">
        <v>822</v>
      </c>
      <c r="H20" s="1058"/>
      <c r="I20" s="1050"/>
      <c r="J20" s="1050"/>
      <c r="K20" s="1050"/>
      <c r="L20" s="1050"/>
      <c r="M20" s="1050"/>
      <c r="N20" s="1050"/>
      <c r="O20" s="1050"/>
      <c r="P20" s="1050"/>
      <c r="Q20" s="1050"/>
      <c r="R20" s="1118"/>
      <c r="S20" s="1049"/>
    </row>
    <row r="21" ht="15.5" spans="1:19">
      <c r="A21" s="1054" t="s">
        <v>1705</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ht="13" spans="1:19">
      <c r="A22" s="1059" t="s">
        <v>1706</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6" spans="1:45">
      <c r="A23" s="1063" t="s">
        <v>1707</v>
      </c>
      <c r="B23" s="1063" t="s">
        <v>469</v>
      </c>
      <c r="C23" s="1063" t="s">
        <v>1694</v>
      </c>
      <c r="D23" s="1063" t="str">
        <f>B5</f>
        <v>修正项2</v>
      </c>
      <c r="E23" s="1063" t="s">
        <v>1694</v>
      </c>
      <c r="F23" s="1063" t="str">
        <f>B7</f>
        <v>修正项3</v>
      </c>
      <c r="G23" s="1063" t="s">
        <v>1694</v>
      </c>
      <c r="H23" s="1063" t="str">
        <f>B9</f>
        <v>修正项4</v>
      </c>
      <c r="I23" s="1063" t="s">
        <v>1694</v>
      </c>
      <c r="J23" s="1063" t="str">
        <f>B11</f>
        <v>修正项5</v>
      </c>
      <c r="K23" s="1063" t="s">
        <v>1694</v>
      </c>
      <c r="L23" s="1063" t="str">
        <f>B13</f>
        <v>修正项6</v>
      </c>
      <c r="M23" s="1063" t="s">
        <v>1694</v>
      </c>
      <c r="N23" s="1063" t="str">
        <f>B15</f>
        <v>修正项7</v>
      </c>
      <c r="O23" s="1063" t="s">
        <v>1694</v>
      </c>
      <c r="P23" s="1063" t="str">
        <f>B17</f>
        <v>楼层</v>
      </c>
      <c r="Q23" s="1063" t="s">
        <v>1694</v>
      </c>
      <c r="R23" s="1121" t="s">
        <v>1708</v>
      </c>
      <c r="S23" s="1063" t="s">
        <v>1709</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ht="13" spans="1:45">
      <c r="A24" s="1064" t="s">
        <v>1710</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ht="13"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ht="13"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ht="13"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ht="13"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ht="13"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ht="13"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ht="13"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ht="13"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ht="1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ht="13"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ht="13"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ht="13"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ht="13"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ht="13"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ht="13"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ht="13"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ht="13"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ht="13"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ht="1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ht="13"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ht="13"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ht="13"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ht="13"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ht="13"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ht="13"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ht="13"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ht="13"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ht="13"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ht="1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ht="13"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ht="13"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ht="13"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ht="13"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ht="13"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ht="13"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ht="13"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ht="13"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ht="13"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ht="1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ht="13"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ht="13"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ht="13"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ht="13"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ht="13"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ht="13"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ht="13"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ht="13"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ht="13"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ht="1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ht="13"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ht="13"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ht="13"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ht="13"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ht="13"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ht="13"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ht="13"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ht="13"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ht="13"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ht="1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ht="13"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ht="13"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ht="13"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ht="13"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ht="13"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ht="13"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ht="13"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ht="13"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ht="13"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ht="1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ht="13"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ht="13"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ht="13"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ht="13"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ht="13"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ht="13"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ht="13"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ht="13"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ht="13"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ht="1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ht="13"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ht="13"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ht="13"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ht="13"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ht="13"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ht="13"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ht="13"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ht="13"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ht="13"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ht="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ht="13"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ht="13"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ht="13"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ht="13"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ht="13"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ht="13"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ht="13"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ht="13"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ht="13"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ht="1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ht="13"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ht="13"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ht="13"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ht="13"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ht="13"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ht="13"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ht="13"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ht="13"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ht="13"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ht="1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ht="13"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ht="13"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ht="13"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ht="13"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ht="13"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ht="13"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ht="13"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ht="13"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ht="13"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ht="1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ht="13"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ht="13"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ht="13"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ht="13"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ht="13"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ht="13"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ht="13"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ht="13"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ht="13"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ht="1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ht="13"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ht="13"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ht="13"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ht="13"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ht="13"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ht="13"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ht="13"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ht="13"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ht="13"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ht="1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ht="13"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ht="13"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ht="13"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ht="13"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ht="13"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ht="13"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ht="13"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ht="13"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ht="13"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ht="1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ht="13"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ht="13"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ht="13"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ht="13"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ht="13"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ht="13"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ht="13"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ht="13"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ht="13"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ht="1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ht="13"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ht="13"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ht="13"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ht="13"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ht="13"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ht="13"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ht="13"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ht="13"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ht="13"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ht="1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ht="13"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ht="13"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ht="13"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ht="13"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ht="13"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ht="13"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ht="13"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ht="13"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ht="13"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ht="1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ht="13"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ht="13"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ht="13"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ht="13"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ht="13"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ht="13"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ht="13"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ht="13"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ht="13"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ht="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ht="13"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ht="13"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ht="13"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ht="13"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ht="13"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ht="13"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ht="13"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ht="13"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ht="13"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ht="1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ht="13"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ht="13"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ht="13"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ht="13"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ht="13"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ht="13"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ht="13"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ht="13"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ht="13"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ht="1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ht="13"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ht="13"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ht="13"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ht="13"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ht="13"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ht="13"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ht="13"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ht="13"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ht="13"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ht="1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ht="13"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ht="13"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ht="13"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ht="13"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ht="13"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ht="13"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ht="13"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ht="13"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ht="13"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ht="1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ht="13"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ht="13"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ht="13"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ht="13"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ht="13"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ht="13"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ht="13"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ht="13"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ht="13"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ht="1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ht="13"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ht="13"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ht="13"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ht="13"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ht="13"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ht="13"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ht="13"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ht="13"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ht="13"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ht="1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ht="13"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ht="13"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ht="13"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ht="13"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ht="13"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ht="13"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ht="13"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ht="13"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ht="13"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ht="1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ht="13"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ht="13"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ht="13"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ht="13"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ht="13"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ht="13"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ht="13"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ht="13"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ht="13"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ht="1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ht="13"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ht="13"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ht="13"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ht="13"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ht="13"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ht="13"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ht="13"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ht="13"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ht="13"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ht="1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ht="13"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ht="13"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ht="13"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ht="13"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ht="13"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ht="13"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ht="13"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ht="13"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ht="13"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ht="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ht="13"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ht="13"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ht="13"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ht="13"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ht="13"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ht="13"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ht="13"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ht="13"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ht="13"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ht="1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ht="13"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ht="13"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ht="13"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ht="13"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ht="13"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ht="13"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ht="13"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ht="13"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ht="13"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ht="1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ht="13"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ht="13"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ht="13"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ht="13"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ht="13"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ht="13"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ht="13"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ht="13"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ht="13"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ht="1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ht="13"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ht="13"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ht="13"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ht="13"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ht="13"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ht="13"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ht="13"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ht="13"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ht="13"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ht="1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ht="13"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ht="13"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ht="13"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ht="13"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ht="13"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ht="13"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ht="13"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ht="13"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ht="13"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ht="1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ht="13"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ht="13"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ht="13"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ht="13"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ht="13"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ht="13"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ht="13"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ht="13"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ht="13"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ht="1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ht="13"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ht="13"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ht="13"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ht="13"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ht="13"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ht="13"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ht="13"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ht="13"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ht="13"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ht="1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ht="13"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ht="13"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ht="13"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ht="13"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ht="13"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ht="13"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ht="13"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ht="13"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ht="13"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ht="1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ht="13"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ht="13"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ht="13"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ht="13"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ht="13"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ht="13"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ht="13"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ht="13"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ht="13"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ht="1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ht="13"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ht="13"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ht="13"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ht="13"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ht="13"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ht="13"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ht="13"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ht="13"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ht="13"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ht="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ht="13"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ht="13"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ht="13"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ht="13"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ht="13"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ht="13"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ht="13"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ht="13"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ht="13"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ht="1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ht="13"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ht="13"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ht="13"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ht="13"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ht="13"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ht="13"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ht="13"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ht="13"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ht="13"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ht="1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ht="13"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ht="13"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ht="13"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ht="13"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ht="13"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ht="13"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ht="13"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ht="13"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ht="13"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ht="1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ht="13"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ht="13"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ht="13"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ht="13"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ht="13"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ht="13"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ht="13"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ht="13"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ht="13"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ht="1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ht="13"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ht="13"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ht="13"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ht="13"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ht="13"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ht="13"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ht="13"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ht="13"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ht="13"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ht="1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ht="13"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ht="13"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ht="13"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ht="13"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ht="13"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ht="13"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ht="13"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ht="13"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ht="13"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ht="1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ht="13"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ht="13"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ht="13"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ht="13"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ht="13"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ht="13"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ht="13"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ht="13"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ht="13"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ht="1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ht="13"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ht="13"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ht="13"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ht="13"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ht="13"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ht="13"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ht="13"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ht="13"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ht="13"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ht="1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ht="13"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ht="13"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ht="13"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ht="13"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ht="13"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ht="13"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ht="13"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ht="13"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ht="13"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ht="1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ht="13"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ht="13"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ht="13"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ht="13"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ht="13"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ht="13"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ht="13"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ht="13"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ht="13"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ht="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ht="13"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ht="13"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ht="13"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ht="13"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ht="13"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ht="13"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ht="13"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ht="13"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ht="13"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ht="1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ht="13"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984" customWidth="1"/>
    <col min="2" max="2" width="12.5" style="984" customWidth="1"/>
    <col min="3" max="3" width="12.1272727272727" style="984" customWidth="1"/>
    <col min="4" max="4" width="14.1272727272727" style="984" customWidth="1"/>
    <col min="5" max="5" width="12.5" style="984" customWidth="1"/>
    <col min="6" max="16384" width="9" style="984"/>
  </cols>
  <sheetData>
    <row r="1" ht="21" spans="1:16">
      <c r="A1" s="985" t="s">
        <v>1711</v>
      </c>
      <c r="B1" s="986"/>
      <c r="C1" s="986"/>
      <c r="D1" s="986"/>
      <c r="E1" s="986"/>
      <c r="F1" s="987"/>
      <c r="G1" s="987"/>
      <c r="H1" s="987"/>
      <c r="I1" s="987"/>
      <c r="J1" s="987"/>
      <c r="K1" s="987"/>
      <c r="L1" s="987"/>
      <c r="M1" s="987"/>
      <c r="N1" s="987"/>
      <c r="O1" s="987"/>
      <c r="P1" s="987"/>
    </row>
    <row r="2" ht="15" spans="1:16">
      <c r="A2" s="988" t="s">
        <v>97</v>
      </c>
      <c r="B2" s="989" t="e">
        <f ca="1">SUMIF(B6:B13,"&lt;&gt;#ref!",B6:B13)</f>
        <v>#DIV/0!</v>
      </c>
      <c r="C2" s="988" t="s">
        <v>1712</v>
      </c>
      <c r="D2" s="988" t="s">
        <v>1713</v>
      </c>
      <c r="E2" s="990">
        <f ca="1">SUMIF(E6:E13,"&lt;&gt;#ref!",E6:E13)</f>
        <v>36094.88</v>
      </c>
      <c r="F2" s="987"/>
      <c r="G2" s="987"/>
      <c r="H2" s="987"/>
      <c r="I2" s="987"/>
      <c r="J2" s="987"/>
      <c r="K2" s="987"/>
      <c r="L2" s="987"/>
      <c r="M2" s="987"/>
      <c r="N2" s="987"/>
      <c r="O2" s="987"/>
      <c r="P2" s="987"/>
    </row>
    <row r="3" ht="15.5" spans="1:16">
      <c r="A3" s="988" t="s">
        <v>1714</v>
      </c>
      <c r="B3" s="989" t="e">
        <f ca="1">ROUND(B2*10000/E2,0)</f>
        <v>#DIV/0!</v>
      </c>
      <c r="C3" s="988" t="s">
        <v>1715</v>
      </c>
      <c r="D3" s="987"/>
      <c r="E3" s="987"/>
      <c r="F3" s="987"/>
      <c r="G3" s="987"/>
      <c r="H3" s="987"/>
      <c r="I3" s="987"/>
      <c r="J3" s="987"/>
      <c r="K3" s="987"/>
      <c r="L3" s="987"/>
      <c r="M3" s="987"/>
      <c r="N3" s="987"/>
      <c r="O3" s="987"/>
      <c r="P3" s="987"/>
    </row>
    <row r="4" ht="15.5" spans="1:16">
      <c r="A4" s="991"/>
      <c r="B4" s="987"/>
      <c r="C4" s="987"/>
      <c r="D4" s="987"/>
      <c r="E4" s="987"/>
      <c r="F4" s="987"/>
      <c r="G4" s="987"/>
      <c r="H4" s="987"/>
      <c r="I4" s="987"/>
      <c r="J4" s="987"/>
      <c r="K4" s="987"/>
      <c r="L4" s="987"/>
      <c r="M4" s="987"/>
      <c r="N4" s="987"/>
      <c r="O4" s="987"/>
      <c r="P4" s="987"/>
    </row>
    <row r="5" ht="30" spans="1:16">
      <c r="A5" s="992" t="s">
        <v>1716</v>
      </c>
      <c r="B5" s="993" t="s">
        <v>1717</v>
      </c>
      <c r="C5" s="994"/>
      <c r="D5" s="987"/>
      <c r="E5" s="995" t="s">
        <v>1718</v>
      </c>
      <c r="F5" s="987"/>
      <c r="G5" s="987"/>
      <c r="H5" s="987"/>
      <c r="I5" s="987"/>
      <c r="J5" s="987"/>
      <c r="K5" s="987"/>
      <c r="L5" s="987"/>
      <c r="M5" s="987"/>
      <c r="N5" s="987"/>
      <c r="O5" s="987"/>
      <c r="P5" s="987"/>
    </row>
    <row r="6" ht="15" spans="1:16">
      <c r="A6" s="996" t="s">
        <v>1719</v>
      </c>
      <c r="B6" s="989" t="e">
        <f ca="1">SUMIF(INDIRECT("'"&amp;A6&amp;"'"&amp;"!A:A"),"总价",INDIRECT("'"&amp;A6&amp;"'"&amp;"!B:B"))</f>
        <v>#DIV/0!</v>
      </c>
      <c r="C6" s="988" t="s">
        <v>1712</v>
      </c>
      <c r="D6" s="987"/>
      <c r="E6" s="990">
        <f ca="1">SUMIF(INDIRECT("'"&amp;A6&amp;"'"&amp;"!C:C"),"建筑面积",INDIRECT("'"&amp;A6&amp;"'"&amp;"!D:D"))</f>
        <v>36094.88</v>
      </c>
      <c r="F6" s="987"/>
      <c r="G6" s="987"/>
      <c r="H6" s="987"/>
      <c r="I6" s="987"/>
      <c r="J6" s="987"/>
      <c r="K6" s="987"/>
      <c r="L6" s="987"/>
      <c r="M6" s="987"/>
      <c r="N6" s="987"/>
      <c r="O6" s="987"/>
      <c r="P6" s="987"/>
    </row>
    <row r="7" ht="15.5" spans="1:16">
      <c r="A7" s="996"/>
      <c r="B7" s="989" t="e">
        <f ca="1">SUMIF(INDIRECT("'"&amp;A7&amp;"'"&amp;"!A:A"),"总价",INDIRECT("'"&amp;A7&amp;"'"&amp;"!B:B"))</f>
        <v>#REF!</v>
      </c>
      <c r="C7" s="988" t="s">
        <v>1712</v>
      </c>
      <c r="D7" s="987"/>
      <c r="E7" s="990" t="e">
        <f ca="1" t="shared" ref="E7:E13" si="0">SUMIF(INDIRECT("'"&amp;A7&amp;"'"&amp;"!C:C"),"建筑面积",INDIRECT("'"&amp;A7&amp;"'"&amp;"!D:D"))</f>
        <v>#REF!</v>
      </c>
      <c r="F7" s="987"/>
      <c r="G7" s="987"/>
      <c r="H7" s="987"/>
      <c r="I7" s="987"/>
      <c r="J7" s="987"/>
      <c r="K7" s="987"/>
      <c r="L7" s="987"/>
      <c r="M7" s="987"/>
      <c r="N7" s="987"/>
      <c r="O7" s="987"/>
      <c r="P7" s="987"/>
    </row>
    <row r="8" ht="15.5" spans="1:16">
      <c r="A8" s="996"/>
      <c r="B8" s="989" t="e">
        <f ca="1" t="shared" ref="B8:B13" si="1">SUMIF(INDIRECT("'"&amp;A8&amp;"'"&amp;"!A:A"),"总价",INDIRECT("'"&amp;A8&amp;"'"&amp;"!B:B"))</f>
        <v>#REF!</v>
      </c>
      <c r="C8" s="988" t="s">
        <v>1712</v>
      </c>
      <c r="D8" s="987"/>
      <c r="E8" s="990" t="e">
        <f ca="1" t="shared" si="0"/>
        <v>#REF!</v>
      </c>
      <c r="F8" s="987"/>
      <c r="G8" s="987"/>
      <c r="H8" s="987"/>
      <c r="I8" s="987"/>
      <c r="J8" s="987"/>
      <c r="K8" s="987"/>
      <c r="L8" s="987"/>
      <c r="M8" s="987"/>
      <c r="N8" s="987"/>
      <c r="O8" s="987"/>
      <c r="P8" s="987"/>
    </row>
    <row r="9" ht="15.5" spans="1:16">
      <c r="A9" s="996"/>
      <c r="B9" s="989" t="e">
        <f ca="1" t="shared" si="1"/>
        <v>#REF!</v>
      </c>
      <c r="C9" s="988" t="s">
        <v>1712</v>
      </c>
      <c r="D9" s="987"/>
      <c r="E9" s="990" t="e">
        <f ca="1" t="shared" si="0"/>
        <v>#REF!</v>
      </c>
      <c r="F9" s="987"/>
      <c r="G9" s="987"/>
      <c r="H9" s="987"/>
      <c r="I9" s="987"/>
      <c r="J9" s="987"/>
      <c r="K9" s="987"/>
      <c r="L9" s="987"/>
      <c r="M9" s="987"/>
      <c r="N9" s="987"/>
      <c r="O9" s="987"/>
      <c r="P9" s="987"/>
    </row>
    <row r="10" ht="15.5" spans="1:16">
      <c r="A10" s="996"/>
      <c r="B10" s="989" t="e">
        <f ca="1" t="shared" si="1"/>
        <v>#REF!</v>
      </c>
      <c r="C10" s="988" t="s">
        <v>1712</v>
      </c>
      <c r="D10" s="987"/>
      <c r="E10" s="990" t="e">
        <f ca="1" t="shared" si="0"/>
        <v>#REF!</v>
      </c>
      <c r="F10" s="987"/>
      <c r="G10" s="987"/>
      <c r="H10" s="987"/>
      <c r="I10" s="987"/>
      <c r="J10" s="987"/>
      <c r="K10" s="987"/>
      <c r="L10" s="987"/>
      <c r="M10" s="987"/>
      <c r="N10" s="987"/>
      <c r="O10" s="987"/>
      <c r="P10" s="987"/>
    </row>
    <row r="11" ht="15.5" spans="1:16">
      <c r="A11" s="996"/>
      <c r="B11" s="989" t="e">
        <f ca="1" t="shared" si="1"/>
        <v>#REF!</v>
      </c>
      <c r="C11" s="988" t="s">
        <v>1712</v>
      </c>
      <c r="D11" s="987"/>
      <c r="E11" s="990" t="e">
        <f ca="1" t="shared" si="0"/>
        <v>#REF!</v>
      </c>
      <c r="F11" s="987"/>
      <c r="G11" s="987"/>
      <c r="H11" s="987"/>
      <c r="I11" s="987"/>
      <c r="J11" s="987"/>
      <c r="K11" s="987"/>
      <c r="L11" s="987"/>
      <c r="M11" s="987"/>
      <c r="N11" s="987"/>
      <c r="O11" s="987"/>
      <c r="P11" s="987"/>
    </row>
    <row r="12" ht="15.5" spans="1:16">
      <c r="A12" s="996"/>
      <c r="B12" s="989" t="e">
        <f ca="1" t="shared" si="1"/>
        <v>#REF!</v>
      </c>
      <c r="C12" s="988" t="s">
        <v>1712</v>
      </c>
      <c r="D12" s="987"/>
      <c r="E12" s="990" t="e">
        <f ca="1" t="shared" si="0"/>
        <v>#REF!</v>
      </c>
      <c r="F12" s="987"/>
      <c r="G12" s="987"/>
      <c r="H12" s="987"/>
      <c r="I12" s="987"/>
      <c r="J12" s="987"/>
      <c r="K12" s="987"/>
      <c r="L12" s="987"/>
      <c r="M12" s="987"/>
      <c r="N12" s="987"/>
      <c r="O12" s="987"/>
      <c r="P12" s="987"/>
    </row>
    <row r="13" ht="15.5" spans="1:16">
      <c r="A13" s="996"/>
      <c r="B13" s="989" t="e">
        <f ca="1" t="shared" si="1"/>
        <v>#REF!</v>
      </c>
      <c r="C13" s="988" t="s">
        <v>1712</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G83" sqref="G83:G90"/>
    </sheetView>
  </sheetViews>
  <sheetFormatPr defaultColWidth="12" defaultRowHeight="12.5"/>
  <cols>
    <col min="1" max="1" width="9.75454545454545" style="582" customWidth="1"/>
    <col min="2" max="2" width="22.5" style="583" customWidth="1"/>
    <col min="3" max="3" width="12" style="584"/>
    <col min="4" max="4" width="14.8727272727273" style="584" customWidth="1"/>
    <col min="5" max="5" width="14.6272727272727" style="584" customWidth="1"/>
    <col min="6" max="8" width="12" style="584"/>
    <col min="9" max="9" width="12.2545454545455" style="584" customWidth="1"/>
    <col min="10" max="10" width="12" style="584"/>
    <col min="11" max="11" width="8.12727272727273" style="585" customWidth="1"/>
    <col min="12" max="12" width="19.5" style="584" customWidth="1"/>
    <col min="13" max="13" width="8.5" style="584" customWidth="1"/>
    <col min="14" max="14" width="9.75454545454545" style="584" customWidth="1"/>
    <col min="15" max="25" width="12" style="584"/>
    <col min="26" max="26" width="9.37272727272727" style="582" customWidth="1"/>
    <col min="27" max="32" width="9.37272727272727" style="586" customWidth="1"/>
    <col min="33" max="36" width="9.37272727272727" style="582" customWidth="1"/>
    <col min="37" max="38" width="9.37272727272727" style="584" customWidth="1"/>
    <col min="39" max="16384" width="12" style="584"/>
  </cols>
  <sheetData>
    <row r="1" ht="30" spans="1:36">
      <c r="A1" s="402" t="s">
        <v>1720</v>
      </c>
      <c r="B1" s="403"/>
      <c r="C1" s="406" t="s">
        <v>1015</v>
      </c>
      <c r="D1" s="587">
        <f>SUM(D33:D34,D37:D42)</f>
        <v>36094.88</v>
      </c>
      <c r="E1" s="588"/>
      <c r="F1" s="588"/>
      <c r="G1" s="588"/>
      <c r="H1" s="588"/>
      <c r="I1" s="588"/>
      <c r="J1" s="588"/>
      <c r="K1" s="580"/>
      <c r="L1" s="800" t="s">
        <v>1721</v>
      </c>
      <c r="M1" s="801">
        <f>SUMPRODUCT((区片价!B5:B9=I2)*(区片价!C3:G3=E2)*(区片价!C5:G9))</f>
        <v>0</v>
      </c>
      <c r="N1" s="802">
        <f>SUMPRODUCT((因素修正幅度!B5:B9=I2)*(因素修正幅度!C3:G3=E2)*(因素修正幅度!C5:G9))</f>
        <v>0</v>
      </c>
      <c r="O1" s="581"/>
      <c r="P1" s="581"/>
      <c r="Q1" s="580"/>
      <c r="R1" s="895" t="s">
        <v>1722</v>
      </c>
      <c r="S1" s="895" t="s">
        <v>1723</v>
      </c>
      <c r="T1" s="895" t="s">
        <v>1724</v>
      </c>
      <c r="U1" s="895" t="s">
        <v>1725</v>
      </c>
      <c r="V1" s="895" t="s">
        <v>1726</v>
      </c>
      <c r="W1" s="896"/>
      <c r="X1" s="896"/>
      <c r="Y1" s="896"/>
      <c r="Z1" s="896"/>
      <c r="AA1" s="896"/>
      <c r="AB1" s="896"/>
      <c r="AC1" s="909"/>
      <c r="AD1" s="910"/>
      <c r="AE1" s="910"/>
      <c r="AF1" s="910"/>
      <c r="AG1" s="910"/>
      <c r="AH1" s="910"/>
      <c r="AI1" s="910"/>
      <c r="AJ1" s="919"/>
    </row>
    <row r="2" ht="15.5" spans="1:36">
      <c r="A2" s="406" t="s">
        <v>1012</v>
      </c>
      <c r="B2" s="410" t="e">
        <f>C30</f>
        <v>#DIV/0!</v>
      </c>
      <c r="C2" s="589" t="s">
        <v>1013</v>
      </c>
      <c r="D2" s="590" t="s">
        <v>1727</v>
      </c>
      <c r="E2" s="591" t="s">
        <v>408</v>
      </c>
      <c r="F2" s="590" t="s">
        <v>1728</v>
      </c>
      <c r="G2" s="592">
        <f>IF(E2="商业",项目基本情况!B37,IF(E2="办公",项目基本情况!C37,IF(E2="住宅",项目基本情况!D37,IF(E2="工业",项目基本情况!E37,项目基本情况!F37))))</f>
        <v>0</v>
      </c>
      <c r="H2" s="590" t="s">
        <v>1729</v>
      </c>
      <c r="I2" s="592">
        <f>IF(E2="商业",项目基本情况!B38,IF(E2="办公",项目基本情况!C38,IF(E2="住宅",项目基本情况!D38,IF(E2="工业",项目基本情况!E38,项目基本情况!F38))))</f>
        <v>0</v>
      </c>
      <c r="J2" s="803"/>
      <c r="K2" s="580"/>
      <c r="L2" s="804" t="s">
        <v>1730</v>
      </c>
      <c r="M2" s="805">
        <f>SUMPRODUCT((区片价!B10:B29=I2)*(区片价!C3:G3=E2)*(区片价!C10:G29))</f>
        <v>0</v>
      </c>
      <c r="N2" s="802">
        <f>SUMPRODUCT((因素修正幅度!B10:B29=I2)*(因素修正幅度!C3:G3=E2)*(因素修正幅度!C10:G29))</f>
        <v>0</v>
      </c>
      <c r="O2" s="580"/>
      <c r="P2" s="580"/>
      <c r="Q2" s="580"/>
      <c r="R2" s="895">
        <v>1</v>
      </c>
      <c r="S2" s="897">
        <f>ROUND(SUMPRODUCT((B106:B110=R2)*(C105:N105=G2)*(C106:N110)),4)</f>
        <v>0</v>
      </c>
      <c r="T2" s="897" t="e">
        <f t="shared" ref="T2:T16" si="0">ROUND($C$5*$C$22*$C$23*$C$24*S2*$C$28,0)</f>
        <v>#DIV/0!</v>
      </c>
      <c r="U2" s="898"/>
      <c r="V2" s="897" t="e">
        <f>ROUND(T2*U2/10000,0)</f>
        <v>#DIV/0!</v>
      </c>
      <c r="W2" s="896"/>
      <c r="X2" s="896"/>
      <c r="Y2" s="896"/>
      <c r="Z2" s="896"/>
      <c r="AA2" s="896"/>
      <c r="AB2" s="896"/>
      <c r="AC2" s="909"/>
      <c r="AD2" s="910"/>
      <c r="AE2" s="910"/>
      <c r="AF2" s="910"/>
      <c r="AG2" s="910"/>
      <c r="AH2" s="910"/>
      <c r="AI2" s="910"/>
      <c r="AJ2" s="919"/>
    </row>
    <row r="3" ht="15.5" spans="1:36">
      <c r="A3" s="409" t="s">
        <v>1014</v>
      </c>
      <c r="B3" s="410" t="e">
        <f>ROUND(B2*10000/D1,0)</f>
        <v>#DIV/0!</v>
      </c>
      <c r="C3" s="589" t="s">
        <v>1106</v>
      </c>
      <c r="D3" s="590" t="s">
        <v>1731</v>
      </c>
      <c r="E3" s="593" t="s">
        <v>1732</v>
      </c>
      <c r="F3" s="594" t="s">
        <v>1733</v>
      </c>
      <c r="G3" s="595">
        <f>IF(F3="宗地容积率",'数据-汇总表'!I4,IF(F3="估价对象容积率",'数据-汇总表'!I6,'数据-汇总表'!I7))</f>
        <v>3.82</v>
      </c>
      <c r="H3" s="596" t="s">
        <v>1734</v>
      </c>
      <c r="I3" s="806"/>
      <c r="J3" s="803" t="s">
        <v>1735</v>
      </c>
      <c r="K3" s="580"/>
      <c r="L3" s="804" t="s">
        <v>1736</v>
      </c>
      <c r="M3" s="805">
        <f>SUMPRODUCT((区片价!B30:B54=I2)*(区片价!C3:G3=E2)*(区片价!C30:G54))</f>
        <v>0</v>
      </c>
      <c r="N3" s="802">
        <f>SUMPRODUCT((因素修正幅度!B30:B54=I2)*(因素修正幅度!C3:G3=E2)*(因素修正幅度!C30:G54))</f>
        <v>0</v>
      </c>
      <c r="O3" s="580"/>
      <c r="P3" s="580"/>
      <c r="Q3" s="580"/>
      <c r="R3" s="895">
        <v>2</v>
      </c>
      <c r="S3" s="897">
        <f>ROUND(SUMPRODUCT((B106:B110=R3)*(C105:N105=G2)*(C106:N110)),4)</f>
        <v>0</v>
      </c>
      <c r="T3" s="897" t="e">
        <f t="shared" si="0"/>
        <v>#DIV/0!</v>
      </c>
      <c r="U3" s="898"/>
      <c r="V3" s="897" t="e">
        <f t="shared" ref="V3:V16" si="1">ROUND(T3*U3/10000,0)</f>
        <v>#DIV/0!</v>
      </c>
      <c r="W3" s="896"/>
      <c r="X3" s="896"/>
      <c r="Y3" s="896"/>
      <c r="Z3" s="896"/>
      <c r="AA3" s="896"/>
      <c r="AB3" s="896"/>
      <c r="AC3" s="909"/>
      <c r="AD3" s="910"/>
      <c r="AE3" s="910"/>
      <c r="AF3" s="910"/>
      <c r="AG3" s="910"/>
      <c r="AH3" s="910"/>
      <c r="AI3" s="910"/>
      <c r="AJ3" s="919"/>
    </row>
    <row r="4" ht="15.5" spans="1:36">
      <c r="A4" s="597"/>
      <c r="B4" s="598"/>
      <c r="C4" s="598"/>
      <c r="D4" s="599"/>
      <c r="E4" s="599"/>
      <c r="F4" s="599"/>
      <c r="G4" s="599"/>
      <c r="H4" s="599"/>
      <c r="I4" s="599"/>
      <c r="J4" s="807"/>
      <c r="K4" s="580"/>
      <c r="L4" s="804" t="s">
        <v>1737</v>
      </c>
      <c r="M4" s="805">
        <f>SUMPRODUCT((区片价!B55:B86=I2)*(区片价!C3:G3=E2)*(区片价!C55:G86))</f>
        <v>0</v>
      </c>
      <c r="N4" s="802">
        <f>SUMPRODUCT((因素修正幅度!B55:B86=I2)*(因素修正幅度!C3:G3=E2)*(因素修正幅度!C55:G86))</f>
        <v>0</v>
      </c>
      <c r="O4" s="580"/>
      <c r="P4" s="580"/>
      <c r="Q4" s="580"/>
      <c r="R4" s="895">
        <v>3</v>
      </c>
      <c r="S4" s="897">
        <f>ROUND(SUMPRODUCT((B106:B110=R4)*(C105:N105=G2)*(C106:N110)),4)</f>
        <v>0</v>
      </c>
      <c r="T4" s="897" t="e">
        <f t="shared" si="0"/>
        <v>#DIV/0!</v>
      </c>
      <c r="U4" s="898"/>
      <c r="V4" s="897" t="e">
        <f t="shared" si="1"/>
        <v>#DIV/0!</v>
      </c>
      <c r="W4" s="896"/>
      <c r="X4" s="896"/>
      <c r="Y4" s="896"/>
      <c r="Z4" s="896"/>
      <c r="AA4" s="896"/>
      <c r="AB4" s="896"/>
      <c r="AC4" s="909"/>
      <c r="AD4" s="910"/>
      <c r="AE4" s="910"/>
      <c r="AF4" s="910"/>
      <c r="AG4" s="910"/>
      <c r="AH4" s="910"/>
      <c r="AI4" s="910"/>
      <c r="AJ4" s="919"/>
    </row>
    <row r="5" s="579" customFormat="1" ht="16.25" spans="1:36">
      <c r="A5" s="600" t="s">
        <v>912</v>
      </c>
      <c r="B5" s="601" t="s">
        <v>1738</v>
      </c>
      <c r="C5" s="602" t="e">
        <f>ROUND(IF(E2="商业",C6*C7*C17+C20,(IF(E2="住宅",C6*C13*C17+C20,IF(E2="办公",C6*C12*C17+C20,C6+C20)))),0)</f>
        <v>#DIV/0!</v>
      </c>
      <c r="D5" s="603" t="e">
        <f>ROUND(C6*C17+C20,0)</f>
        <v>#DIV/0!</v>
      </c>
      <c r="E5" s="603"/>
      <c r="F5" s="604"/>
      <c r="G5" s="605"/>
      <c r="H5" s="605"/>
      <c r="I5" s="605"/>
      <c r="J5" s="808"/>
      <c r="K5" s="809"/>
      <c r="L5" s="804" t="s">
        <v>1739</v>
      </c>
      <c r="M5" s="805">
        <f>SUMPRODUCT((区片价!B87:B126=I2)*(区片价!C3:G3=E2)*(区片价!C87:G126))</f>
        <v>0</v>
      </c>
      <c r="N5" s="802">
        <f>SUMPRODUCT((因素修正幅度!B87:B126=I2)*(因素修正幅度!C3:G3=E2)*(因素修正幅度!C87:G126))</f>
        <v>0</v>
      </c>
      <c r="O5" s="580"/>
      <c r="P5" s="580"/>
      <c r="Q5" s="580"/>
      <c r="R5" s="895">
        <v>4</v>
      </c>
      <c r="S5" s="897">
        <f>ROUND(SUMPRODUCT((B106:B110=R5)*(C105:N105=G2)*(C106:N110)),4)</f>
        <v>0</v>
      </c>
      <c r="T5" s="897" t="e">
        <f t="shared" si="0"/>
        <v>#DIV/0!</v>
      </c>
      <c r="U5" s="898"/>
      <c r="V5" s="897" t="e">
        <f t="shared" si="1"/>
        <v>#DIV/0!</v>
      </c>
      <c r="W5" s="896"/>
      <c r="X5" s="896"/>
      <c r="Y5" s="896"/>
      <c r="Z5" s="896"/>
      <c r="AA5" s="896"/>
      <c r="AB5" s="896"/>
      <c r="AC5" s="911"/>
      <c r="AD5" s="912"/>
      <c r="AE5" s="912"/>
      <c r="AF5" s="912"/>
      <c r="AG5" s="912"/>
      <c r="AH5" s="912"/>
      <c r="AI5" s="912"/>
      <c r="AJ5" s="920"/>
    </row>
    <row r="6" ht="16.25" spans="1:36">
      <c r="A6" s="606" t="s">
        <v>1108</v>
      </c>
      <c r="B6" s="607" t="s">
        <v>1740</v>
      </c>
      <c r="C6" s="608">
        <f>SUMIF(L1:L12,G2,M1:M12)</f>
        <v>0</v>
      </c>
      <c r="D6" s="609"/>
      <c r="E6" s="610"/>
      <c r="F6" s="610"/>
      <c r="G6" s="611"/>
      <c r="H6" s="611"/>
      <c r="I6" s="611"/>
      <c r="J6" s="810"/>
      <c r="K6" s="811"/>
      <c r="L6" s="804" t="s">
        <v>1741</v>
      </c>
      <c r="M6" s="805">
        <f>SUMPRODUCT((区片价!B127:B189=I2)*(区片价!C3:G3=E2)*(区片价!C127:G189))</f>
        <v>0</v>
      </c>
      <c r="N6" s="802">
        <f>SUMPRODUCT((因素修正幅度!B127:B189=I2)*(因素修正幅度!C3:G3=E2)*(因素修正幅度!C127:G189))</f>
        <v>0</v>
      </c>
      <c r="O6" s="580"/>
      <c r="P6" s="580"/>
      <c r="Q6" s="580"/>
      <c r="R6" s="895">
        <v>5</v>
      </c>
      <c r="S6" s="897">
        <f>ROUND(SUMPRODUCT((B106:B110=R6)*(C105:N105=G2)*(C106:N110)),4)</f>
        <v>0</v>
      </c>
      <c r="T6" s="897" t="e">
        <f t="shared" si="0"/>
        <v>#DIV/0!</v>
      </c>
      <c r="U6" s="898"/>
      <c r="V6" s="897" t="e">
        <f t="shared" si="1"/>
        <v>#DIV/0!</v>
      </c>
      <c r="W6" s="896"/>
      <c r="X6" s="896"/>
      <c r="Y6" s="896"/>
      <c r="Z6" s="896"/>
      <c r="AA6" s="896"/>
      <c r="AB6" s="896"/>
      <c r="AC6" s="911"/>
      <c r="AD6" s="912"/>
      <c r="AE6" s="912"/>
      <c r="AF6" s="912"/>
      <c r="AG6" s="912"/>
      <c r="AH6" s="912"/>
      <c r="AI6" s="912"/>
      <c r="AJ6" s="920"/>
    </row>
    <row r="7" ht="26.75" hidden="1" spans="1:36">
      <c r="A7" s="612" t="s">
        <v>1742</v>
      </c>
      <c r="B7" s="613" t="s">
        <v>1743</v>
      </c>
      <c r="C7" s="614">
        <f>IF(C8="不临65条商业街",1,ROUND(1+(1.6*E8+1.2*E9+0.8*E10+0.4*E11)*C9,4))</f>
        <v>1</v>
      </c>
      <c r="D7" s="615" t="s">
        <v>1744</v>
      </c>
      <c r="E7" s="616"/>
      <c r="F7" s="617"/>
      <c r="G7" s="618"/>
      <c r="H7" s="618"/>
      <c r="I7" s="618"/>
      <c r="J7" s="812"/>
      <c r="K7" s="811"/>
      <c r="L7" s="804" t="s">
        <v>1745</v>
      </c>
      <c r="M7" s="805">
        <f>SUMPRODUCT((区片价!B190:B233=I2)*(区片价!C3:G3=E2)*(区片价!C190:G233))</f>
        <v>0</v>
      </c>
      <c r="N7" s="802">
        <f>SUMPRODUCT((因素修正幅度!B190:B233=I2)*(因素修正幅度!C3:G3=E2)*(因素修正幅度!C190:G233))</f>
        <v>0</v>
      </c>
      <c r="O7" s="580"/>
      <c r="P7" s="580"/>
      <c r="Q7" s="580"/>
      <c r="R7" s="895">
        <v>6</v>
      </c>
      <c r="S7" s="899"/>
      <c r="T7" s="897" t="e">
        <f t="shared" si="0"/>
        <v>#DIV/0!</v>
      </c>
      <c r="U7" s="898"/>
      <c r="V7" s="897" t="e">
        <f t="shared" si="1"/>
        <v>#DIV/0!</v>
      </c>
      <c r="W7" s="900" t="s">
        <v>1746</v>
      </c>
      <c r="X7" s="901">
        <f>G2</f>
        <v>0</v>
      </c>
      <c r="Y7" s="901" t="s">
        <v>1747</v>
      </c>
      <c r="Z7" s="913">
        <f>G3</f>
        <v>3.82</v>
      </c>
      <c r="AA7" s="896"/>
      <c r="AB7" s="896"/>
      <c r="AC7" s="909"/>
      <c r="AD7" s="910"/>
      <c r="AE7" s="910"/>
      <c r="AF7" s="910"/>
      <c r="AG7" s="910"/>
      <c r="AH7" s="910"/>
      <c r="AI7" s="910"/>
      <c r="AJ7" s="919"/>
    </row>
    <row r="8" ht="26" hidden="1" spans="1:36">
      <c r="A8" s="619"/>
      <c r="B8" s="596" t="s">
        <v>1748</v>
      </c>
      <c r="C8" s="620" t="s">
        <v>1749</v>
      </c>
      <c r="D8" s="621" t="s">
        <v>1750</v>
      </c>
      <c r="E8" s="622" t="e">
        <f>ROUND(C11/E7,4)</f>
        <v>#DIV/0!</v>
      </c>
      <c r="F8" s="623" t="s">
        <v>1751</v>
      </c>
      <c r="G8" s="624"/>
      <c r="H8" s="624"/>
      <c r="I8" s="624"/>
      <c r="J8" s="813"/>
      <c r="K8" s="580"/>
      <c r="L8" s="804" t="s">
        <v>1752</v>
      </c>
      <c r="M8" s="805">
        <f>SUMPRODUCT((区片价!B234:B276=I2)*(区片价!C3:G3=E2)*(区片价!C234:G276))</f>
        <v>0</v>
      </c>
      <c r="N8" s="802">
        <f>SUMPRODUCT((因素修正幅度!B234:B276=I2)*(因素修正幅度!C3:G3=E2)*(因素修正幅度!C234:G276))</f>
        <v>0</v>
      </c>
      <c r="O8" s="580"/>
      <c r="P8" s="580"/>
      <c r="Q8" s="580"/>
      <c r="R8" s="895">
        <v>7</v>
      </c>
      <c r="S8" s="898"/>
      <c r="T8" s="897" t="e">
        <f t="shared" si="0"/>
        <v>#DIV/0!</v>
      </c>
      <c r="U8" s="898"/>
      <c r="V8" s="897" t="e">
        <f t="shared" si="1"/>
        <v>#DIV/0!</v>
      </c>
      <c r="W8" s="902" t="s">
        <v>1753</v>
      </c>
      <c r="X8" s="903"/>
      <c r="Y8" s="914" t="s">
        <v>1754</v>
      </c>
      <c r="Z8" s="914" t="s">
        <v>1755</v>
      </c>
      <c r="AA8" s="914" t="s">
        <v>1756</v>
      </c>
      <c r="AB8" s="914" t="s">
        <v>1757</v>
      </c>
      <c r="AC8" s="914" t="s">
        <v>1758</v>
      </c>
      <c r="AD8" s="914" t="s">
        <v>1759</v>
      </c>
      <c r="AE8" s="914" t="s">
        <v>1760</v>
      </c>
      <c r="AF8" s="914" t="s">
        <v>1761</v>
      </c>
      <c r="AG8" s="914" t="s">
        <v>1762</v>
      </c>
      <c r="AH8" s="914" t="s">
        <v>1763</v>
      </c>
      <c r="AI8" s="914" t="s">
        <v>1764</v>
      </c>
      <c r="AJ8" s="914" t="s">
        <v>1765</v>
      </c>
    </row>
    <row r="9" ht="15.5" hidden="1" spans="1:36">
      <c r="A9" s="619"/>
      <c r="B9" s="596" t="s">
        <v>1766</v>
      </c>
      <c r="C9" s="625">
        <f>SUMIF(修正!C71:C138,C8,修正!E71:E138)</f>
        <v>0</v>
      </c>
      <c r="D9" s="626" t="s">
        <v>1767</v>
      </c>
      <c r="E9" s="626" t="e">
        <f>ROUND(C11/E7,4)</f>
        <v>#DIV/0!</v>
      </c>
      <c r="F9" s="623" t="s">
        <v>1768</v>
      </c>
      <c r="G9" s="624"/>
      <c r="H9" s="624"/>
      <c r="I9" s="624"/>
      <c r="J9" s="813"/>
      <c r="K9" s="580"/>
      <c r="L9" s="804" t="s">
        <v>1769</v>
      </c>
      <c r="M9" s="805">
        <f>SUMPRODUCT((区片价!B277:B326=I2)*(区片价!C3:G3=E2)*(区片价!C277:G326))</f>
        <v>0</v>
      </c>
      <c r="N9" s="802">
        <f>SUMPRODUCT((因素修正幅度!B277:B326=I2)*(因素修正幅度!C3:G3=E2)*(因素修正幅度!C277:G326))</f>
        <v>0</v>
      </c>
      <c r="O9" s="580"/>
      <c r="P9" s="580"/>
      <c r="Q9" s="580"/>
      <c r="R9" s="895">
        <v>8</v>
      </c>
      <c r="S9" s="898"/>
      <c r="T9" s="897" t="e">
        <f t="shared" si="0"/>
        <v>#DIV/0!</v>
      </c>
      <c r="U9" s="898"/>
      <c r="V9" s="897" t="e">
        <f t="shared" si="1"/>
        <v>#DIV/0!</v>
      </c>
      <c r="W9" s="900"/>
      <c r="X9" s="904" t="s">
        <v>1770</v>
      </c>
      <c r="Y9" s="915">
        <v>6</v>
      </c>
      <c r="Z9" s="916">
        <f>$Y$9</f>
        <v>6</v>
      </c>
      <c r="AA9" s="916">
        <f t="shared" ref="AA9:AJ9" si="2">$Y$9</f>
        <v>6</v>
      </c>
      <c r="AB9" s="916">
        <f t="shared" si="2"/>
        <v>6</v>
      </c>
      <c r="AC9" s="916">
        <f t="shared" si="2"/>
        <v>6</v>
      </c>
      <c r="AD9" s="916">
        <f t="shared" si="2"/>
        <v>6</v>
      </c>
      <c r="AE9" s="916">
        <f t="shared" si="2"/>
        <v>6</v>
      </c>
      <c r="AF9" s="916">
        <f t="shared" si="2"/>
        <v>6</v>
      </c>
      <c r="AG9" s="916">
        <f t="shared" si="2"/>
        <v>6</v>
      </c>
      <c r="AH9" s="916">
        <f t="shared" si="2"/>
        <v>6</v>
      </c>
      <c r="AI9" s="916">
        <f t="shared" si="2"/>
        <v>6</v>
      </c>
      <c r="AJ9" s="916">
        <f t="shared" si="2"/>
        <v>6</v>
      </c>
    </row>
    <row r="10" ht="15.5" hidden="1" spans="1:36">
      <c r="A10" s="619"/>
      <c r="B10" s="596" t="s">
        <v>1771</v>
      </c>
      <c r="C10" s="626">
        <f>SUMIF(修正!C71:C138,C8,修正!F71:F138)</f>
        <v>0</v>
      </c>
      <c r="D10" s="626" t="s">
        <v>1772</v>
      </c>
      <c r="E10" s="626" t="e">
        <f>ROUND(C11/E7,4)</f>
        <v>#DIV/0!</v>
      </c>
      <c r="F10" s="623" t="s">
        <v>1773</v>
      </c>
      <c r="G10" s="624"/>
      <c r="H10" s="624"/>
      <c r="I10" s="624"/>
      <c r="J10" s="813"/>
      <c r="K10" s="580"/>
      <c r="L10" s="804" t="s">
        <v>1774</v>
      </c>
      <c r="M10" s="805">
        <f>SUMPRODUCT((区片价!B327:B357=I2)*(区片价!C3:G3=E2)*(区片价!C327:G357))</f>
        <v>0</v>
      </c>
      <c r="N10" s="802">
        <f>SUMPRODUCT((因素修正幅度!B327:B357=I2)*(因素修正幅度!C3:G3=E2)*(因素修正幅度!C327:G357))</f>
        <v>0</v>
      </c>
      <c r="O10" s="580"/>
      <c r="P10" s="580"/>
      <c r="Q10" s="580"/>
      <c r="R10" s="895">
        <v>9</v>
      </c>
      <c r="S10" s="898"/>
      <c r="T10" s="897" t="e">
        <f t="shared" si="0"/>
        <v>#DIV/0!</v>
      </c>
      <c r="U10" s="898"/>
      <c r="V10" s="897" t="e">
        <f t="shared" si="1"/>
        <v>#DIV/0!</v>
      </c>
      <c r="W10" s="900"/>
      <c r="X10" s="904">
        <v>6</v>
      </c>
      <c r="Y10" s="917">
        <f>ROUND((-0.5556*(Y9^2)-0.2719*Y9+8944)*(10^(-4)),4)</f>
        <v>0.8922</v>
      </c>
      <c r="Z10" s="917">
        <f>ROUND((-0.5556*(Z9^2)-0.2719*Z9+8944)*(10^(-4)),4)</f>
        <v>0.8922</v>
      </c>
      <c r="AA10" s="917">
        <f>ROUND((-0.7912*(AA9^2)-11.3794*AA9+8482)*(10^(-4)),4)</f>
        <v>0.8385</v>
      </c>
      <c r="AB10" s="917">
        <f>ROUND((-0.7912*(AB9^2)-11.3794*AB9+8482)*(10^(-4)),4)</f>
        <v>0.8385</v>
      </c>
      <c r="AC10" s="917">
        <f>ROUND((-0.7912*(AC9^2)-11.3794*AC9+8482)*(10^(-4)),4)</f>
        <v>0.8385</v>
      </c>
      <c r="AD10" s="917">
        <f>ROUND((-0.7912*(AD9^2)-11.3794*AD9+8482)*(10^(-4)),4)</f>
        <v>0.8385</v>
      </c>
      <c r="AE10" s="917">
        <f>ROUND((-0.7912*(AE9^2)-11.3794*AE9+8482)*(10^(-4)),4)</f>
        <v>0.8385</v>
      </c>
      <c r="AF10" s="917">
        <f>ROUND((-0.989*(AF9^2)-63.78*AF9+7771)*(10^(-4)),4)</f>
        <v>0.7353</v>
      </c>
      <c r="AG10" s="917">
        <f>ROUND((-0.989*(AG9^2)-63.78*AG9+7771)*(10^(-4)),4)</f>
        <v>0.7353</v>
      </c>
      <c r="AH10" s="917">
        <f>ROUND((-0.989*(AH9^2)-63.78*AH9+7771)*(10^(-4)),4)</f>
        <v>0.7353</v>
      </c>
      <c r="AI10" s="917">
        <f>ROUND((-0.989*(AI9^2)-63.78*AI9+7771)*(10^(-4)),4)</f>
        <v>0.7353</v>
      </c>
      <c r="AJ10" s="917">
        <f>ROUND((-0.989*(AJ9^2)-63.78*AJ9+7771)*(10^(-4)),4)</f>
        <v>0.7353</v>
      </c>
    </row>
    <row r="11" ht="16.25" hidden="1" spans="1:36">
      <c r="A11" s="627"/>
      <c r="B11" s="628" t="s">
        <v>1775</v>
      </c>
      <c r="C11" s="629">
        <f>C10/4</f>
        <v>0</v>
      </c>
      <c r="D11" s="629" t="s">
        <v>1776</v>
      </c>
      <c r="E11" s="629" t="e">
        <f>ROUND(C11/E7,4)</f>
        <v>#DIV/0!</v>
      </c>
      <c r="F11" s="630" t="s">
        <v>1777</v>
      </c>
      <c r="G11" s="631"/>
      <c r="H11" s="631"/>
      <c r="I11" s="631"/>
      <c r="J11" s="814"/>
      <c r="K11" s="580"/>
      <c r="L11" s="804" t="s">
        <v>1778</v>
      </c>
      <c r="M11" s="805">
        <f>SUMPRODUCT((区片价!B358:B377=I2)*(区片价!C3:G3=E2)*(区片价!C358:G377))</f>
        <v>0</v>
      </c>
      <c r="N11" s="802">
        <f>SUMPRODUCT((因素修正幅度!B358:B377=I2)*(因素修正幅度!C3:G3=E2)*(因素修正幅度!C358:G377))</f>
        <v>0</v>
      </c>
      <c r="O11" s="580"/>
      <c r="P11" s="580"/>
      <c r="Q11" s="580"/>
      <c r="R11" s="895">
        <v>10</v>
      </c>
      <c r="S11" s="898"/>
      <c r="T11" s="897" t="e">
        <f t="shared" si="0"/>
        <v>#DIV/0!</v>
      </c>
      <c r="U11" s="898"/>
      <c r="V11" s="897" t="e">
        <f t="shared" si="1"/>
        <v>#DIV/0!</v>
      </c>
      <c r="W11" s="896"/>
      <c r="X11" s="896"/>
      <c r="Y11" s="896"/>
      <c r="Z11" s="896"/>
      <c r="AA11" s="896"/>
      <c r="AB11" s="896"/>
      <c r="AC11" s="909"/>
      <c r="AD11" s="918"/>
      <c r="AE11" s="918"/>
      <c r="AF11" s="918"/>
      <c r="AG11" s="918"/>
      <c r="AH11" s="918"/>
      <c r="AI11" s="918"/>
      <c r="AJ11" s="921"/>
    </row>
    <row r="12" ht="26.75" hidden="1" spans="1:36">
      <c r="A12" s="612" t="s">
        <v>1779</v>
      </c>
      <c r="B12" s="632" t="s">
        <v>1780</v>
      </c>
      <c r="C12" s="633"/>
      <c r="D12" s="634" t="s">
        <v>1781</v>
      </c>
      <c r="E12" s="635" t="s">
        <v>1782</v>
      </c>
      <c r="F12" s="636"/>
      <c r="G12" s="637"/>
      <c r="H12" s="637"/>
      <c r="I12" s="637"/>
      <c r="J12" s="815"/>
      <c r="K12" s="580"/>
      <c r="L12" s="816" t="s">
        <v>1783</v>
      </c>
      <c r="M12" s="817">
        <f>SUMPRODUCT((区片价!B378:B384=I2)*(区片价!C3:G3=E2)*(区片价!C378:G384))</f>
        <v>0</v>
      </c>
      <c r="N12" s="802">
        <f>SUMPRODUCT((因素修正幅度!B378:B384=I2)*(因素修正幅度!C3:G3=E2)*(因素修正幅度!C378:G384))</f>
        <v>0</v>
      </c>
      <c r="O12" s="580"/>
      <c r="P12" s="580"/>
      <c r="Q12" s="580"/>
      <c r="R12" s="895">
        <v>11</v>
      </c>
      <c r="S12" s="898"/>
      <c r="T12" s="897" t="e">
        <f t="shared" si="0"/>
        <v>#DIV/0!</v>
      </c>
      <c r="U12" s="898"/>
      <c r="V12" s="897" t="e">
        <f t="shared" si="1"/>
        <v>#DIV/0!</v>
      </c>
      <c r="W12" s="896"/>
      <c r="X12" s="896"/>
      <c r="Y12" s="896"/>
      <c r="Z12" s="896"/>
      <c r="AA12" s="896"/>
      <c r="AB12" s="896"/>
      <c r="AC12" s="909"/>
      <c r="AD12" s="918"/>
      <c r="AE12" s="918"/>
      <c r="AF12" s="918"/>
      <c r="AG12" s="918"/>
      <c r="AH12" s="918"/>
      <c r="AI12" s="918"/>
      <c r="AJ12" s="921"/>
    </row>
    <row r="13" ht="26.75" hidden="1" spans="1:36">
      <c r="A13" s="612" t="s">
        <v>1784</v>
      </c>
      <c r="B13" s="638" t="s">
        <v>1785</v>
      </c>
      <c r="C13" s="614">
        <f>ROUND(C16*D16*E16*F16*G16*H16*I16*J16,4)</f>
        <v>0</v>
      </c>
      <c r="D13" s="639" t="s">
        <v>1786</v>
      </c>
      <c r="E13" s="640"/>
      <c r="F13" s="640"/>
      <c r="G13" s="641"/>
      <c r="H13" s="641"/>
      <c r="I13" s="641"/>
      <c r="J13" s="818"/>
      <c r="K13" s="580"/>
      <c r="L13" s="819"/>
      <c r="M13" s="820"/>
      <c r="N13" s="821"/>
      <c r="O13" s="580"/>
      <c r="P13" s="580"/>
      <c r="Q13" s="580"/>
      <c r="R13" s="895">
        <v>12</v>
      </c>
      <c r="S13" s="898"/>
      <c r="T13" s="897" t="e">
        <f t="shared" si="0"/>
        <v>#DIV/0!</v>
      </c>
      <c r="U13" s="898"/>
      <c r="V13" s="897" t="e">
        <f t="shared" si="1"/>
        <v>#DIV/0!</v>
      </c>
      <c r="W13" s="896"/>
      <c r="X13" s="896"/>
      <c r="Y13" s="896"/>
      <c r="Z13" s="896"/>
      <c r="AA13" s="896"/>
      <c r="AB13" s="896"/>
      <c r="AC13" s="909"/>
      <c r="AD13" s="918"/>
      <c r="AE13" s="918"/>
      <c r="AF13" s="918"/>
      <c r="AG13" s="918"/>
      <c r="AH13" s="918"/>
      <c r="AI13" s="918"/>
      <c r="AJ13" s="921"/>
    </row>
    <row r="14" ht="26" hidden="1" spans="1:36">
      <c r="A14" s="642"/>
      <c r="B14" s="643" t="s">
        <v>1787</v>
      </c>
      <c r="C14" s="644" t="s">
        <v>1788</v>
      </c>
      <c r="D14" s="645" t="s">
        <v>1789</v>
      </c>
      <c r="E14" s="646" t="s">
        <v>1790</v>
      </c>
      <c r="F14" s="647" t="s">
        <v>1791</v>
      </c>
      <c r="G14" s="647" t="s">
        <v>1791</v>
      </c>
      <c r="H14" s="647" t="s">
        <v>1791</v>
      </c>
      <c r="I14" s="647" t="s">
        <v>1791</v>
      </c>
      <c r="J14" s="647" t="s">
        <v>1791</v>
      </c>
      <c r="K14" s="580"/>
      <c r="L14" s="580"/>
      <c r="M14" s="580"/>
      <c r="N14" s="580"/>
      <c r="O14" s="580"/>
      <c r="P14" s="580"/>
      <c r="Q14" s="580"/>
      <c r="R14" s="895">
        <v>13</v>
      </c>
      <c r="S14" s="898"/>
      <c r="T14" s="897" t="e">
        <f t="shared" si="0"/>
        <v>#DIV/0!</v>
      </c>
      <c r="U14" s="898"/>
      <c r="V14" s="897" t="e">
        <f t="shared" si="1"/>
        <v>#DIV/0!</v>
      </c>
      <c r="W14" s="896"/>
      <c r="X14" s="896"/>
      <c r="Y14" s="896"/>
      <c r="Z14" s="896"/>
      <c r="AA14" s="896"/>
      <c r="AB14" s="896"/>
      <c r="AC14" s="909"/>
      <c r="AD14" s="918"/>
      <c r="AE14" s="918"/>
      <c r="AF14" s="918"/>
      <c r="AG14" s="918"/>
      <c r="AH14" s="918"/>
      <c r="AI14" s="918"/>
      <c r="AJ14" s="921"/>
    </row>
    <row r="15" ht="15.5" hidden="1" spans="1:36">
      <c r="A15" s="642"/>
      <c r="B15" s="648"/>
      <c r="C15" s="649"/>
      <c r="D15" s="650"/>
      <c r="E15" s="651"/>
      <c r="F15" s="652" t="s">
        <v>1792</v>
      </c>
      <c r="G15" s="653"/>
      <c r="H15" s="654"/>
      <c r="I15" s="822"/>
      <c r="J15" s="823"/>
      <c r="K15" s="580"/>
      <c r="L15" s="580"/>
      <c r="M15" s="580"/>
      <c r="N15" s="580"/>
      <c r="O15" s="580"/>
      <c r="P15" s="580"/>
      <c r="Q15" s="580"/>
      <c r="R15" s="895">
        <v>14</v>
      </c>
      <c r="S15" s="898"/>
      <c r="T15" s="897" t="e">
        <f t="shared" si="0"/>
        <v>#DIV/0!</v>
      </c>
      <c r="U15" s="898"/>
      <c r="V15" s="897" t="e">
        <f t="shared" si="1"/>
        <v>#DIV/0!</v>
      </c>
      <c r="W15" s="896"/>
      <c r="X15" s="896"/>
      <c r="Y15" s="896"/>
      <c r="Z15" s="896"/>
      <c r="AA15" s="896"/>
      <c r="AB15" s="896"/>
      <c r="AC15" s="909"/>
      <c r="AD15" s="918"/>
      <c r="AE15" s="918"/>
      <c r="AF15" s="918"/>
      <c r="AG15" s="918"/>
      <c r="AH15" s="918"/>
      <c r="AI15" s="918"/>
      <c r="AJ15" s="921"/>
    </row>
    <row r="16" ht="16.25" hidden="1" spans="1:36">
      <c r="A16" s="642"/>
      <c r="B16" s="655" t="s">
        <v>1694</v>
      </c>
      <c r="C16" s="656"/>
      <c r="D16" s="656"/>
      <c r="E16" s="656"/>
      <c r="F16" s="656">
        <v>1</v>
      </c>
      <c r="G16" s="656">
        <v>1</v>
      </c>
      <c r="H16" s="656">
        <v>1</v>
      </c>
      <c r="I16" s="656">
        <v>1</v>
      </c>
      <c r="J16" s="824">
        <v>1</v>
      </c>
      <c r="K16" s="580"/>
      <c r="L16" s="581"/>
      <c r="M16" s="581"/>
      <c r="N16" s="581"/>
      <c r="O16" s="581"/>
      <c r="P16" s="581"/>
      <c r="Q16" s="580"/>
      <c r="R16" s="895">
        <v>15</v>
      </c>
      <c r="S16" s="898"/>
      <c r="T16" s="897" t="e">
        <f t="shared" si="0"/>
        <v>#DIV/0!</v>
      </c>
      <c r="U16" s="898"/>
      <c r="V16" s="897" t="e">
        <f t="shared" si="1"/>
        <v>#DIV/0!</v>
      </c>
      <c r="W16" s="896"/>
      <c r="X16" s="896"/>
      <c r="Y16" s="896"/>
      <c r="Z16" s="896"/>
      <c r="AA16" s="896"/>
      <c r="AB16" s="896"/>
      <c r="AC16" s="909"/>
      <c r="AD16" s="918"/>
      <c r="AE16" s="918"/>
      <c r="AF16" s="918"/>
      <c r="AG16" s="918"/>
      <c r="AH16" s="918"/>
      <c r="AI16" s="918"/>
      <c r="AJ16" s="921"/>
    </row>
    <row r="17" ht="26" hidden="1" spans="1:36">
      <c r="A17" s="657" t="s">
        <v>1793</v>
      </c>
      <c r="B17" s="658" t="s">
        <v>1794</v>
      </c>
      <c r="C17" s="659">
        <f>ROUND(IF(OR(E2="工业",E2="公共服务"),1,IF(AND(E18=0,E19=0),1,IF(AND(E18=J24,E19=G19),0.8,IF(E19=0,1+E17*(-0.2),1+E17*G17*(-0.2))))),4)</f>
        <v>1</v>
      </c>
      <c r="D17" s="660" t="s">
        <v>1795</v>
      </c>
      <c r="E17" s="659">
        <f>ROUND(G18/I18,2)</f>
        <v>0</v>
      </c>
      <c r="F17" s="660" t="s">
        <v>1796</v>
      </c>
      <c r="G17" s="659" t="e">
        <f>ROUND(E19/G19,2)</f>
        <v>#DIV/0!</v>
      </c>
      <c r="H17" s="659"/>
      <c r="I17" s="659"/>
      <c r="J17" s="825"/>
      <c r="K17" s="580"/>
      <c r="L17" s="581"/>
      <c r="M17" s="581"/>
      <c r="N17" s="581"/>
      <c r="O17" s="581"/>
      <c r="P17" s="581"/>
      <c r="Q17" s="580"/>
      <c r="R17" s="580"/>
      <c r="S17" s="580"/>
      <c r="T17" s="580"/>
      <c r="U17" s="580"/>
      <c r="V17" s="580"/>
      <c r="W17" s="580"/>
      <c r="X17" s="580"/>
      <c r="Y17" s="580"/>
      <c r="Z17" s="764"/>
      <c r="AA17" s="764"/>
      <c r="AB17" s="764"/>
      <c r="AC17" s="764"/>
      <c r="AD17" s="764"/>
      <c r="AE17" s="580"/>
      <c r="AF17" s="580"/>
      <c r="AG17" s="581"/>
      <c r="AH17" s="581"/>
      <c r="AI17" s="581"/>
      <c r="AJ17" s="581"/>
    </row>
    <row r="18" s="579" customFormat="1" ht="14" hidden="1" spans="1:36">
      <c r="A18" s="661"/>
      <c r="B18" s="662"/>
      <c r="C18" s="663"/>
      <c r="D18" s="664" t="s">
        <v>1797</v>
      </c>
      <c r="E18" s="665"/>
      <c r="F18" s="666" t="s">
        <v>1798</v>
      </c>
      <c r="G18" s="663">
        <f>ROUND(1-(1/(POWER(1+G24,E18))),4)</f>
        <v>0</v>
      </c>
      <c r="H18" s="666" t="s">
        <v>1799</v>
      </c>
      <c r="I18" s="663">
        <f>ROUND(1-(1/(POWER(1+G24,J24))),4)</f>
        <v>0.9128</v>
      </c>
      <c r="J18" s="826"/>
      <c r="K18" s="580"/>
      <c r="L18" s="581"/>
      <c r="M18" s="581"/>
      <c r="N18" s="581"/>
      <c r="O18" s="581"/>
      <c r="P18" s="581"/>
      <c r="Q18" s="580"/>
      <c r="R18" s="905"/>
      <c r="S18" s="905"/>
      <c r="T18" s="764"/>
      <c r="U18" s="764"/>
      <c r="V18" s="764"/>
      <c r="W18" s="580"/>
      <c r="X18" s="580"/>
      <c r="Y18" s="580"/>
      <c r="Z18" s="834"/>
      <c r="AA18" s="834"/>
      <c r="AB18" s="834"/>
      <c r="AC18" s="834"/>
      <c r="AD18" s="834"/>
      <c r="AE18" s="764"/>
      <c r="AF18" s="764"/>
      <c r="AG18" s="922"/>
      <c r="AH18" s="922"/>
      <c r="AI18" s="922"/>
      <c r="AJ18" s="835"/>
    </row>
    <row r="19" s="579" customFormat="1" ht="14.75" hidden="1" spans="1:37">
      <c r="A19" s="667"/>
      <c r="B19" s="668"/>
      <c r="C19" s="669"/>
      <c r="D19" s="669" t="s">
        <v>1800</v>
      </c>
      <c r="E19" s="670"/>
      <c r="F19" s="671" t="s">
        <v>1801</v>
      </c>
      <c r="G19" s="670"/>
      <c r="H19" s="669"/>
      <c r="I19" s="669"/>
      <c r="J19" s="827"/>
      <c r="K19" s="580"/>
      <c r="L19" s="581"/>
      <c r="M19" s="581"/>
      <c r="N19" s="581"/>
      <c r="O19" s="581"/>
      <c r="P19" s="581"/>
      <c r="Q19" s="905"/>
      <c r="R19" s="905"/>
      <c r="S19" s="905"/>
      <c r="T19" s="764"/>
      <c r="U19" s="764"/>
      <c r="V19" s="764"/>
      <c r="W19" s="580"/>
      <c r="X19" s="580"/>
      <c r="Y19" s="580"/>
      <c r="Z19" s="834"/>
      <c r="AA19" s="834"/>
      <c r="AB19" s="834"/>
      <c r="AC19" s="834"/>
      <c r="AD19" s="834"/>
      <c r="AE19" s="834"/>
      <c r="AF19" s="905"/>
      <c r="AG19" s="923"/>
      <c r="AH19" s="922"/>
      <c r="AI19" s="924"/>
      <c r="AJ19" s="924"/>
      <c r="AK19" s="925"/>
    </row>
    <row r="20" s="579" customFormat="1" ht="14" spans="1:36">
      <c r="A20" s="672" t="s">
        <v>1802</v>
      </c>
      <c r="B20" s="673" t="s">
        <v>1803</v>
      </c>
      <c r="C20" s="674" t="e">
        <f>ROUND(IF(F21="与级别开发程度一致",0,(G21-E21)/C21),0)</f>
        <v>#DIV/0!</v>
      </c>
      <c r="D20" s="675" t="s">
        <v>1804</v>
      </c>
      <c r="E20" s="676"/>
      <c r="F20" s="677" t="s">
        <v>1805</v>
      </c>
      <c r="G20" s="678"/>
      <c r="H20" s="679" t="s">
        <v>342</v>
      </c>
      <c r="I20" s="679" t="s">
        <v>343</v>
      </c>
      <c r="J20" s="828" t="s">
        <v>344</v>
      </c>
      <c r="K20" s="829" t="s">
        <v>345</v>
      </c>
      <c r="L20" s="829" t="s">
        <v>346</v>
      </c>
      <c r="M20" s="829" t="s">
        <v>347</v>
      </c>
      <c r="N20" s="829" t="s">
        <v>349</v>
      </c>
      <c r="O20" s="830"/>
      <c r="P20" s="581"/>
      <c r="Q20" s="905"/>
      <c r="R20" s="905"/>
      <c r="S20" s="905"/>
      <c r="T20" s="764"/>
      <c r="U20" s="764"/>
      <c r="V20" s="764"/>
      <c r="W20" s="580"/>
      <c r="X20" s="580"/>
      <c r="Y20" s="580"/>
      <c r="Z20" s="834"/>
      <c r="AA20" s="834"/>
      <c r="AB20" s="834"/>
      <c r="AC20" s="834"/>
      <c r="AD20" s="834"/>
      <c r="AE20" s="834"/>
      <c r="AF20" s="834"/>
      <c r="AG20" s="835"/>
      <c r="AH20" s="835"/>
      <c r="AI20" s="835"/>
      <c r="AJ20" s="835"/>
    </row>
    <row r="21" s="579" customFormat="1" ht="26.75" spans="1:36">
      <c r="A21" s="680"/>
      <c r="B21" s="681" t="s">
        <v>1806</v>
      </c>
      <c r="C21" s="682">
        <f>IF(E3="M4科研用地",SUMPRODUCT((修正!A2:A7=E3)*(修正!B1:M1=G2)*(修正!B2:M7)),SUMPRODUCT((修正!A2:A7=E2)*(修正!B1:M1=G2)*(修正!B2:M7)))</f>
        <v>0</v>
      </c>
      <c r="D21" s="683" t="str">
        <f>IF(OR(G2="八级",G2="九级",G2="十级",G2="十一级",G2="十二级"),"五通一平","七通一平")</f>
        <v>七通一平</v>
      </c>
      <c r="E21" s="684">
        <f>SUMPRODUCT((修正!B1:M1=G2)*(修正!B17:M17))</f>
        <v>0</v>
      </c>
      <c r="F21" s="685" t="s">
        <v>1807</v>
      </c>
      <c r="G21" s="686">
        <f>SUM(H21:O21)</f>
        <v>0</v>
      </c>
      <c r="H21" s="682">
        <f>SUMPRODUCT((七通一平=H20)*(修正!B1:M1=G2)*(修正!B8:M16))</f>
        <v>0</v>
      </c>
      <c r="I21" s="682">
        <f>SUMPRODUCT((七通一平=I20)*(修正!B1:M1=G2)*(修正!B8:M16))</f>
        <v>0</v>
      </c>
      <c r="J21" s="831">
        <f>SUMPRODUCT((七通一平=J20)*(修正!B1:M1=G2)*(修正!B8:M16))</f>
        <v>0</v>
      </c>
      <c r="K21" s="682">
        <f>SUMPRODUCT((七通一平=K20)*(修正!B1:M1=G2)*(修正!B8:M16))</f>
        <v>0</v>
      </c>
      <c r="L21" s="682">
        <f>SUMPRODUCT((七通一平=L20)*(修正!B1:M1=G2)*(修正!B8:M16))</f>
        <v>0</v>
      </c>
      <c r="M21" s="682">
        <f>SUMPRODUCT((七通一平=M20)*(修正!B1:M1=G2)*(修正!B8:M16))</f>
        <v>0</v>
      </c>
      <c r="N21" s="682">
        <f>SUMPRODUCT((七通一平=N20)*(修正!B1:M1=G2)*(修正!B8:M16))</f>
        <v>0</v>
      </c>
      <c r="O21" s="832">
        <f>SUMPRODUCT((七通一平=O20)*(修正!B1:M1=G2)*(修正!B8:M16))</f>
        <v>0</v>
      </c>
      <c r="P21" s="581"/>
      <c r="Q21" s="835"/>
      <c r="R21" s="905"/>
      <c r="S21" s="905"/>
      <c r="T21" s="764"/>
      <c r="U21" s="764"/>
      <c r="V21" s="764"/>
      <c r="W21" s="580"/>
      <c r="X21" s="580"/>
      <c r="Y21" s="580"/>
      <c r="Z21" s="834"/>
      <c r="AA21" s="834"/>
      <c r="AB21" s="834"/>
      <c r="AC21" s="834"/>
      <c r="AD21" s="834"/>
      <c r="AE21" s="834"/>
      <c r="AF21" s="834"/>
      <c r="AG21" s="835"/>
      <c r="AH21" s="835"/>
      <c r="AI21" s="835"/>
      <c r="AJ21" s="835"/>
    </row>
    <row r="22" s="579" customFormat="1" ht="14.75" spans="1:36">
      <c r="A22" s="687" t="s">
        <v>923</v>
      </c>
      <c r="B22" s="688" t="s">
        <v>1808</v>
      </c>
      <c r="C22" s="689">
        <f>SUMIF(修正!C20:C51,E3,修正!E20:E51)</f>
        <v>1</v>
      </c>
      <c r="D22" s="690"/>
      <c r="E22" s="691"/>
      <c r="F22" s="691"/>
      <c r="G22" s="691"/>
      <c r="H22" s="691"/>
      <c r="I22" s="691"/>
      <c r="J22" s="833"/>
      <c r="K22" s="834"/>
      <c r="L22" s="835"/>
      <c r="M22" s="835"/>
      <c r="N22" s="835"/>
      <c r="O22" s="836"/>
      <c r="P22" s="836"/>
      <c r="Q22" s="835"/>
      <c r="R22" s="905"/>
      <c r="S22" s="905"/>
      <c r="T22" s="764"/>
      <c r="U22" s="764"/>
      <c r="V22" s="764"/>
      <c r="W22" s="580"/>
      <c r="X22" s="580"/>
      <c r="Y22" s="580"/>
      <c r="Z22" s="834"/>
      <c r="AA22" s="834"/>
      <c r="AB22" s="834"/>
      <c r="AC22" s="834"/>
      <c r="AD22" s="834"/>
      <c r="AE22" s="834"/>
      <c r="AF22" s="834"/>
      <c r="AG22" s="835"/>
      <c r="AH22" s="835"/>
      <c r="AI22" s="835"/>
      <c r="AJ22" s="835"/>
    </row>
    <row r="23" ht="26.75" spans="1:37">
      <c r="A23" s="692" t="s">
        <v>928</v>
      </c>
      <c r="B23" s="693" t="s">
        <v>1809</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1.0872</v>
      </c>
      <c r="D23" s="695" t="s">
        <v>1810</v>
      </c>
      <c r="E23" s="696">
        <v>44197</v>
      </c>
      <c r="F23" s="695" t="s">
        <v>1811</v>
      </c>
      <c r="G23" s="697">
        <f>'数据-取费表'!B2</f>
        <v>45861</v>
      </c>
      <c r="H23" s="698" t="s">
        <v>1812</v>
      </c>
      <c r="I23" s="837" t="str">
        <f>IF(H23="季度增幅（自定义）",SUMIF(N25:N28,E2,O25:O28),"")</f>
        <v/>
      </c>
      <c r="J23" s="838" t="s">
        <v>1813</v>
      </c>
      <c r="K23" s="834"/>
      <c r="L23" s="839" t="s">
        <v>1814</v>
      </c>
      <c r="M23" s="840">
        <f>ROUND(SUMIF(地价!B2:G2,E2,地价!B16:G16),0)</f>
        <v>318</v>
      </c>
      <c r="N23" s="841" t="s">
        <v>1815</v>
      </c>
      <c r="O23" s="842">
        <f>ROUNDDOWN(DATEDIF(E23,G23,"M")/3,0)</f>
        <v>18</v>
      </c>
      <c r="P23" s="843"/>
      <c r="Q23" s="835"/>
      <c r="R23" s="905"/>
      <c r="S23" s="905"/>
      <c r="T23" s="764"/>
      <c r="U23" s="764"/>
      <c r="V23" s="764"/>
      <c r="W23" s="580"/>
      <c r="X23" s="580"/>
      <c r="Y23" s="580"/>
      <c r="Z23" s="834"/>
      <c r="AA23" s="834"/>
      <c r="AB23" s="834"/>
      <c r="AC23" s="834"/>
      <c r="AD23" s="834"/>
      <c r="AE23" s="764"/>
      <c r="AF23" s="764"/>
      <c r="AG23" s="922"/>
      <c r="AH23" s="922"/>
      <c r="AI23" s="922"/>
      <c r="AJ23" s="922"/>
      <c r="AK23" s="582"/>
    </row>
    <row r="24" s="579" customFormat="1" ht="26.75" spans="1:36">
      <c r="A24" s="699" t="s">
        <v>931</v>
      </c>
      <c r="B24" s="700" t="s">
        <v>1816</v>
      </c>
      <c r="C24" s="701">
        <f>ROUND(POWER(1+G24,J24-I24)*(POWER(1+G24,I24)-1)/(POWER(1+G24,J24)-1),4)</f>
        <v>0.9437</v>
      </c>
      <c r="D24" s="702" t="s">
        <v>1817</v>
      </c>
      <c r="E24" s="703">
        <f>存贷款利率!E28/100</f>
        <v>0.0435</v>
      </c>
      <c r="F24" s="702" t="s">
        <v>1818</v>
      </c>
      <c r="G24" s="704">
        <f>SUMIF(M30:Q30,E2,M33:Q33)</f>
        <v>0.05</v>
      </c>
      <c r="H24" s="702" t="s">
        <v>1819</v>
      </c>
      <c r="I24" s="844">
        <f>SUMIF('数据-取费表'!C6:C15,E2,'数据-取费表'!F6:F15)/COUNTIF('数据-取费表'!C6:C15,E2)</f>
        <v>40.5</v>
      </c>
      <c r="J24" s="845">
        <f>IF(E2="住宅",70,IF(E2="商业",40,50))</f>
        <v>50</v>
      </c>
      <c r="K24" s="834"/>
      <c r="L24" s="846" t="s">
        <v>1820</v>
      </c>
      <c r="M24" s="847">
        <f>ROUND(SUMPRODUCT((地价!A4:A16=YEAR(G23)&amp;"-"&amp;ROUNDUP(MONTH(G23)/3,0))*(地价!B2:G2=E2)*(地价!B4:G16)),0)</f>
        <v>0</v>
      </c>
      <c r="N24" s="848" t="s">
        <v>1821</v>
      </c>
      <c r="O24" s="849" t="s">
        <v>1822</v>
      </c>
      <c r="P24" s="850" t="s">
        <v>1823</v>
      </c>
      <c r="Q24" s="581"/>
      <c r="R24" s="905"/>
      <c r="S24" s="905"/>
      <c r="T24" s="764"/>
      <c r="U24" s="764"/>
      <c r="V24" s="764"/>
      <c r="W24" s="580"/>
      <c r="X24" s="580"/>
      <c r="Y24" s="580"/>
      <c r="Z24" s="834"/>
      <c r="AA24" s="834"/>
      <c r="AB24" s="834"/>
      <c r="AC24" s="834"/>
      <c r="AD24" s="834"/>
      <c r="AE24" s="834"/>
      <c r="AF24" s="834"/>
      <c r="AG24" s="835"/>
      <c r="AH24" s="835"/>
      <c r="AI24" s="835"/>
      <c r="AJ24" s="835"/>
    </row>
    <row r="25" ht="14" spans="1:36">
      <c r="A25" s="705" t="s">
        <v>953</v>
      </c>
      <c r="B25" s="706" t="s">
        <v>1824</v>
      </c>
      <c r="C25" s="707">
        <f>IF(B25="容积率修正",IF(G3&lt;10,D26,J26),C27)</f>
        <v>0</v>
      </c>
      <c r="D25" s="708"/>
      <c r="E25" s="708"/>
      <c r="F25" s="708"/>
      <c r="G25" s="708"/>
      <c r="H25" s="708"/>
      <c r="I25" s="708"/>
      <c r="J25" s="851"/>
      <c r="K25" s="834"/>
      <c r="L25" s="835"/>
      <c r="M25" s="835"/>
      <c r="N25" s="852" t="s">
        <v>1825</v>
      </c>
      <c r="O25" s="853"/>
      <c r="P25" s="854">
        <f>SUMPRODUCT((地价!A3:A40=YEAR(G23)&amp;"-"&amp;ROUNDUP(MONTH(G23)/3,0))*(地价!AD2:AH2=N25)*(地价!AD3:AH40))</f>
        <v>0</v>
      </c>
      <c r="Q25" s="835"/>
      <c r="R25" s="905"/>
      <c r="S25" s="905"/>
      <c r="T25" s="764"/>
      <c r="U25" s="764"/>
      <c r="V25" s="764"/>
      <c r="W25" s="580"/>
      <c r="X25" s="580"/>
      <c r="Y25" s="580"/>
      <c r="Z25" s="834"/>
      <c r="AA25" s="834"/>
      <c r="AB25" s="834"/>
      <c r="AC25" s="834"/>
      <c r="AD25" s="834"/>
      <c r="AE25" s="764"/>
      <c r="AF25" s="764"/>
      <c r="AG25" s="922"/>
      <c r="AH25" s="922"/>
      <c r="AI25" s="922"/>
      <c r="AJ25" s="922"/>
    </row>
    <row r="26" ht="14" spans="1:36">
      <c r="A26" s="709" t="s">
        <v>1826</v>
      </c>
      <c r="B26" s="710" t="s">
        <v>1827</v>
      </c>
      <c r="C26" s="711" t="s">
        <v>1828</v>
      </c>
      <c r="D26" s="712">
        <f>IF(E26=G26,F26,IF(G3&lt;10,ROUND(F26+(H26-F26)*(G3-E26)/(G26-E26),4),"——"))</f>
        <v>0</v>
      </c>
      <c r="E26" s="595">
        <f>ROUNDDOWN(G3,1)</f>
        <v>3.8</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5">
        <f>ROUNDUP(G3,1)</f>
        <v>3.9</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1" t="s">
        <v>1829</v>
      </c>
      <c r="J26" s="855" t="str">
        <f>IF(G3&gt;=10,D115,"——")</f>
        <v>——</v>
      </c>
      <c r="K26" s="834"/>
      <c r="L26" s="835"/>
      <c r="M26" s="835"/>
      <c r="N26" s="852" t="s">
        <v>1830</v>
      </c>
      <c r="O26" s="853"/>
      <c r="P26" s="854">
        <f>SUMPRODUCT((地价!A3:A40=YEAR(G23)&amp;"-"&amp;ROUNDUP(MONTH(G23)/3,0))*(地价!AD2:AH2=N26)*(地价!AD3:AH40))</f>
        <v>0</v>
      </c>
      <c r="Q26" s="581"/>
      <c r="R26" s="905"/>
      <c r="S26" s="905"/>
      <c r="T26" s="764"/>
      <c r="U26" s="764"/>
      <c r="V26" s="764"/>
      <c r="W26" s="580"/>
      <c r="X26" s="580"/>
      <c r="Y26" s="580"/>
      <c r="Z26" s="834"/>
      <c r="AA26" s="834"/>
      <c r="AB26" s="834"/>
      <c r="AC26" s="834"/>
      <c r="AD26" s="834"/>
      <c r="AE26" s="764"/>
      <c r="AF26" s="764"/>
      <c r="AG26" s="922"/>
      <c r="AH26" s="922"/>
      <c r="AI26" s="922"/>
      <c r="AJ26" s="922"/>
    </row>
    <row r="27" ht="14.75" spans="1:36">
      <c r="A27" s="709" t="s">
        <v>1831</v>
      </c>
      <c r="B27" s="713" t="s">
        <v>1832</v>
      </c>
      <c r="C27" s="714">
        <f>ROUND(IF(I3&lt;6,SUMPRODUCT((B106:B110=I3)*(C105:N105=G2)*(C106:N110)),SUMIF(C105:N105,G2,C112:N112)),4)</f>
        <v>0</v>
      </c>
      <c r="D27" s="715"/>
      <c r="E27" s="715"/>
      <c r="F27" s="716"/>
      <c r="G27" s="717"/>
      <c r="H27" s="718"/>
      <c r="I27" s="856"/>
      <c r="J27" s="857"/>
      <c r="K27" s="580"/>
      <c r="L27" s="581"/>
      <c r="M27" s="581"/>
      <c r="N27" s="852" t="s">
        <v>1833</v>
      </c>
      <c r="O27" s="853"/>
      <c r="P27" s="854">
        <f>SUMPRODUCT((地价!A3:A40=YEAR(G23)&amp;"-"&amp;ROUNDUP(MONTH(G23)/3,0))*(地价!AD2:AH2=N27)*(地价!AD3:AH40))</f>
        <v>0</v>
      </c>
      <c r="Q27" s="581"/>
      <c r="R27" s="905"/>
      <c r="S27" s="905"/>
      <c r="T27" s="764"/>
      <c r="U27" s="764"/>
      <c r="V27" s="764"/>
      <c r="W27" s="580"/>
      <c r="X27" s="580"/>
      <c r="Y27" s="580"/>
      <c r="Z27" s="834"/>
      <c r="AA27" s="834"/>
      <c r="AB27" s="834"/>
      <c r="AC27" s="834"/>
      <c r="AD27" s="834"/>
      <c r="AE27" s="764"/>
      <c r="AF27" s="764"/>
      <c r="AG27" s="922"/>
      <c r="AH27" s="922"/>
      <c r="AI27" s="922"/>
      <c r="AJ27" s="922"/>
    </row>
    <row r="28" ht="14.75" spans="1:36">
      <c r="A28" s="699" t="s">
        <v>1834</v>
      </c>
      <c r="B28" s="693" t="s">
        <v>1835</v>
      </c>
      <c r="C28" s="694">
        <f>SUMIF(A47:A101,E2,B47:B101)</f>
        <v>1</v>
      </c>
      <c r="D28" s="719"/>
      <c r="E28" s="720"/>
      <c r="F28" s="720"/>
      <c r="G28" s="720"/>
      <c r="H28" s="720"/>
      <c r="I28" s="720"/>
      <c r="J28" s="858"/>
      <c r="K28" s="834"/>
      <c r="L28" s="835"/>
      <c r="M28" s="835"/>
      <c r="N28" s="859" t="s">
        <v>1836</v>
      </c>
      <c r="O28" s="860"/>
      <c r="P28" s="861">
        <f>SUMPRODUCT((地价!A3:A40=YEAR(G23)&amp;"-"&amp;ROUNDUP(MONTH(G23)/3,0))*(地价!AD2:AH2=N28)*(地价!AD3:AH40))</f>
        <v>0</v>
      </c>
      <c r="Q28" s="905"/>
      <c r="R28" s="905"/>
      <c r="S28" s="905"/>
      <c r="T28" s="764"/>
      <c r="U28" s="764"/>
      <c r="V28" s="764"/>
      <c r="W28" s="580"/>
      <c r="X28" s="580"/>
      <c r="Y28" s="580"/>
      <c r="Z28" s="834"/>
      <c r="AA28" s="834"/>
      <c r="AB28" s="834"/>
      <c r="AC28" s="834"/>
      <c r="AD28" s="834"/>
      <c r="AE28" s="764"/>
      <c r="AF28" s="764"/>
      <c r="AG28" s="922"/>
      <c r="AH28" s="922"/>
      <c r="AI28" s="922"/>
      <c r="AJ28" s="922"/>
    </row>
    <row r="29" ht="14.75" spans="1:36">
      <c r="A29" s="699" t="s">
        <v>1837</v>
      </c>
      <c r="B29" s="721" t="s">
        <v>1838</v>
      </c>
      <c r="C29" s="722"/>
      <c r="D29" s="618"/>
      <c r="E29" s="618"/>
      <c r="F29" s="723"/>
      <c r="G29" s="618"/>
      <c r="H29" s="618"/>
      <c r="I29" s="618"/>
      <c r="J29" s="812"/>
      <c r="K29" s="580"/>
      <c r="L29" s="581"/>
      <c r="M29" s="581"/>
      <c r="N29" s="862" t="s">
        <v>1839</v>
      </c>
      <c r="O29" s="863"/>
      <c r="P29" s="864">
        <f>SUMPRODUCT((地价!A3:A40=YEAR(G23)&amp;"-"&amp;ROUNDUP(MONTH(G23)/3,0))*(地价!AD2:AH2=N29)*(地价!AD3:AH40))</f>
        <v>0</v>
      </c>
      <c r="Q29" s="905"/>
      <c r="R29" s="905"/>
      <c r="S29" s="905"/>
      <c r="T29" s="764"/>
      <c r="U29" s="764"/>
      <c r="V29" s="764"/>
      <c r="W29" s="580"/>
      <c r="X29" s="580"/>
      <c r="Y29" s="580"/>
      <c r="Z29" s="834"/>
      <c r="AA29" s="834"/>
      <c r="AB29" s="834"/>
      <c r="AC29" s="834"/>
      <c r="AD29" s="834"/>
      <c r="AE29" s="580"/>
      <c r="AF29" s="580"/>
      <c r="AG29" s="581"/>
      <c r="AH29" s="581"/>
      <c r="AI29" s="581"/>
      <c r="AJ29" s="581"/>
    </row>
    <row r="30" ht="14" spans="1:36">
      <c r="A30" s="724"/>
      <c r="B30" s="710" t="s">
        <v>1840</v>
      </c>
      <c r="C30" s="725" t="e">
        <f>IF(B25="容积率修正",E33+SUM(E37:E42),SUM(V2:V16)+SUM(E37:E42))</f>
        <v>#DIV/0!</v>
      </c>
      <c r="D30" s="726"/>
      <c r="E30" s="715"/>
      <c r="F30" s="727"/>
      <c r="G30" s="715"/>
      <c r="H30" s="715"/>
      <c r="I30" s="715"/>
      <c r="J30" s="865"/>
      <c r="K30" s="580"/>
      <c r="L30" s="866" t="s">
        <v>1727</v>
      </c>
      <c r="M30" s="867" t="s">
        <v>1841</v>
      </c>
      <c r="N30" s="867" t="s">
        <v>1842</v>
      </c>
      <c r="O30" s="867" t="s">
        <v>1843</v>
      </c>
      <c r="P30" s="867" t="s">
        <v>1844</v>
      </c>
      <c r="Q30" s="906" t="s">
        <v>280</v>
      </c>
      <c r="R30" s="905"/>
      <c r="S30" s="905"/>
      <c r="T30" s="764"/>
      <c r="U30" s="764"/>
      <c r="V30" s="764"/>
      <c r="W30" s="580"/>
      <c r="X30" s="580"/>
      <c r="Y30" s="580"/>
      <c r="Z30" s="834"/>
      <c r="AA30" s="834"/>
      <c r="AB30" s="834"/>
      <c r="AC30" s="834"/>
      <c r="AD30" s="834"/>
      <c r="AE30" s="580"/>
      <c r="AF30" s="580"/>
      <c r="AG30" s="581"/>
      <c r="AH30" s="581"/>
      <c r="AI30" s="581"/>
      <c r="AJ30" s="581"/>
    </row>
    <row r="31" ht="14.75" spans="1:36">
      <c r="A31" s="724"/>
      <c r="B31" s="728" t="s">
        <v>1845</v>
      </c>
      <c r="C31" s="729" t="e">
        <f>E34+SUM(I37:I42)</f>
        <v>#DIV/0!</v>
      </c>
      <c r="D31" s="730"/>
      <c r="E31" s="731"/>
      <c r="F31" s="732"/>
      <c r="G31" s="731"/>
      <c r="H31" s="731"/>
      <c r="I31" s="731"/>
      <c r="J31" s="868"/>
      <c r="K31" s="580"/>
      <c r="L31" s="869" t="s">
        <v>1846</v>
      </c>
      <c r="M31" s="590">
        <v>0.25</v>
      </c>
      <c r="N31" s="590">
        <v>0.2</v>
      </c>
      <c r="O31" s="590">
        <v>0.15</v>
      </c>
      <c r="P31" s="590">
        <v>0.1</v>
      </c>
      <c r="Q31" s="907">
        <v>0.15</v>
      </c>
      <c r="R31" s="905"/>
      <c r="S31" s="905"/>
      <c r="T31" s="764"/>
      <c r="U31" s="764"/>
      <c r="V31" s="764"/>
      <c r="W31" s="580"/>
      <c r="X31" s="580"/>
      <c r="Y31" s="580"/>
      <c r="Z31" s="834"/>
      <c r="AA31" s="834"/>
      <c r="AB31" s="834"/>
      <c r="AC31" s="834"/>
      <c r="AD31" s="834"/>
      <c r="AE31" s="580"/>
      <c r="AF31" s="580"/>
      <c r="AG31" s="581"/>
      <c r="AH31" s="581"/>
      <c r="AI31" s="581"/>
      <c r="AJ31" s="581"/>
    </row>
    <row r="32" ht="14.75" spans="1:36">
      <c r="A32" s="733"/>
      <c r="B32" s="734" t="s">
        <v>1847</v>
      </c>
      <c r="C32" s="735" t="s">
        <v>1848</v>
      </c>
      <c r="D32" s="735" t="s">
        <v>571</v>
      </c>
      <c r="E32" s="736" t="s">
        <v>1849</v>
      </c>
      <c r="F32" s="737"/>
      <c r="G32" s="641"/>
      <c r="H32" s="641"/>
      <c r="I32" s="641"/>
      <c r="J32" s="818"/>
      <c r="K32" s="580"/>
      <c r="L32" s="870" t="s">
        <v>1818</v>
      </c>
      <c r="M32" s="871">
        <f>ROUND($E$24*(1+M31),3)</f>
        <v>0.054</v>
      </c>
      <c r="N32" s="871">
        <f>ROUND($E$24*(1+N31),3)</f>
        <v>0.052</v>
      </c>
      <c r="O32" s="871">
        <f>ROUND($E$24*(1+O31),3)</f>
        <v>0.05</v>
      </c>
      <c r="P32" s="871">
        <f>ROUND($E$24*(1+P31),3)</f>
        <v>0.048</v>
      </c>
      <c r="Q32" s="908">
        <f>ROUND($E$24*(1+Q31),3)</f>
        <v>0.05</v>
      </c>
      <c r="R32" s="905"/>
      <c r="S32" s="905"/>
      <c r="T32" s="764"/>
      <c r="U32" s="764"/>
      <c r="V32" s="764"/>
      <c r="W32" s="580"/>
      <c r="X32" s="580"/>
      <c r="Y32" s="580"/>
      <c r="Z32" s="834"/>
      <c r="AA32" s="834"/>
      <c r="AB32" s="834"/>
      <c r="AC32" s="834"/>
      <c r="AD32" s="834"/>
      <c r="AE32" s="580"/>
      <c r="AF32" s="580"/>
      <c r="AG32" s="581"/>
      <c r="AH32" s="581"/>
      <c r="AI32" s="581"/>
      <c r="AJ32" s="581"/>
    </row>
    <row r="33" ht="14" spans="1:36">
      <c r="A33" s="738"/>
      <c r="B33" s="739" t="s">
        <v>1850</v>
      </c>
      <c r="C33" s="740" t="e">
        <f>ROUND(C5*C22*C23*C24*C25*C28,0)</f>
        <v>#DIV/0!</v>
      </c>
      <c r="D33" s="741">
        <f>'数据-汇总表'!F19</f>
        <v>36094.88</v>
      </c>
      <c r="E33" s="742" t="e">
        <f>ROUND(C33*D33/10000,0)</f>
        <v>#DIV/0!</v>
      </c>
      <c r="F33" s="743" t="s">
        <v>1851</v>
      </c>
      <c r="G33" s="744"/>
      <c r="H33" s="744"/>
      <c r="I33" s="744"/>
      <c r="J33" s="872"/>
      <c r="K33" s="580"/>
      <c r="L33" s="873" t="s">
        <v>1852</v>
      </c>
      <c r="M33" s="874">
        <v>0.055</v>
      </c>
      <c r="N33" s="874">
        <v>0.055</v>
      </c>
      <c r="O33" s="874">
        <v>0.05</v>
      </c>
      <c r="P33" s="874">
        <v>0.05</v>
      </c>
      <c r="Q33" s="874">
        <v>0.05</v>
      </c>
      <c r="R33" s="905"/>
      <c r="S33" s="905"/>
      <c r="T33" s="764"/>
      <c r="U33" s="764"/>
      <c r="V33" s="764"/>
      <c r="W33" s="580"/>
      <c r="X33" s="580"/>
      <c r="Y33" s="580"/>
      <c r="Z33" s="834"/>
      <c r="AA33" s="834"/>
      <c r="AB33" s="834"/>
      <c r="AC33" s="834"/>
      <c r="AD33" s="834"/>
      <c r="AE33" s="764"/>
      <c r="AF33" s="764"/>
      <c r="AG33" s="922"/>
      <c r="AH33" s="922"/>
      <c r="AI33" s="922"/>
      <c r="AJ33" s="922"/>
    </row>
    <row r="34" ht="26.75" spans="1:36">
      <c r="A34" s="745"/>
      <c r="B34" s="746" t="s">
        <v>1853</v>
      </c>
      <c r="C34" s="683" t="e">
        <f>ROUND(IF(E2="工业",C33*M42,IF(B25="楼层修正",SUM(V2:V16)*M41*10000/D34,C33*M41)),0)</f>
        <v>#DIV/0!</v>
      </c>
      <c r="D34" s="747"/>
      <c r="E34" s="742" t="e">
        <f>ROUND(IF(B25="楼层修正",SUM(V2:V16)*M40,C34*D34/10000),0)</f>
        <v>#DIV/0!</v>
      </c>
      <c r="F34" s="748" t="s">
        <v>1854</v>
      </c>
      <c r="G34" s="749"/>
      <c r="H34" s="749"/>
      <c r="I34" s="749"/>
      <c r="J34" s="875"/>
      <c r="K34" s="580"/>
      <c r="L34" s="873" t="s">
        <v>1855</v>
      </c>
      <c r="M34" s="874">
        <v>0.065</v>
      </c>
      <c r="N34" s="874">
        <v>0.065</v>
      </c>
      <c r="O34" s="874">
        <v>0.06</v>
      </c>
      <c r="P34" s="874">
        <v>0.06</v>
      </c>
      <c r="Q34" s="874">
        <v>0.06</v>
      </c>
      <c r="R34" s="905"/>
      <c r="S34" s="905"/>
      <c r="T34" s="764"/>
      <c r="U34" s="764"/>
      <c r="V34" s="764"/>
      <c r="W34" s="580"/>
      <c r="X34" s="580"/>
      <c r="Y34" s="580"/>
      <c r="Z34" s="834"/>
      <c r="AA34" s="834"/>
      <c r="AB34" s="834"/>
      <c r="AC34" s="834"/>
      <c r="AD34" s="834"/>
      <c r="AE34" s="764"/>
      <c r="AF34" s="764"/>
      <c r="AG34" s="922"/>
      <c r="AH34" s="922"/>
      <c r="AI34" s="922"/>
      <c r="AJ34" s="922"/>
    </row>
    <row r="35" ht="13" spans="1:36">
      <c r="A35" s="750"/>
      <c r="B35" s="751" t="s">
        <v>1856</v>
      </c>
      <c r="C35" s="752" t="s">
        <v>1857</v>
      </c>
      <c r="D35" s="641"/>
      <c r="E35" s="753"/>
      <c r="F35" s="753"/>
      <c r="G35" s="639" t="s">
        <v>1854</v>
      </c>
      <c r="H35" s="641"/>
      <c r="I35" s="876"/>
      <c r="J35" s="818"/>
      <c r="K35" s="580"/>
      <c r="L35" s="580"/>
      <c r="M35" s="580"/>
      <c r="N35" s="580"/>
      <c r="O35" s="836"/>
      <c r="P35" s="836"/>
      <c r="Q35" s="905"/>
      <c r="R35" s="580"/>
      <c r="S35" s="580"/>
      <c r="T35" s="580"/>
      <c r="U35" s="580"/>
      <c r="V35" s="580"/>
      <c r="W35" s="580"/>
      <c r="X35" s="580"/>
      <c r="Y35" s="580"/>
      <c r="Z35" s="764"/>
      <c r="AA35" s="764"/>
      <c r="AB35" s="764"/>
      <c r="AC35" s="764"/>
      <c r="AD35" s="764"/>
      <c r="AE35" s="764"/>
      <c r="AF35" s="764"/>
      <c r="AG35" s="922"/>
      <c r="AH35" s="922"/>
      <c r="AI35" s="922"/>
      <c r="AJ35" s="922"/>
    </row>
    <row r="36" ht="26.75" spans="1:36">
      <c r="A36" s="738"/>
      <c r="B36" s="754"/>
      <c r="C36" s="755" t="s">
        <v>1848</v>
      </c>
      <c r="D36" s="756" t="s">
        <v>571</v>
      </c>
      <c r="E36" s="756" t="s">
        <v>1849</v>
      </c>
      <c r="F36" s="587" t="s">
        <v>1858</v>
      </c>
      <c r="G36" s="757" t="s">
        <v>1848</v>
      </c>
      <c r="H36" s="757" t="s">
        <v>571</v>
      </c>
      <c r="I36" s="757" t="s">
        <v>1849</v>
      </c>
      <c r="J36" s="457"/>
      <c r="K36" s="877" t="s">
        <v>1859</v>
      </c>
      <c r="L36" s="878">
        <f ca="1">'数据-取费表'!B40</f>
        <v>0.03</v>
      </c>
      <c r="M36" s="879">
        <f ca="1">ROUND($L$36*(1+M31),3)</f>
        <v>0.038</v>
      </c>
      <c r="N36" s="879">
        <f ca="1">ROUND($L$36*(1+N31),3)</f>
        <v>0.036</v>
      </c>
      <c r="O36" s="879">
        <f ca="1">ROUND($L$36*(1+O31),3)</f>
        <v>0.035</v>
      </c>
      <c r="P36" s="879">
        <f ca="1">ROUND($L$36*(1+P31),3)</f>
        <v>0.033</v>
      </c>
      <c r="Q36" s="879">
        <f ca="1">ROUND($L$36*(1+Q31),3)</f>
        <v>0.035</v>
      </c>
      <c r="R36" s="580"/>
      <c r="S36" s="580"/>
      <c r="T36" s="580"/>
      <c r="U36" s="580"/>
      <c r="V36" s="580"/>
      <c r="W36" s="580"/>
      <c r="X36" s="580"/>
      <c r="Y36" s="580"/>
      <c r="Z36" s="764"/>
      <c r="AA36" s="764"/>
      <c r="AB36" s="764"/>
      <c r="AC36" s="764"/>
      <c r="AD36" s="764"/>
      <c r="AE36" s="764"/>
      <c r="AF36" s="764"/>
      <c r="AG36" s="922"/>
      <c r="AH36" s="922"/>
      <c r="AI36" s="922"/>
      <c r="AJ36" s="922"/>
    </row>
    <row r="37" ht="26.75" spans="1:36">
      <c r="A37" s="758"/>
      <c r="B37" s="759" t="s">
        <v>1860</v>
      </c>
      <c r="C37" s="740" t="e">
        <f>ROUND(D5*C22*C23*C24*C28*F37,0)</f>
        <v>#DIV/0!</v>
      </c>
      <c r="D37" s="741"/>
      <c r="E37" s="626" t="e">
        <f>ROUND(C37*D37/10000,0)</f>
        <v>#DIV/0!</v>
      </c>
      <c r="F37" s="626">
        <f>SUMIF(修正!A57:A68,G2,修正!B57:B68)</f>
        <v>0</v>
      </c>
      <c r="G37" s="626" t="e">
        <f>ROUND(IF(E2="工业",C37*$M$42,C37*$M$41),0)</f>
        <v>#DIV/0!</v>
      </c>
      <c r="H37" s="626">
        <f>D37</f>
        <v>0</v>
      </c>
      <c r="I37" s="626" t="e">
        <f>ROUND(G37*H37/10000,0)</f>
        <v>#DIV/0!</v>
      </c>
      <c r="J37" s="880"/>
      <c r="K37" s="881" t="s">
        <v>1861</v>
      </c>
      <c r="L37" s="877">
        <f ca="1">L36+K38</f>
        <v>0.035</v>
      </c>
      <c r="M37" s="879">
        <f ca="1">ROUND($L$37*(1+M31),3)</f>
        <v>0.044</v>
      </c>
      <c r="N37" s="879">
        <f ca="1" t="shared" ref="N37:Q37" si="3">ROUND($L$37*(1+N31),3)</f>
        <v>0.042</v>
      </c>
      <c r="O37" s="879">
        <f ca="1" t="shared" si="3"/>
        <v>0.04</v>
      </c>
      <c r="P37" s="879">
        <f ca="1" t="shared" si="3"/>
        <v>0.039</v>
      </c>
      <c r="Q37" s="879">
        <f ca="1" t="shared" si="3"/>
        <v>0.04</v>
      </c>
      <c r="R37" s="580"/>
      <c r="S37" s="580"/>
      <c r="T37" s="580"/>
      <c r="U37" s="580"/>
      <c r="V37" s="580"/>
      <c r="W37" s="580"/>
      <c r="X37" s="580"/>
      <c r="Y37" s="580"/>
      <c r="Z37" s="764"/>
      <c r="AA37" s="764"/>
      <c r="AB37" s="764"/>
      <c r="AC37" s="764"/>
      <c r="AD37" s="764"/>
      <c r="AE37" s="764"/>
      <c r="AF37" s="764"/>
      <c r="AG37" s="922"/>
      <c r="AH37" s="922"/>
      <c r="AI37" s="922"/>
      <c r="AJ37" s="922"/>
    </row>
    <row r="38" ht="13" spans="1:30">
      <c r="A38" s="760"/>
      <c r="B38" s="644" t="s">
        <v>1862</v>
      </c>
      <c r="C38" s="740" t="e">
        <f>ROUND(D5*C22*C23*C24*C28*F38,0)</f>
        <v>#DIV/0!</v>
      </c>
      <c r="D38" s="741"/>
      <c r="E38" s="626" t="e">
        <f t="shared" ref="E38:E42" si="4">ROUND(C38*D38/10000,0)</f>
        <v>#DIV/0!</v>
      </c>
      <c r="F38" s="626">
        <f>SUMIF(修正!A57:A68,G2,修正!C57:C68)</f>
        <v>0</v>
      </c>
      <c r="G38" s="626" t="e">
        <f>ROUND(IF(E2="工业",C38*$M$42,C38*$M$41),0)</f>
        <v>#DIV/0!</v>
      </c>
      <c r="H38" s="626">
        <f t="shared" ref="H38:H42" si="5">D38</f>
        <v>0</v>
      </c>
      <c r="I38" s="626" t="e">
        <f t="shared" ref="I38:I42" si="6">ROUND(G38*H38/10000,0)</f>
        <v>#DIV/0!</v>
      </c>
      <c r="J38" s="760"/>
      <c r="K38" s="877">
        <v>0.005</v>
      </c>
      <c r="L38" s="877"/>
      <c r="M38" s="877"/>
      <c r="N38" s="877"/>
      <c r="O38" s="877"/>
      <c r="P38" s="877"/>
      <c r="Q38" s="877"/>
      <c r="R38" s="580"/>
      <c r="S38" s="580"/>
      <c r="T38" s="580"/>
      <c r="U38" s="580"/>
      <c r="V38" s="580"/>
      <c r="W38" s="580"/>
      <c r="X38" s="580"/>
      <c r="Y38" s="580"/>
      <c r="Z38" s="764"/>
      <c r="AA38" s="764"/>
      <c r="AB38" s="764"/>
      <c r="AC38" s="764"/>
      <c r="AD38" s="764"/>
    </row>
    <row r="39" ht="13.75" spans="1:30">
      <c r="A39" s="760"/>
      <c r="B39" s="644" t="s">
        <v>1863</v>
      </c>
      <c r="C39" s="740" t="e">
        <f>ROUND(D5*C22*C23*C24*C28*F39,0)</f>
        <v>#DIV/0!</v>
      </c>
      <c r="D39" s="741"/>
      <c r="E39" s="626" t="e">
        <f t="shared" si="4"/>
        <v>#DIV/0!</v>
      </c>
      <c r="F39" s="626">
        <f>SUMIF(修正!A57:A68,G2,修正!D57:D68)</f>
        <v>0</v>
      </c>
      <c r="G39" s="626" t="e">
        <f>ROUND(IF(E2="工业",C39*$M$42,C39*$M$41),0)</f>
        <v>#DIV/0!</v>
      </c>
      <c r="H39" s="626">
        <f t="shared" si="5"/>
        <v>0</v>
      </c>
      <c r="I39" s="626" t="e">
        <f t="shared" si="6"/>
        <v>#DIV/0!</v>
      </c>
      <c r="J39" s="760"/>
      <c r="K39" s="580"/>
      <c r="L39" s="580"/>
      <c r="M39" s="580"/>
      <c r="N39" s="580"/>
      <c r="O39" s="580"/>
      <c r="P39" s="580"/>
      <c r="Q39" s="580"/>
      <c r="R39" s="580"/>
      <c r="S39" s="580"/>
      <c r="T39" s="580"/>
      <c r="U39" s="580"/>
      <c r="V39" s="580"/>
      <c r="W39" s="580"/>
      <c r="X39" s="580"/>
      <c r="Y39" s="580"/>
      <c r="Z39" s="764"/>
      <c r="AA39" s="764"/>
      <c r="AB39" s="764"/>
      <c r="AC39" s="764"/>
      <c r="AD39" s="764"/>
    </row>
    <row r="40" s="580" customFormat="1" ht="13" spans="1:36">
      <c r="A40" s="761"/>
      <c r="B40" s="644" t="s">
        <v>1864</v>
      </c>
      <c r="C40" s="626" t="e">
        <f>ROUND(D5*C22*C23*C24*C28*F40,0)</f>
        <v>#DIV/0!</v>
      </c>
      <c r="D40" s="741"/>
      <c r="E40" s="626" t="e">
        <f t="shared" si="4"/>
        <v>#DIV/0!</v>
      </c>
      <c r="F40" s="740">
        <f>SUMIF(修正!A57:A68,G2,修正!E57:E68)</f>
        <v>0</v>
      </c>
      <c r="G40" s="626" t="e">
        <f>ROUND(IF(E2="工业",C40*$M$42,C40*$M$41),0)</f>
        <v>#DIV/0!</v>
      </c>
      <c r="H40" s="626">
        <f t="shared" si="5"/>
        <v>0</v>
      </c>
      <c r="I40" s="626" t="e">
        <f t="shared" si="6"/>
        <v>#DIV/0!</v>
      </c>
      <c r="J40" s="882"/>
      <c r="L40" s="883" t="s">
        <v>1865</v>
      </c>
      <c r="M40" s="884"/>
      <c r="Z40" s="764"/>
      <c r="AA40" s="764"/>
      <c r="AB40" s="764"/>
      <c r="AC40" s="764"/>
      <c r="AD40" s="764"/>
      <c r="AE40" s="764"/>
      <c r="AF40" s="764"/>
      <c r="AG40" s="764"/>
      <c r="AH40" s="764"/>
      <c r="AI40" s="764"/>
      <c r="AJ40" s="764"/>
    </row>
    <row r="41" s="580" customFormat="1" ht="13" spans="1:36">
      <c r="A41" s="761"/>
      <c r="B41" s="644" t="s">
        <v>1866</v>
      </c>
      <c r="C41" s="626" t="e">
        <f>ROUND(D5*C22*C23*C44*C28*F41,0)</f>
        <v>#DIV/0!</v>
      </c>
      <c r="D41" s="741"/>
      <c r="E41" s="626" t="e">
        <f t="shared" si="4"/>
        <v>#DIV/0!</v>
      </c>
      <c r="F41" s="740">
        <f>SUMIF(修正!A57:A68,G2,修正!F57:F68)</f>
        <v>0</v>
      </c>
      <c r="G41" s="626" t="e">
        <f>ROUND(IF(E2="工业",C41*$M$42,C41*$M$41),0)</f>
        <v>#DIV/0!</v>
      </c>
      <c r="H41" s="626">
        <f t="shared" si="5"/>
        <v>0</v>
      </c>
      <c r="I41" s="626" t="e">
        <f t="shared" si="6"/>
        <v>#DIV/0!</v>
      </c>
      <c r="J41" s="882"/>
      <c r="L41" s="885" t="s">
        <v>1867</v>
      </c>
      <c r="M41" s="886">
        <v>0.25</v>
      </c>
      <c r="Z41" s="764"/>
      <c r="AA41" s="764"/>
      <c r="AB41" s="764"/>
      <c r="AC41" s="764"/>
      <c r="AD41" s="764"/>
      <c r="AE41" s="764"/>
      <c r="AF41" s="764"/>
      <c r="AG41" s="764"/>
      <c r="AH41" s="764"/>
      <c r="AI41" s="764"/>
      <c r="AJ41" s="764"/>
    </row>
    <row r="42" s="580" customFormat="1" ht="13.75" spans="1:36">
      <c r="A42" s="745"/>
      <c r="B42" s="762" t="s">
        <v>1868</v>
      </c>
      <c r="C42" s="683" t="e">
        <f>ROUND(D5*C22*C23*C44*C28*F42,0)</f>
        <v>#DIV/0!</v>
      </c>
      <c r="D42" s="747"/>
      <c r="E42" s="683" t="e">
        <f t="shared" si="4"/>
        <v>#DIV/0!</v>
      </c>
      <c r="F42" s="763">
        <f>SUMIF(修正!A57:A68,G2,修正!G57:G68)</f>
        <v>0</v>
      </c>
      <c r="G42" s="683" t="e">
        <f>ROUND(IF(E2="工业",C42*$M$42,C42*$M$41),0)</f>
        <v>#DIV/0!</v>
      </c>
      <c r="H42" s="683">
        <f t="shared" si="5"/>
        <v>0</v>
      </c>
      <c r="I42" s="683" t="e">
        <f t="shared" si="6"/>
        <v>#DIV/0!</v>
      </c>
      <c r="J42" s="887"/>
      <c r="L42" s="888" t="s">
        <v>1844</v>
      </c>
      <c r="M42" s="889">
        <v>0.15</v>
      </c>
      <c r="Z42" s="764"/>
      <c r="AA42" s="764"/>
      <c r="AB42" s="764"/>
      <c r="AC42" s="764"/>
      <c r="AD42" s="764"/>
      <c r="AE42" s="764"/>
      <c r="AF42" s="764"/>
      <c r="AG42" s="764"/>
      <c r="AH42" s="764"/>
      <c r="AI42" s="764"/>
      <c r="AJ42" s="764"/>
    </row>
    <row r="43" s="580" customFormat="1" spans="26:36">
      <c r="Z43" s="764"/>
      <c r="AA43" s="764"/>
      <c r="AB43" s="764"/>
      <c r="AC43" s="764"/>
      <c r="AD43" s="764"/>
      <c r="AE43" s="764"/>
      <c r="AF43" s="764"/>
      <c r="AG43" s="764"/>
      <c r="AH43" s="764"/>
      <c r="AI43" s="764"/>
      <c r="AJ43" s="764"/>
    </row>
    <row r="44" s="580" customFormat="1" ht="13" spans="1:36">
      <c r="A44" s="764"/>
      <c r="B44" s="765" t="s">
        <v>1869</v>
      </c>
      <c r="C44" s="587">
        <f>ROUND(POWER(1+E44,H44-G44)*(POWER(1+E44,G44)-1)/(POWER(1+E44,H44)-1),4)</f>
        <v>0</v>
      </c>
      <c r="D44" s="626" t="s">
        <v>1818</v>
      </c>
      <c r="E44" s="766">
        <f>G24</f>
        <v>0.05</v>
      </c>
      <c r="F44" s="626" t="s">
        <v>1819</v>
      </c>
      <c r="G44" s="767"/>
      <c r="H44" s="626">
        <v>50</v>
      </c>
      <c r="Z44" s="764"/>
      <c r="AA44" s="764"/>
      <c r="AB44" s="764"/>
      <c r="AC44" s="764"/>
      <c r="AD44" s="764"/>
      <c r="AE44" s="764"/>
      <c r="AF44" s="764"/>
      <c r="AG44" s="764"/>
      <c r="AH44" s="764"/>
      <c r="AI44" s="764"/>
      <c r="AJ44" s="764"/>
    </row>
    <row r="45" s="580" customFormat="1" spans="1:36">
      <c r="A45" s="764"/>
      <c r="B45" s="768"/>
      <c r="Z45" s="764"/>
      <c r="AA45" s="764"/>
      <c r="AB45" s="764"/>
      <c r="AC45" s="764"/>
      <c r="AD45" s="764"/>
      <c r="AE45" s="764"/>
      <c r="AF45" s="764"/>
      <c r="AG45" s="764"/>
      <c r="AH45" s="764"/>
      <c r="AI45" s="764"/>
      <c r="AJ45" s="764"/>
    </row>
    <row r="46" s="580" customFormat="1" spans="1:37">
      <c r="A46" s="764"/>
      <c r="B46" s="768"/>
      <c r="AA46" s="764"/>
      <c r="AB46" s="764"/>
      <c r="AC46" s="764"/>
      <c r="AD46" s="764"/>
      <c r="AE46" s="764"/>
      <c r="AF46" s="764"/>
      <c r="AG46" s="764"/>
      <c r="AH46" s="764"/>
      <c r="AI46" s="764"/>
      <c r="AJ46" s="764"/>
      <c r="AK46" s="764"/>
    </row>
    <row r="47" s="580" customFormat="1" ht="14.75" spans="1:37">
      <c r="A47" s="769" t="s">
        <v>1870</v>
      </c>
      <c r="B47" s="770"/>
      <c r="C47" s="771"/>
      <c r="D47" s="771"/>
      <c r="E47" s="771"/>
      <c r="F47" s="772"/>
      <c r="G47" s="772"/>
      <c r="H47" s="772"/>
      <c r="I47" s="890"/>
      <c r="J47" s="890"/>
      <c r="K47" s="890"/>
      <c r="L47" s="890"/>
      <c r="M47" s="890"/>
      <c r="AA47" s="764"/>
      <c r="AB47" s="764"/>
      <c r="AC47" s="764"/>
      <c r="AD47" s="764"/>
      <c r="AE47" s="764"/>
      <c r="AF47" s="764"/>
      <c r="AG47" s="764"/>
      <c r="AH47" s="764"/>
      <c r="AI47" s="764"/>
      <c r="AJ47" s="764"/>
      <c r="AK47" s="764"/>
    </row>
    <row r="48" s="580" customFormat="1" ht="14" spans="1:37">
      <c r="A48" s="773" t="s">
        <v>1871</v>
      </c>
      <c r="B48" s="774">
        <f>1+E50</f>
        <v>1</v>
      </c>
      <c r="C48" s="775"/>
      <c r="D48" s="776"/>
      <c r="E48" s="777"/>
      <c r="F48" s="778"/>
      <c r="G48" s="772"/>
      <c r="H48" s="771"/>
      <c r="I48" s="890"/>
      <c r="J48" s="890"/>
      <c r="K48" s="890"/>
      <c r="L48" s="890"/>
      <c r="M48" s="890"/>
      <c r="AA48" s="764"/>
      <c r="AB48" s="764"/>
      <c r="AC48" s="764"/>
      <c r="AD48" s="764"/>
      <c r="AE48" s="764"/>
      <c r="AF48" s="764"/>
      <c r="AG48" s="764"/>
      <c r="AH48" s="764"/>
      <c r="AI48" s="764"/>
      <c r="AJ48" s="764"/>
      <c r="AK48" s="764"/>
    </row>
    <row r="49" s="580" customFormat="1" ht="26" spans="1:37">
      <c r="A49" s="779" t="s">
        <v>1872</v>
      </c>
      <c r="B49" s="780" t="s">
        <v>1873</v>
      </c>
      <c r="C49" s="780" t="s">
        <v>1874</v>
      </c>
      <c r="D49" s="780" t="s">
        <v>1875</v>
      </c>
      <c r="E49" s="781" t="s">
        <v>1876</v>
      </c>
      <c r="F49" s="782" t="s">
        <v>1877</v>
      </c>
      <c r="G49" s="780" t="s">
        <v>1694</v>
      </c>
      <c r="H49" s="783" t="s">
        <v>1878</v>
      </c>
      <c r="I49" s="780" t="s">
        <v>1879</v>
      </c>
      <c r="J49" s="891" t="s">
        <v>1087</v>
      </c>
      <c r="K49" s="891" t="s">
        <v>1088</v>
      </c>
      <c r="L49" s="891" t="s">
        <v>1089</v>
      </c>
      <c r="M49" s="891" t="s">
        <v>1090</v>
      </c>
      <c r="N49" s="891" t="s">
        <v>1091</v>
      </c>
      <c r="AA49" s="764"/>
      <c r="AB49" s="764"/>
      <c r="AC49" s="764"/>
      <c r="AD49" s="764"/>
      <c r="AE49" s="764"/>
      <c r="AF49" s="764"/>
      <c r="AG49" s="764"/>
      <c r="AH49" s="764"/>
      <c r="AI49" s="764"/>
      <c r="AJ49" s="764"/>
      <c r="AK49" s="764"/>
    </row>
    <row r="50" s="580" customFormat="1" ht="39" spans="1:37">
      <c r="A50" s="779" t="s">
        <v>1880</v>
      </c>
      <c r="B50" s="784" t="str">
        <f>估价对象房地状况!C4</f>
        <v>估价对象位于XX商圈，周边商业氛围成熟，人流量大，商业繁华度好</v>
      </c>
      <c r="C50" s="650"/>
      <c r="D50" s="785">
        <f t="shared" ref="D50:D58" si="7">SUMIF($J$49:$N$49,C50,J50:N50)</f>
        <v>0</v>
      </c>
      <c r="E50" s="786">
        <f>ROUND(SUM(D50:D58),4)</f>
        <v>0</v>
      </c>
      <c r="F50" s="787" t="str">
        <f>IF(E2="商业",SUMIF(L1:L12,G2,N1:N12),"——")</f>
        <v>——</v>
      </c>
      <c r="G50" s="788" t="str">
        <f>H50</f>
        <v>——</v>
      </c>
      <c r="H50" s="789" t="str">
        <f t="shared" ref="H50:H58" si="8">IFERROR(ROUNDDOWN($F$50*I50/2,4),"——")</f>
        <v>——</v>
      </c>
      <c r="I50" s="892">
        <v>0.3</v>
      </c>
      <c r="J50" s="893" t="e">
        <f t="shared" ref="J50:J58" si="9">K50+$G50</f>
        <v>#VALUE!</v>
      </c>
      <c r="K50" s="893" t="e">
        <f t="shared" ref="K50:K58" si="10">$L50+$G50</f>
        <v>#VALUE!</v>
      </c>
      <c r="L50" s="893">
        <v>0</v>
      </c>
      <c r="M50" s="893" t="e">
        <f t="shared" ref="M50:N58" si="11">L50-$G50</f>
        <v>#VALUE!</v>
      </c>
      <c r="N50" s="893" t="e">
        <f t="shared" si="11"/>
        <v>#VALUE!</v>
      </c>
      <c r="AA50" s="764"/>
      <c r="AB50" s="764"/>
      <c r="AC50" s="764"/>
      <c r="AD50" s="764"/>
      <c r="AE50" s="764"/>
      <c r="AF50" s="764"/>
      <c r="AG50" s="764"/>
      <c r="AH50" s="764"/>
      <c r="AI50" s="764"/>
      <c r="AJ50" s="764"/>
      <c r="AK50" s="764"/>
    </row>
    <row r="51" s="580" customFormat="1" ht="52" spans="1:37">
      <c r="A51" s="779" t="s">
        <v>1881</v>
      </c>
      <c r="B51" s="790" t="str">
        <f>估价对象房地状况!C18</f>
        <v>估价对象周边道路状况、公共交通通达情况、停车便捷程度，综合评价交通便捷度较好</v>
      </c>
      <c r="C51" s="650"/>
      <c r="D51" s="785">
        <f t="shared" si="7"/>
        <v>0</v>
      </c>
      <c r="E51" s="791"/>
      <c r="F51" s="787"/>
      <c r="G51" s="788" t="str">
        <f t="shared" ref="G51:G58" si="12">H51</f>
        <v>——</v>
      </c>
      <c r="H51" s="789" t="str">
        <f t="shared" si="8"/>
        <v>——</v>
      </c>
      <c r="I51" s="892">
        <v>0.22</v>
      </c>
      <c r="J51" s="893" t="e">
        <f t="shared" si="9"/>
        <v>#VALUE!</v>
      </c>
      <c r="K51" s="893" t="e">
        <f t="shared" si="10"/>
        <v>#VALUE!</v>
      </c>
      <c r="L51" s="893">
        <v>0</v>
      </c>
      <c r="M51" s="893" t="e">
        <f t="shared" si="11"/>
        <v>#VALUE!</v>
      </c>
      <c r="N51" s="893" t="e">
        <f t="shared" si="11"/>
        <v>#VALUE!</v>
      </c>
      <c r="AA51" s="764"/>
      <c r="AB51" s="764"/>
      <c r="AC51" s="764"/>
      <c r="AD51" s="764"/>
      <c r="AE51" s="764"/>
      <c r="AF51" s="764"/>
      <c r="AG51" s="764"/>
      <c r="AH51" s="764"/>
      <c r="AI51" s="764"/>
      <c r="AJ51" s="764"/>
      <c r="AK51" s="764"/>
    </row>
    <row r="52" s="580" customFormat="1" ht="39" spans="1:37">
      <c r="A52" s="792" t="s">
        <v>1882</v>
      </c>
      <c r="B52" s="790">
        <f>估价对象房地状况!C19</f>
        <v>0</v>
      </c>
      <c r="C52" s="650"/>
      <c r="D52" s="785">
        <f t="shared" si="7"/>
        <v>0</v>
      </c>
      <c r="E52" s="791"/>
      <c r="F52" s="787"/>
      <c r="G52" s="788" t="str">
        <f t="shared" si="12"/>
        <v>——</v>
      </c>
      <c r="H52" s="789" t="str">
        <f t="shared" si="8"/>
        <v>——</v>
      </c>
      <c r="I52" s="892">
        <v>0.12</v>
      </c>
      <c r="J52" s="893" t="e">
        <f t="shared" si="9"/>
        <v>#VALUE!</v>
      </c>
      <c r="K52" s="893" t="e">
        <f t="shared" si="10"/>
        <v>#VALUE!</v>
      </c>
      <c r="L52" s="893">
        <v>0</v>
      </c>
      <c r="M52" s="893" t="e">
        <f t="shared" si="11"/>
        <v>#VALUE!</v>
      </c>
      <c r="N52" s="893" t="e">
        <f t="shared" si="11"/>
        <v>#VALUE!</v>
      </c>
      <c r="AA52" s="764"/>
      <c r="AB52" s="764"/>
      <c r="AC52" s="764"/>
      <c r="AD52" s="764"/>
      <c r="AE52" s="764"/>
      <c r="AF52" s="764"/>
      <c r="AG52" s="764"/>
      <c r="AH52" s="764"/>
      <c r="AI52" s="764"/>
      <c r="AJ52" s="764"/>
      <c r="AK52" s="764"/>
    </row>
    <row r="53" s="580" customFormat="1" ht="39" spans="1:37">
      <c r="A53" s="779" t="s">
        <v>1883</v>
      </c>
      <c r="B53" s="793" t="s">
        <v>1884</v>
      </c>
      <c r="C53" s="650"/>
      <c r="D53" s="785">
        <f t="shared" si="7"/>
        <v>0</v>
      </c>
      <c r="E53" s="791"/>
      <c r="F53" s="787"/>
      <c r="G53" s="788" t="str">
        <f t="shared" si="12"/>
        <v>——</v>
      </c>
      <c r="H53" s="789" t="str">
        <f t="shared" si="8"/>
        <v>——</v>
      </c>
      <c r="I53" s="892">
        <v>0.05</v>
      </c>
      <c r="J53" s="893" t="e">
        <f t="shared" si="9"/>
        <v>#VALUE!</v>
      </c>
      <c r="K53" s="893" t="e">
        <f t="shared" si="10"/>
        <v>#VALUE!</v>
      </c>
      <c r="L53" s="893">
        <v>0</v>
      </c>
      <c r="M53" s="893" t="e">
        <f t="shared" si="11"/>
        <v>#VALUE!</v>
      </c>
      <c r="N53" s="893" t="e">
        <f t="shared" si="11"/>
        <v>#VALUE!</v>
      </c>
      <c r="AA53" s="764"/>
      <c r="AB53" s="764"/>
      <c r="AC53" s="764"/>
      <c r="AD53" s="764"/>
      <c r="AE53" s="764"/>
      <c r="AF53" s="764"/>
      <c r="AG53" s="764"/>
      <c r="AH53" s="764"/>
      <c r="AI53" s="764"/>
      <c r="AJ53" s="764"/>
      <c r="AK53" s="764"/>
    </row>
    <row r="54" s="580" customFormat="1" ht="26" spans="1:37">
      <c r="A54" s="779" t="s">
        <v>1885</v>
      </c>
      <c r="B54" s="790">
        <f>估价对象房地状况!C24</f>
        <v>0</v>
      </c>
      <c r="C54" s="650"/>
      <c r="D54" s="785">
        <f t="shared" si="7"/>
        <v>0</v>
      </c>
      <c r="E54" s="791"/>
      <c r="F54" s="787"/>
      <c r="G54" s="788" t="str">
        <f t="shared" si="12"/>
        <v>——</v>
      </c>
      <c r="H54" s="789" t="str">
        <f t="shared" si="8"/>
        <v>——</v>
      </c>
      <c r="I54" s="892">
        <v>0.08</v>
      </c>
      <c r="J54" s="893" t="e">
        <f t="shared" si="9"/>
        <v>#VALUE!</v>
      </c>
      <c r="K54" s="893" t="e">
        <f t="shared" si="10"/>
        <v>#VALUE!</v>
      </c>
      <c r="L54" s="893">
        <v>0</v>
      </c>
      <c r="M54" s="893" t="e">
        <f t="shared" si="11"/>
        <v>#VALUE!</v>
      </c>
      <c r="N54" s="893" t="e">
        <f t="shared" si="11"/>
        <v>#VALUE!</v>
      </c>
      <c r="AA54" s="764"/>
      <c r="AB54" s="764"/>
      <c r="AC54" s="764"/>
      <c r="AD54" s="764"/>
      <c r="AE54" s="764"/>
      <c r="AF54" s="764"/>
      <c r="AG54" s="764"/>
      <c r="AH54" s="764"/>
      <c r="AI54" s="764"/>
      <c r="AJ54" s="764"/>
      <c r="AK54" s="764"/>
    </row>
    <row r="55" s="580" customFormat="1" ht="26" spans="1:37">
      <c r="A55" s="779" t="s">
        <v>1886</v>
      </c>
      <c r="B55" s="794" t="s">
        <v>1887</v>
      </c>
      <c r="C55" s="650"/>
      <c r="D55" s="785">
        <f t="shared" si="7"/>
        <v>0</v>
      </c>
      <c r="E55" s="791"/>
      <c r="F55" s="787"/>
      <c r="G55" s="788" t="str">
        <f t="shared" si="12"/>
        <v>——</v>
      </c>
      <c r="H55" s="789" t="str">
        <f t="shared" si="8"/>
        <v>——</v>
      </c>
      <c r="I55" s="892">
        <v>0.05</v>
      </c>
      <c r="J55" s="893" t="e">
        <f t="shared" si="9"/>
        <v>#VALUE!</v>
      </c>
      <c r="K55" s="893" t="e">
        <f t="shared" si="10"/>
        <v>#VALUE!</v>
      </c>
      <c r="L55" s="893">
        <v>0</v>
      </c>
      <c r="M55" s="893" t="e">
        <f t="shared" si="11"/>
        <v>#VALUE!</v>
      </c>
      <c r="N55" s="893" t="e">
        <f t="shared" si="11"/>
        <v>#VALUE!</v>
      </c>
      <c r="AA55" s="764"/>
      <c r="AB55" s="764"/>
      <c r="AC55" s="764"/>
      <c r="AD55" s="764"/>
      <c r="AE55" s="764"/>
      <c r="AF55" s="764"/>
      <c r="AG55" s="764"/>
      <c r="AH55" s="764"/>
      <c r="AI55" s="764"/>
      <c r="AJ55" s="764"/>
      <c r="AK55" s="764"/>
    </row>
    <row r="56" s="580" customFormat="1" ht="26" spans="1:37">
      <c r="A56" s="795" t="s">
        <v>1888</v>
      </c>
      <c r="B56" s="796" t="str">
        <f>估价对象房地状况!C21</f>
        <v>估价对象所在区域公共配套设施齐备情况</v>
      </c>
      <c r="C56" s="650"/>
      <c r="D56" s="785">
        <f t="shared" si="7"/>
        <v>0</v>
      </c>
      <c r="E56" s="791"/>
      <c r="F56" s="787"/>
      <c r="G56" s="788" t="str">
        <f t="shared" si="12"/>
        <v>——</v>
      </c>
      <c r="H56" s="789" t="str">
        <f t="shared" si="8"/>
        <v>——</v>
      </c>
      <c r="I56" s="892">
        <v>0.05</v>
      </c>
      <c r="J56" s="893" t="e">
        <f t="shared" si="9"/>
        <v>#VALUE!</v>
      </c>
      <c r="K56" s="893" t="e">
        <f t="shared" si="10"/>
        <v>#VALUE!</v>
      </c>
      <c r="L56" s="893">
        <v>0</v>
      </c>
      <c r="M56" s="893" t="e">
        <f t="shared" si="11"/>
        <v>#VALUE!</v>
      </c>
      <c r="N56" s="893" t="e">
        <f t="shared" si="11"/>
        <v>#VALUE!</v>
      </c>
      <c r="AA56" s="764"/>
      <c r="AB56" s="764"/>
      <c r="AC56" s="764"/>
      <c r="AD56" s="764"/>
      <c r="AE56" s="764"/>
      <c r="AF56" s="764"/>
      <c r="AG56" s="764"/>
      <c r="AH56" s="764"/>
      <c r="AI56" s="764"/>
      <c r="AJ56" s="764"/>
      <c r="AK56" s="764"/>
    </row>
    <row r="57" s="580" customFormat="1" ht="26" spans="1:37">
      <c r="A57" s="795" t="s">
        <v>1889</v>
      </c>
      <c r="B57" s="790" t="str">
        <f>估价对象房地状况!C22</f>
        <v>估价对象所在区域基础设施水平</v>
      </c>
      <c r="C57" s="650"/>
      <c r="D57" s="785">
        <f t="shared" si="7"/>
        <v>0</v>
      </c>
      <c r="E57" s="791"/>
      <c r="F57" s="787"/>
      <c r="G57" s="788" t="str">
        <f t="shared" si="12"/>
        <v>——</v>
      </c>
      <c r="H57" s="789" t="str">
        <f t="shared" si="8"/>
        <v>——</v>
      </c>
      <c r="I57" s="892">
        <v>0.08</v>
      </c>
      <c r="J57" s="893" t="e">
        <f t="shared" si="9"/>
        <v>#VALUE!</v>
      </c>
      <c r="K57" s="893" t="e">
        <f t="shared" si="10"/>
        <v>#VALUE!</v>
      </c>
      <c r="L57" s="893">
        <v>0</v>
      </c>
      <c r="M57" s="893" t="e">
        <f t="shared" si="11"/>
        <v>#VALUE!</v>
      </c>
      <c r="N57" s="893" t="e">
        <f t="shared" si="11"/>
        <v>#VALUE!</v>
      </c>
      <c r="AA57" s="764"/>
      <c r="AB57" s="764"/>
      <c r="AC57" s="764"/>
      <c r="AD57" s="764"/>
      <c r="AE57" s="764"/>
      <c r="AF57" s="764"/>
      <c r="AG57" s="764"/>
      <c r="AH57" s="764"/>
      <c r="AI57" s="764"/>
      <c r="AJ57" s="764"/>
      <c r="AK57" s="764"/>
    </row>
    <row r="58" s="580" customFormat="1" ht="26.75" spans="1:37">
      <c r="A58" s="797" t="s">
        <v>1890</v>
      </c>
      <c r="B58" s="798" t="str">
        <f>估价对象房地状况!C20</f>
        <v>区域自然环境：；人文环境；综合评价环境状况一般</v>
      </c>
      <c r="C58" s="650"/>
      <c r="D58" s="785">
        <f t="shared" si="7"/>
        <v>0</v>
      </c>
      <c r="E58" s="799"/>
      <c r="F58" s="787"/>
      <c r="G58" s="788" t="str">
        <f t="shared" si="12"/>
        <v>——</v>
      </c>
      <c r="H58" s="789" t="str">
        <f t="shared" si="8"/>
        <v>——</v>
      </c>
      <c r="I58" s="894">
        <v>0.05</v>
      </c>
      <c r="J58" s="893" t="e">
        <f t="shared" si="9"/>
        <v>#VALUE!</v>
      </c>
      <c r="K58" s="893" t="e">
        <f t="shared" si="10"/>
        <v>#VALUE!</v>
      </c>
      <c r="L58" s="893">
        <v>0</v>
      </c>
      <c r="M58" s="893" t="e">
        <f t="shared" si="11"/>
        <v>#VALUE!</v>
      </c>
      <c r="N58" s="893" t="e">
        <f t="shared" si="11"/>
        <v>#VALUE!</v>
      </c>
      <c r="AA58" s="764"/>
      <c r="AB58" s="764"/>
      <c r="AC58" s="764"/>
      <c r="AD58" s="764"/>
      <c r="AE58" s="764"/>
      <c r="AF58" s="764"/>
      <c r="AG58" s="764"/>
      <c r="AH58" s="764"/>
      <c r="AI58" s="764"/>
      <c r="AJ58" s="764"/>
      <c r="AK58" s="764"/>
    </row>
    <row r="59" s="580" customFormat="1" ht="14" spans="1:37">
      <c r="A59" s="773" t="s">
        <v>1891</v>
      </c>
      <c r="B59" s="774">
        <f>1+E61</f>
        <v>1</v>
      </c>
      <c r="C59" s="776"/>
      <c r="D59" s="776"/>
      <c r="E59" s="777"/>
      <c r="F59" s="778"/>
      <c r="G59" s="772"/>
      <c r="H59" s="772"/>
      <c r="I59" s="772"/>
      <c r="J59" s="771"/>
      <c r="K59" s="771"/>
      <c r="L59" s="771"/>
      <c r="M59" s="771"/>
      <c r="N59" s="771"/>
      <c r="AA59" s="764"/>
      <c r="AB59" s="764"/>
      <c r="AC59" s="764"/>
      <c r="AD59" s="764"/>
      <c r="AE59" s="764"/>
      <c r="AF59" s="764"/>
      <c r="AG59" s="764"/>
      <c r="AH59" s="764"/>
      <c r="AI59" s="764"/>
      <c r="AJ59" s="764"/>
      <c r="AK59" s="764"/>
    </row>
    <row r="60" s="580" customFormat="1" ht="26" spans="1:37">
      <c r="A60" s="779" t="s">
        <v>1872</v>
      </c>
      <c r="B60" s="780"/>
      <c r="C60" s="780" t="s">
        <v>1874</v>
      </c>
      <c r="D60" s="780" t="s">
        <v>1875</v>
      </c>
      <c r="E60" s="781" t="s">
        <v>1876</v>
      </c>
      <c r="F60" s="782" t="s">
        <v>1892</v>
      </c>
      <c r="G60" s="780" t="s">
        <v>1694</v>
      </c>
      <c r="H60" s="783" t="s">
        <v>1878</v>
      </c>
      <c r="I60" s="780" t="s">
        <v>1879</v>
      </c>
      <c r="J60" s="891" t="s">
        <v>1087</v>
      </c>
      <c r="K60" s="891" t="s">
        <v>1088</v>
      </c>
      <c r="L60" s="891" t="s">
        <v>1089</v>
      </c>
      <c r="M60" s="891" t="s">
        <v>1090</v>
      </c>
      <c r="N60" s="891" t="s">
        <v>1091</v>
      </c>
      <c r="AA60" s="764"/>
      <c r="AB60" s="764"/>
      <c r="AC60" s="764"/>
      <c r="AD60" s="764"/>
      <c r="AE60" s="764"/>
      <c r="AF60" s="764"/>
      <c r="AG60" s="764"/>
      <c r="AH60" s="764"/>
      <c r="AI60" s="764"/>
      <c r="AJ60" s="764"/>
      <c r="AK60" s="764"/>
    </row>
    <row r="61" s="580" customFormat="1" ht="39" spans="1:37">
      <c r="A61" s="779" t="s">
        <v>1893</v>
      </c>
      <c r="B61" s="784" t="str">
        <f>估价对象房地状况!C17</f>
        <v>估价对象位于XX商圈，周边办公楼项目较多，入驻率高，办公集聚程度较好</v>
      </c>
      <c r="C61" s="650"/>
      <c r="D61" s="785">
        <f t="shared" ref="D61:D69" si="13">SUMIF($J$60:$N$60,C61,J61:N61)</f>
        <v>0</v>
      </c>
      <c r="E61" s="786">
        <f>ROUND(SUM(D61:D69),4)</f>
        <v>0</v>
      </c>
      <c r="F61" s="787" t="str">
        <f>IF(E2="办公",SUMIF(L1:L12,G2,N1:N12),"——")</f>
        <v>——</v>
      </c>
      <c r="G61" s="788"/>
      <c r="H61" s="789" t="str">
        <f t="shared" ref="H61:H69" si="14">IFERROR(ROUNDDOWN($F$61*I61/2,4),"——")</f>
        <v>——</v>
      </c>
      <c r="I61" s="892">
        <v>0.25</v>
      </c>
      <c r="J61" s="893">
        <f t="shared" ref="J61:J69" si="15">K61+$G61</f>
        <v>0</v>
      </c>
      <c r="K61" s="893">
        <f t="shared" ref="K61:K69" si="16">$L61+$G61</f>
        <v>0</v>
      </c>
      <c r="L61" s="893">
        <v>0</v>
      </c>
      <c r="M61" s="893">
        <f t="shared" ref="M61:N69" si="17">L61-$G61</f>
        <v>0</v>
      </c>
      <c r="N61" s="893">
        <f t="shared" si="17"/>
        <v>0</v>
      </c>
      <c r="AA61" s="764"/>
      <c r="AB61" s="764"/>
      <c r="AC61" s="764"/>
      <c r="AD61" s="764"/>
      <c r="AE61" s="764"/>
      <c r="AF61" s="764"/>
      <c r="AG61" s="764"/>
      <c r="AH61" s="764"/>
      <c r="AI61" s="764"/>
      <c r="AJ61" s="764"/>
      <c r="AK61" s="764"/>
    </row>
    <row r="62" s="580" customFormat="1" ht="52" spans="1:37">
      <c r="A62" s="779" t="s">
        <v>1881</v>
      </c>
      <c r="B62" s="790" t="str">
        <f>估价对象房地状况!C18</f>
        <v>估价对象周边道路状况、公共交通通达情况、停车便捷程度，综合评价交通便捷度较好</v>
      </c>
      <c r="C62" s="650"/>
      <c r="D62" s="785">
        <f t="shared" si="13"/>
        <v>0</v>
      </c>
      <c r="E62" s="791"/>
      <c r="F62" s="787"/>
      <c r="G62" s="788"/>
      <c r="H62" s="789" t="str">
        <f t="shared" si="14"/>
        <v>——</v>
      </c>
      <c r="I62" s="892">
        <v>0.26</v>
      </c>
      <c r="J62" s="893">
        <f t="shared" si="15"/>
        <v>0</v>
      </c>
      <c r="K62" s="893">
        <f t="shared" si="16"/>
        <v>0</v>
      </c>
      <c r="L62" s="893">
        <v>0</v>
      </c>
      <c r="M62" s="893">
        <f t="shared" si="17"/>
        <v>0</v>
      </c>
      <c r="N62" s="893">
        <f t="shared" si="17"/>
        <v>0</v>
      </c>
      <c r="AA62" s="764"/>
      <c r="AB62" s="764"/>
      <c r="AC62" s="764"/>
      <c r="AD62" s="764"/>
      <c r="AE62" s="764"/>
      <c r="AF62" s="764"/>
      <c r="AG62" s="764"/>
      <c r="AH62" s="764"/>
      <c r="AI62" s="764"/>
      <c r="AJ62" s="764"/>
      <c r="AK62" s="764"/>
    </row>
    <row r="63" s="580" customFormat="1" ht="39" spans="1:37">
      <c r="A63" s="792" t="s">
        <v>1882</v>
      </c>
      <c r="B63" s="790">
        <f>估价对象房地状况!C19</f>
        <v>0</v>
      </c>
      <c r="C63" s="650"/>
      <c r="D63" s="785">
        <f t="shared" si="13"/>
        <v>0</v>
      </c>
      <c r="E63" s="791"/>
      <c r="F63" s="787"/>
      <c r="G63" s="788"/>
      <c r="H63" s="789" t="str">
        <f t="shared" si="14"/>
        <v>——</v>
      </c>
      <c r="I63" s="892">
        <v>0.11</v>
      </c>
      <c r="J63" s="893">
        <f t="shared" si="15"/>
        <v>0</v>
      </c>
      <c r="K63" s="893">
        <f t="shared" si="16"/>
        <v>0</v>
      </c>
      <c r="L63" s="893">
        <v>0</v>
      </c>
      <c r="M63" s="893">
        <f t="shared" si="17"/>
        <v>0</v>
      </c>
      <c r="N63" s="893">
        <f t="shared" si="17"/>
        <v>0</v>
      </c>
      <c r="AA63" s="764"/>
      <c r="AB63" s="764"/>
      <c r="AC63" s="764"/>
      <c r="AD63" s="764"/>
      <c r="AE63" s="764"/>
      <c r="AF63" s="764"/>
      <c r="AG63" s="764"/>
      <c r="AH63" s="764"/>
      <c r="AI63" s="764"/>
      <c r="AJ63" s="764"/>
      <c r="AK63" s="764"/>
    </row>
    <row r="64" s="580" customFormat="1" ht="39" spans="1:37">
      <c r="A64" s="779" t="s">
        <v>1883</v>
      </c>
      <c r="B64" s="793" t="s">
        <v>1884</v>
      </c>
      <c r="C64" s="650"/>
      <c r="D64" s="785">
        <f t="shared" si="13"/>
        <v>0</v>
      </c>
      <c r="E64" s="791"/>
      <c r="F64" s="787"/>
      <c r="G64" s="788"/>
      <c r="H64" s="789" t="str">
        <f t="shared" si="14"/>
        <v>——</v>
      </c>
      <c r="I64" s="892">
        <v>0.05</v>
      </c>
      <c r="J64" s="893">
        <f t="shared" si="15"/>
        <v>0</v>
      </c>
      <c r="K64" s="893">
        <f t="shared" si="16"/>
        <v>0</v>
      </c>
      <c r="L64" s="893">
        <v>0</v>
      </c>
      <c r="M64" s="893">
        <f t="shared" si="17"/>
        <v>0</v>
      </c>
      <c r="N64" s="893">
        <f t="shared" si="17"/>
        <v>0</v>
      </c>
      <c r="AA64" s="764"/>
      <c r="AB64" s="764"/>
      <c r="AC64" s="764"/>
      <c r="AD64" s="764"/>
      <c r="AE64" s="764"/>
      <c r="AF64" s="764"/>
      <c r="AG64" s="764"/>
      <c r="AH64" s="764"/>
      <c r="AI64" s="764"/>
      <c r="AJ64" s="764"/>
      <c r="AK64" s="764"/>
    </row>
    <row r="65" s="580" customFormat="1" ht="26" spans="1:37">
      <c r="A65" s="779" t="s">
        <v>1885</v>
      </c>
      <c r="B65" s="790">
        <f>估价对象房地状况!C24</f>
        <v>0</v>
      </c>
      <c r="C65" s="650"/>
      <c r="D65" s="785">
        <f t="shared" si="13"/>
        <v>0</v>
      </c>
      <c r="E65" s="791"/>
      <c r="F65" s="787"/>
      <c r="G65" s="788"/>
      <c r="H65" s="789" t="str">
        <f t="shared" si="14"/>
        <v>——</v>
      </c>
      <c r="I65" s="892">
        <v>0.05</v>
      </c>
      <c r="J65" s="893">
        <f t="shared" si="15"/>
        <v>0</v>
      </c>
      <c r="K65" s="893">
        <f t="shared" si="16"/>
        <v>0</v>
      </c>
      <c r="L65" s="893">
        <v>0</v>
      </c>
      <c r="M65" s="893">
        <f t="shared" si="17"/>
        <v>0</v>
      </c>
      <c r="N65" s="893">
        <f t="shared" si="17"/>
        <v>0</v>
      </c>
      <c r="AA65" s="764"/>
      <c r="AB65" s="764"/>
      <c r="AC65" s="764"/>
      <c r="AD65" s="764"/>
      <c r="AE65" s="764"/>
      <c r="AF65" s="764"/>
      <c r="AG65" s="764"/>
      <c r="AH65" s="764"/>
      <c r="AI65" s="764"/>
      <c r="AJ65" s="764"/>
      <c r="AK65" s="764"/>
    </row>
    <row r="66" s="580" customFormat="1" ht="26" spans="1:37">
      <c r="A66" s="779" t="s">
        <v>1886</v>
      </c>
      <c r="B66" s="794" t="s">
        <v>1887</v>
      </c>
      <c r="C66" s="650"/>
      <c r="D66" s="785">
        <f t="shared" si="13"/>
        <v>0</v>
      </c>
      <c r="E66" s="791"/>
      <c r="F66" s="787"/>
      <c r="G66" s="788"/>
      <c r="H66" s="789" t="str">
        <f t="shared" si="14"/>
        <v>——</v>
      </c>
      <c r="I66" s="892">
        <v>0.06</v>
      </c>
      <c r="J66" s="893">
        <f t="shared" si="15"/>
        <v>0</v>
      </c>
      <c r="K66" s="893">
        <f t="shared" si="16"/>
        <v>0</v>
      </c>
      <c r="L66" s="893">
        <v>0</v>
      </c>
      <c r="M66" s="893">
        <f t="shared" si="17"/>
        <v>0</v>
      </c>
      <c r="N66" s="893">
        <f t="shared" si="17"/>
        <v>0</v>
      </c>
      <c r="AA66" s="764"/>
      <c r="AB66" s="764"/>
      <c r="AC66" s="764"/>
      <c r="AD66" s="764"/>
      <c r="AE66" s="764"/>
      <c r="AF66" s="764"/>
      <c r="AG66" s="764"/>
      <c r="AH66" s="764"/>
      <c r="AI66" s="764"/>
      <c r="AJ66" s="764"/>
      <c r="AK66" s="764"/>
    </row>
    <row r="67" s="580" customFormat="1" ht="26" spans="1:37">
      <c r="A67" s="779" t="s">
        <v>1888</v>
      </c>
      <c r="B67" s="796" t="str">
        <f>估价对象房地状况!C21</f>
        <v>估价对象所在区域公共配套设施齐备情况</v>
      </c>
      <c r="C67" s="650"/>
      <c r="D67" s="785">
        <f t="shared" si="13"/>
        <v>0</v>
      </c>
      <c r="E67" s="791"/>
      <c r="F67" s="787"/>
      <c r="G67" s="788"/>
      <c r="H67" s="789" t="str">
        <f t="shared" si="14"/>
        <v>——</v>
      </c>
      <c r="I67" s="892">
        <v>0.06</v>
      </c>
      <c r="J67" s="893">
        <f t="shared" si="15"/>
        <v>0</v>
      </c>
      <c r="K67" s="893">
        <f t="shared" si="16"/>
        <v>0</v>
      </c>
      <c r="L67" s="893">
        <v>0</v>
      </c>
      <c r="M67" s="893">
        <f t="shared" si="17"/>
        <v>0</v>
      </c>
      <c r="N67" s="893">
        <f t="shared" si="17"/>
        <v>0</v>
      </c>
      <c r="AA67" s="764"/>
      <c r="AB67" s="764"/>
      <c r="AC67" s="764"/>
      <c r="AD67" s="764"/>
      <c r="AE67" s="764"/>
      <c r="AF67" s="764"/>
      <c r="AG67" s="764"/>
      <c r="AH67" s="764"/>
      <c r="AI67" s="764"/>
      <c r="AJ67" s="764"/>
      <c r="AK67" s="764"/>
    </row>
    <row r="68" s="580" customFormat="1" ht="26" spans="1:37">
      <c r="A68" s="779" t="s">
        <v>1889</v>
      </c>
      <c r="B68" s="796" t="str">
        <f>估价对象房地状况!C22</f>
        <v>估价对象所在区域基础设施水平</v>
      </c>
      <c r="C68" s="650"/>
      <c r="D68" s="785">
        <f t="shared" si="13"/>
        <v>0</v>
      </c>
      <c r="E68" s="791"/>
      <c r="F68" s="787"/>
      <c r="G68" s="788"/>
      <c r="H68" s="789" t="str">
        <f t="shared" si="14"/>
        <v>——</v>
      </c>
      <c r="I68" s="892">
        <v>0.09</v>
      </c>
      <c r="J68" s="893">
        <f t="shared" si="15"/>
        <v>0</v>
      </c>
      <c r="K68" s="893">
        <f t="shared" si="16"/>
        <v>0</v>
      </c>
      <c r="L68" s="893">
        <v>0</v>
      </c>
      <c r="M68" s="893">
        <f t="shared" si="17"/>
        <v>0</v>
      </c>
      <c r="N68" s="893">
        <f t="shared" si="17"/>
        <v>0</v>
      </c>
      <c r="AA68" s="764"/>
      <c r="AB68" s="764"/>
      <c r="AC68" s="764"/>
      <c r="AD68" s="764"/>
      <c r="AE68" s="764"/>
      <c r="AF68" s="764"/>
      <c r="AG68" s="764"/>
      <c r="AH68" s="764"/>
      <c r="AI68" s="764"/>
      <c r="AJ68" s="764"/>
      <c r="AK68" s="764"/>
    </row>
    <row r="69" s="580" customFormat="1" ht="26.75" spans="1:37">
      <c r="A69" s="797" t="s">
        <v>1890</v>
      </c>
      <c r="B69" s="926" t="str">
        <f>估价对象房地状况!C20</f>
        <v>区域自然环境：；人文环境；综合评价环境状况一般</v>
      </c>
      <c r="C69" s="650"/>
      <c r="D69" s="785">
        <f t="shared" si="13"/>
        <v>0</v>
      </c>
      <c r="E69" s="799"/>
      <c r="F69" s="787"/>
      <c r="G69" s="788"/>
      <c r="H69" s="789" t="str">
        <f t="shared" si="14"/>
        <v>——</v>
      </c>
      <c r="I69" s="894">
        <v>0.07</v>
      </c>
      <c r="J69" s="893">
        <f t="shared" si="15"/>
        <v>0</v>
      </c>
      <c r="K69" s="893">
        <f t="shared" si="16"/>
        <v>0</v>
      </c>
      <c r="L69" s="893">
        <v>0</v>
      </c>
      <c r="M69" s="893">
        <f t="shared" si="17"/>
        <v>0</v>
      </c>
      <c r="N69" s="893">
        <f t="shared" si="17"/>
        <v>0</v>
      </c>
      <c r="AA69" s="764"/>
      <c r="AB69" s="764"/>
      <c r="AC69" s="764"/>
      <c r="AD69" s="764"/>
      <c r="AE69" s="764"/>
      <c r="AF69" s="764"/>
      <c r="AG69" s="764"/>
      <c r="AH69" s="764"/>
      <c r="AI69" s="764"/>
      <c r="AJ69" s="764"/>
      <c r="AK69" s="764"/>
    </row>
    <row r="70" s="580" customFormat="1" ht="14" spans="1:37">
      <c r="A70" s="773" t="s">
        <v>1894</v>
      </c>
      <c r="B70" s="774">
        <f>1+E72</f>
        <v>1</v>
      </c>
      <c r="C70" s="776"/>
      <c r="D70" s="776"/>
      <c r="E70" s="777"/>
      <c r="F70" s="778"/>
      <c r="G70" s="772"/>
      <c r="H70" s="772"/>
      <c r="I70" s="772"/>
      <c r="J70" s="771"/>
      <c r="K70" s="771"/>
      <c r="L70" s="771"/>
      <c r="M70" s="771"/>
      <c r="N70" s="771"/>
      <c r="AA70" s="764"/>
      <c r="AB70" s="764"/>
      <c r="AC70" s="764"/>
      <c r="AD70" s="764"/>
      <c r="AE70" s="764"/>
      <c r="AF70" s="764"/>
      <c r="AG70" s="764"/>
      <c r="AH70" s="764"/>
      <c r="AI70" s="764"/>
      <c r="AJ70" s="764"/>
      <c r="AK70" s="764"/>
    </row>
    <row r="71" s="580" customFormat="1" ht="26" spans="1:37">
      <c r="A71" s="779" t="s">
        <v>1872</v>
      </c>
      <c r="B71" s="780"/>
      <c r="C71" s="780" t="s">
        <v>1874</v>
      </c>
      <c r="D71" s="780" t="s">
        <v>1875</v>
      </c>
      <c r="E71" s="781" t="s">
        <v>1876</v>
      </c>
      <c r="F71" s="782" t="s">
        <v>1892</v>
      </c>
      <c r="G71" s="780" t="s">
        <v>1694</v>
      </c>
      <c r="H71" s="783" t="s">
        <v>1878</v>
      </c>
      <c r="I71" s="780" t="s">
        <v>1879</v>
      </c>
      <c r="J71" s="891" t="s">
        <v>1087</v>
      </c>
      <c r="K71" s="891" t="s">
        <v>1088</v>
      </c>
      <c r="L71" s="891" t="s">
        <v>1089</v>
      </c>
      <c r="M71" s="891" t="s">
        <v>1090</v>
      </c>
      <c r="N71" s="891" t="s">
        <v>1091</v>
      </c>
      <c r="AA71" s="764"/>
      <c r="AB71" s="764"/>
      <c r="AC71" s="764"/>
      <c r="AD71" s="764"/>
      <c r="AE71" s="764"/>
      <c r="AF71" s="764"/>
      <c r="AG71" s="764"/>
      <c r="AH71" s="764"/>
      <c r="AI71" s="764"/>
      <c r="AJ71" s="764"/>
      <c r="AK71" s="764"/>
    </row>
    <row r="72" s="580" customFormat="1" ht="52" spans="1:37">
      <c r="A72" s="779" t="s">
        <v>1895</v>
      </c>
      <c r="B72" s="784" t="str">
        <f>估价对象房地状况!C15</f>
        <v>估价对象周边居住用地比例、居住小区规模和社区发展完善程度，综合评价居住社区成熟度一般</v>
      </c>
      <c r="C72" s="650"/>
      <c r="D72" s="785">
        <f t="shared" ref="D72:D80" si="18">SUMIF($J$71:$N$71,C72,J72:N72)</f>
        <v>0</v>
      </c>
      <c r="E72" s="786">
        <f>ROUND(SUM(D72:D80),4)</f>
        <v>0</v>
      </c>
      <c r="F72" s="787" t="str">
        <f>IF(E2="住宅",SUMIF(L1:L12,G2,N1:N12),"——")</f>
        <v>——</v>
      </c>
      <c r="G72" s="788"/>
      <c r="H72" s="789" t="str">
        <f t="shared" ref="H72:H80" si="19">IFERROR(ROUNDDOWN($F$72*I72/2,4),"——")</f>
        <v>——</v>
      </c>
      <c r="I72" s="892">
        <v>0.2</v>
      </c>
      <c r="J72" s="893">
        <f t="shared" ref="J72:J80" si="20">K72+$G72</f>
        <v>0</v>
      </c>
      <c r="K72" s="893">
        <f t="shared" ref="K72:K80" si="21">$L72+$G72</f>
        <v>0</v>
      </c>
      <c r="L72" s="893">
        <v>0</v>
      </c>
      <c r="M72" s="893">
        <f t="shared" ref="M72:N80" si="22">L72-$G72</f>
        <v>0</v>
      </c>
      <c r="N72" s="893">
        <f t="shared" si="22"/>
        <v>0</v>
      </c>
      <c r="AA72" s="764"/>
      <c r="AB72" s="764"/>
      <c r="AC72" s="764"/>
      <c r="AD72" s="764"/>
      <c r="AE72" s="764"/>
      <c r="AF72" s="764"/>
      <c r="AG72" s="764"/>
      <c r="AH72" s="764"/>
      <c r="AI72" s="764"/>
      <c r="AJ72" s="764"/>
      <c r="AK72" s="764"/>
    </row>
    <row r="73" s="580" customFormat="1" ht="52" spans="1:37">
      <c r="A73" s="779" t="s">
        <v>1881</v>
      </c>
      <c r="B73" s="790" t="str">
        <f>估价对象房地状况!C18</f>
        <v>估价对象周边道路状况、公共交通通达情况、停车便捷程度，综合评价交通便捷度较好</v>
      </c>
      <c r="C73" s="650"/>
      <c r="D73" s="785">
        <f t="shared" si="18"/>
        <v>0</v>
      </c>
      <c r="E73" s="927"/>
      <c r="F73" s="787"/>
      <c r="G73" s="788"/>
      <c r="H73" s="789" t="str">
        <f t="shared" si="19"/>
        <v>——</v>
      </c>
      <c r="I73" s="892">
        <v>0.26</v>
      </c>
      <c r="J73" s="893">
        <f t="shared" si="20"/>
        <v>0</v>
      </c>
      <c r="K73" s="893">
        <f t="shared" si="21"/>
        <v>0</v>
      </c>
      <c r="L73" s="893">
        <v>0</v>
      </c>
      <c r="M73" s="893">
        <f t="shared" si="22"/>
        <v>0</v>
      </c>
      <c r="N73" s="893">
        <f t="shared" si="22"/>
        <v>0</v>
      </c>
      <c r="AA73" s="764"/>
      <c r="AB73" s="764"/>
      <c r="AC73" s="764"/>
      <c r="AD73" s="764"/>
      <c r="AE73" s="764"/>
      <c r="AF73" s="764"/>
      <c r="AG73" s="764"/>
      <c r="AH73" s="764"/>
      <c r="AI73" s="764"/>
      <c r="AJ73" s="764"/>
      <c r="AK73" s="764"/>
    </row>
    <row r="74" s="581" customFormat="1" ht="39" spans="1:37">
      <c r="A74" s="792" t="s">
        <v>1882</v>
      </c>
      <c r="B74" s="790">
        <f>估价对象房地状况!C19</f>
        <v>0</v>
      </c>
      <c r="C74" s="650"/>
      <c r="D74" s="785">
        <f t="shared" si="18"/>
        <v>0</v>
      </c>
      <c r="E74" s="927"/>
      <c r="F74" s="787"/>
      <c r="G74" s="788"/>
      <c r="H74" s="789" t="str">
        <f t="shared" si="19"/>
        <v>——</v>
      </c>
      <c r="I74" s="892">
        <v>0.1</v>
      </c>
      <c r="J74" s="893">
        <f t="shared" si="20"/>
        <v>0</v>
      </c>
      <c r="K74" s="893">
        <f t="shared" si="21"/>
        <v>0</v>
      </c>
      <c r="L74" s="893">
        <v>0</v>
      </c>
      <c r="M74" s="893">
        <f t="shared" si="22"/>
        <v>0</v>
      </c>
      <c r="N74" s="893">
        <f t="shared" si="22"/>
        <v>0</v>
      </c>
      <c r="O74" s="580"/>
      <c r="P74" s="580"/>
      <c r="Q74" s="580"/>
      <c r="AA74" s="922"/>
      <c r="AB74" s="764"/>
      <c r="AC74" s="764"/>
      <c r="AD74" s="764"/>
      <c r="AE74" s="764"/>
      <c r="AF74" s="764"/>
      <c r="AG74" s="764"/>
      <c r="AH74" s="922"/>
      <c r="AI74" s="922"/>
      <c r="AJ74" s="922"/>
      <c r="AK74" s="922"/>
    </row>
    <row r="75" ht="14" spans="1:37">
      <c r="A75" s="779" t="s">
        <v>1896</v>
      </c>
      <c r="B75" s="790">
        <f>估价对象房地状况!C24</f>
        <v>0</v>
      </c>
      <c r="C75" s="650"/>
      <c r="D75" s="785">
        <f t="shared" si="18"/>
        <v>0</v>
      </c>
      <c r="E75" s="927"/>
      <c r="F75" s="787"/>
      <c r="G75" s="788"/>
      <c r="H75" s="789" t="str">
        <f t="shared" si="19"/>
        <v>——</v>
      </c>
      <c r="I75" s="892">
        <v>0.05</v>
      </c>
      <c r="J75" s="893">
        <f t="shared" si="20"/>
        <v>0</v>
      </c>
      <c r="K75" s="893">
        <f t="shared" si="21"/>
        <v>0</v>
      </c>
      <c r="L75" s="893">
        <v>0</v>
      </c>
      <c r="M75" s="893">
        <f t="shared" si="22"/>
        <v>0</v>
      </c>
      <c r="N75" s="893">
        <f t="shared" si="22"/>
        <v>0</v>
      </c>
      <c r="O75" s="580"/>
      <c r="P75" s="580"/>
      <c r="Q75" s="581"/>
      <c r="Z75" s="584"/>
      <c r="AA75" s="582"/>
      <c r="AG75" s="586"/>
      <c r="AK75" s="582"/>
    </row>
    <row r="76" ht="26" spans="1:37">
      <c r="A76" s="779" t="s">
        <v>1888</v>
      </c>
      <c r="B76" s="796" t="str">
        <f>估价对象房地状况!C21</f>
        <v>估价对象所在区域公共配套设施齐备情况</v>
      </c>
      <c r="C76" s="650"/>
      <c r="D76" s="785">
        <f t="shared" si="18"/>
        <v>0</v>
      </c>
      <c r="E76" s="927"/>
      <c r="F76" s="787"/>
      <c r="G76" s="788"/>
      <c r="H76" s="789" t="str">
        <f t="shared" si="19"/>
        <v>——</v>
      </c>
      <c r="I76" s="892">
        <v>0.08</v>
      </c>
      <c r="J76" s="893">
        <f t="shared" si="20"/>
        <v>0</v>
      </c>
      <c r="K76" s="893">
        <f t="shared" si="21"/>
        <v>0</v>
      </c>
      <c r="L76" s="893">
        <v>0</v>
      </c>
      <c r="M76" s="893">
        <f t="shared" si="22"/>
        <v>0</v>
      </c>
      <c r="N76" s="893">
        <f t="shared" si="22"/>
        <v>0</v>
      </c>
      <c r="O76" s="580"/>
      <c r="P76" s="580"/>
      <c r="Z76" s="584"/>
      <c r="AA76" s="582"/>
      <c r="AG76" s="586"/>
      <c r="AK76" s="582"/>
    </row>
    <row r="77" ht="26" spans="1:37">
      <c r="A77" s="779" t="s">
        <v>1889</v>
      </c>
      <c r="B77" s="796" t="str">
        <f>估价对象房地状况!C22</f>
        <v>估价对象所在区域基础设施水平</v>
      </c>
      <c r="C77" s="650"/>
      <c r="D77" s="785">
        <f t="shared" si="18"/>
        <v>0</v>
      </c>
      <c r="E77" s="927"/>
      <c r="F77" s="787"/>
      <c r="G77" s="788"/>
      <c r="H77" s="789" t="str">
        <f t="shared" si="19"/>
        <v>——</v>
      </c>
      <c r="I77" s="892">
        <v>0.09</v>
      </c>
      <c r="J77" s="893">
        <f t="shared" si="20"/>
        <v>0</v>
      </c>
      <c r="K77" s="893">
        <f t="shared" si="21"/>
        <v>0</v>
      </c>
      <c r="L77" s="893">
        <v>0</v>
      </c>
      <c r="M77" s="893">
        <f t="shared" si="22"/>
        <v>0</v>
      </c>
      <c r="N77" s="893">
        <f t="shared" si="22"/>
        <v>0</v>
      </c>
      <c r="O77" s="580"/>
      <c r="P77" s="580"/>
      <c r="Z77" s="584"/>
      <c r="AA77" s="582"/>
      <c r="AG77" s="586"/>
      <c r="AK77" s="582"/>
    </row>
    <row r="78" ht="26" spans="1:37">
      <c r="A78" s="779" t="s">
        <v>1886</v>
      </c>
      <c r="B78" s="794" t="s">
        <v>1887</v>
      </c>
      <c r="C78" s="650"/>
      <c r="D78" s="785">
        <f t="shared" si="18"/>
        <v>0</v>
      </c>
      <c r="E78" s="927"/>
      <c r="F78" s="787"/>
      <c r="G78" s="788"/>
      <c r="H78" s="789" t="str">
        <f t="shared" si="19"/>
        <v>——</v>
      </c>
      <c r="I78" s="892">
        <v>0.05</v>
      </c>
      <c r="J78" s="893">
        <f t="shared" si="20"/>
        <v>0</v>
      </c>
      <c r="K78" s="893">
        <f t="shared" si="21"/>
        <v>0</v>
      </c>
      <c r="L78" s="893">
        <v>0</v>
      </c>
      <c r="M78" s="893">
        <f t="shared" si="22"/>
        <v>0</v>
      </c>
      <c r="N78" s="893">
        <f t="shared" si="22"/>
        <v>0</v>
      </c>
      <c r="O78" s="581"/>
      <c r="P78" s="581"/>
      <c r="Z78" s="584"/>
      <c r="AA78" s="582"/>
      <c r="AG78" s="586"/>
      <c r="AK78" s="582"/>
    </row>
    <row r="79" ht="26" spans="1:37">
      <c r="A79" s="779" t="s">
        <v>1890</v>
      </c>
      <c r="B79" s="784" t="str">
        <f>估价对象房地状况!C20</f>
        <v>区域自然环境：；人文环境；综合评价环境状况一般</v>
      </c>
      <c r="C79" s="650"/>
      <c r="D79" s="785">
        <f t="shared" si="18"/>
        <v>0</v>
      </c>
      <c r="E79" s="927"/>
      <c r="F79" s="787"/>
      <c r="G79" s="788"/>
      <c r="H79" s="789" t="str">
        <f t="shared" si="19"/>
        <v>——</v>
      </c>
      <c r="I79" s="892">
        <v>0.12</v>
      </c>
      <c r="J79" s="893">
        <f t="shared" si="20"/>
        <v>0</v>
      </c>
      <c r="K79" s="893">
        <f t="shared" si="21"/>
        <v>0</v>
      </c>
      <c r="L79" s="893">
        <v>0</v>
      </c>
      <c r="M79" s="893">
        <f t="shared" si="22"/>
        <v>0</v>
      </c>
      <c r="N79" s="893">
        <f t="shared" si="22"/>
        <v>0</v>
      </c>
      <c r="Z79" s="584"/>
      <c r="AA79" s="582"/>
      <c r="AG79" s="586"/>
      <c r="AK79" s="582"/>
    </row>
    <row r="80" ht="26.75" spans="1:37">
      <c r="A80" s="797" t="s">
        <v>1897</v>
      </c>
      <c r="B80" s="928"/>
      <c r="C80" s="650"/>
      <c r="D80" s="785">
        <f t="shared" si="18"/>
        <v>0</v>
      </c>
      <c r="E80" s="929"/>
      <c r="F80" s="787"/>
      <c r="G80" s="788"/>
      <c r="H80" s="789" t="str">
        <f t="shared" si="19"/>
        <v>——</v>
      </c>
      <c r="I80" s="894">
        <v>0.05</v>
      </c>
      <c r="J80" s="893">
        <f t="shared" si="20"/>
        <v>0</v>
      </c>
      <c r="K80" s="893">
        <f t="shared" si="21"/>
        <v>0</v>
      </c>
      <c r="L80" s="893">
        <v>0</v>
      </c>
      <c r="M80" s="893">
        <f t="shared" si="22"/>
        <v>0</v>
      </c>
      <c r="N80" s="893">
        <f t="shared" si="22"/>
        <v>0</v>
      </c>
      <c r="Z80" s="584"/>
      <c r="AA80" s="582"/>
      <c r="AG80" s="586"/>
      <c r="AK80" s="582"/>
    </row>
    <row r="81" ht="14" spans="1:37">
      <c r="A81" s="773" t="s">
        <v>1898</v>
      </c>
      <c r="B81" s="774">
        <f>1+E83</f>
        <v>1</v>
      </c>
      <c r="C81" s="776"/>
      <c r="D81" s="776"/>
      <c r="E81" s="777"/>
      <c r="F81" s="778"/>
      <c r="G81" s="772"/>
      <c r="H81" s="772"/>
      <c r="I81" s="772"/>
      <c r="J81" s="771"/>
      <c r="K81" s="771"/>
      <c r="L81" s="771"/>
      <c r="M81" s="771"/>
      <c r="N81" s="771"/>
      <c r="Z81" s="584"/>
      <c r="AA81" s="582"/>
      <c r="AG81" s="586"/>
      <c r="AK81" s="582"/>
    </row>
    <row r="82" ht="26" spans="1:37">
      <c r="A82" s="779" t="s">
        <v>1872</v>
      </c>
      <c r="B82" s="780"/>
      <c r="C82" s="780" t="s">
        <v>1874</v>
      </c>
      <c r="D82" s="780" t="s">
        <v>1875</v>
      </c>
      <c r="E82" s="781" t="s">
        <v>1876</v>
      </c>
      <c r="F82" s="782" t="s">
        <v>1892</v>
      </c>
      <c r="G82" s="780" t="s">
        <v>1694</v>
      </c>
      <c r="H82" s="783" t="s">
        <v>1878</v>
      </c>
      <c r="I82" s="780" t="s">
        <v>1879</v>
      </c>
      <c r="J82" s="891" t="s">
        <v>1087</v>
      </c>
      <c r="K82" s="891" t="s">
        <v>1088</v>
      </c>
      <c r="L82" s="891" t="s">
        <v>1089</v>
      </c>
      <c r="M82" s="891" t="s">
        <v>1090</v>
      </c>
      <c r="N82" s="891" t="s">
        <v>1091</v>
      </c>
      <c r="Z82" s="584"/>
      <c r="AA82" s="582"/>
      <c r="AG82" s="586"/>
      <c r="AK82" s="582"/>
    </row>
    <row r="83" ht="39" spans="1:37">
      <c r="A83" s="779" t="s">
        <v>1899</v>
      </c>
      <c r="B83" s="790" t="str">
        <f>估价对象房地状况!G15</f>
        <v>估价对象位于XX开发区，园区建设成熟度XX，产业集聚程度XX</v>
      </c>
      <c r="C83" s="650" t="s">
        <v>1047</v>
      </c>
      <c r="D83" s="785">
        <f t="shared" ref="D83:D90" si="23">SUMIF($J$82:$N$82,C83,J83:N83)</f>
        <v>0</v>
      </c>
      <c r="E83" s="786">
        <f>ROUND(SUM(D83:D90),4)</f>
        <v>0</v>
      </c>
      <c r="F83" s="787">
        <f>IF(E2="工业",SUMIF(L1:L12,G2,N1:N12),"——")</f>
        <v>0</v>
      </c>
      <c r="G83" s="788">
        <f>H83</f>
        <v>0</v>
      </c>
      <c r="H83" s="789">
        <f t="shared" ref="H83:H90" si="24">IFERROR(ROUNDDOWN($F$83*I83/2,4),"——")</f>
        <v>0</v>
      </c>
      <c r="I83" s="892">
        <v>0.26</v>
      </c>
      <c r="J83" s="893">
        <f t="shared" ref="J83:J90" si="25">K83+$G83</f>
        <v>0</v>
      </c>
      <c r="K83" s="893">
        <f t="shared" ref="K83:K90" si="26">$L83+$G83</f>
        <v>0</v>
      </c>
      <c r="L83" s="893">
        <v>0</v>
      </c>
      <c r="M83" s="893">
        <f t="shared" ref="M83:N90" si="27">L83-$G83</f>
        <v>0</v>
      </c>
      <c r="N83" s="893">
        <f t="shared" si="27"/>
        <v>0</v>
      </c>
      <c r="Z83" s="584"/>
      <c r="AA83" s="582"/>
      <c r="AG83" s="586"/>
      <c r="AK83" s="582"/>
    </row>
    <row r="84" ht="52" spans="1:37">
      <c r="A84" s="779" t="s">
        <v>1881</v>
      </c>
      <c r="B84" s="790" t="str">
        <f>估价对象房地状况!G16</f>
        <v>估价对象周边道路状况、公共交通通达情况、停车便捷程度，综合评价交通便捷度较好</v>
      </c>
      <c r="C84" s="650" t="s">
        <v>1047</v>
      </c>
      <c r="D84" s="785">
        <f t="shared" si="23"/>
        <v>0</v>
      </c>
      <c r="E84" s="927"/>
      <c r="F84" s="787"/>
      <c r="G84" s="788">
        <f t="shared" ref="G84:G90" si="28">H84</f>
        <v>0</v>
      </c>
      <c r="H84" s="789">
        <f t="shared" si="24"/>
        <v>0</v>
      </c>
      <c r="I84" s="892">
        <v>0.3</v>
      </c>
      <c r="J84" s="893">
        <f t="shared" si="25"/>
        <v>0</v>
      </c>
      <c r="K84" s="893">
        <f t="shared" si="26"/>
        <v>0</v>
      </c>
      <c r="L84" s="893">
        <v>0</v>
      </c>
      <c r="M84" s="893">
        <f t="shared" si="27"/>
        <v>0</v>
      </c>
      <c r="N84" s="893">
        <f t="shared" si="27"/>
        <v>0</v>
      </c>
      <c r="Z84" s="584"/>
      <c r="AA84" s="582"/>
      <c r="AG84" s="586"/>
      <c r="AK84" s="582"/>
    </row>
    <row r="85" ht="39" spans="1:37">
      <c r="A85" s="792" t="s">
        <v>1882</v>
      </c>
      <c r="B85" s="790">
        <f>估价对象房地状况!G17</f>
        <v>0</v>
      </c>
      <c r="C85" s="650" t="s">
        <v>1047</v>
      </c>
      <c r="D85" s="785">
        <f t="shared" si="23"/>
        <v>0</v>
      </c>
      <c r="E85" s="927"/>
      <c r="F85" s="787"/>
      <c r="G85" s="788">
        <f t="shared" si="28"/>
        <v>0</v>
      </c>
      <c r="H85" s="789">
        <f t="shared" si="24"/>
        <v>0</v>
      </c>
      <c r="I85" s="892">
        <v>0.1</v>
      </c>
      <c r="J85" s="893">
        <f t="shared" si="25"/>
        <v>0</v>
      </c>
      <c r="K85" s="893">
        <f t="shared" si="26"/>
        <v>0</v>
      </c>
      <c r="L85" s="893">
        <v>0</v>
      </c>
      <c r="M85" s="893">
        <f t="shared" si="27"/>
        <v>0</v>
      </c>
      <c r="N85" s="893">
        <f t="shared" si="27"/>
        <v>0</v>
      </c>
      <c r="Z85" s="584"/>
      <c r="AA85" s="582"/>
      <c r="AG85" s="586"/>
      <c r="AK85" s="582"/>
    </row>
    <row r="86" ht="14" spans="1:37">
      <c r="A86" s="779" t="s">
        <v>1896</v>
      </c>
      <c r="B86" s="790">
        <f>估价对象房地状况!G22</f>
        <v>0</v>
      </c>
      <c r="C86" s="650" t="s">
        <v>1046</v>
      </c>
      <c r="D86" s="785">
        <f t="shared" si="23"/>
        <v>0</v>
      </c>
      <c r="E86" s="927"/>
      <c r="F86" s="787"/>
      <c r="G86" s="788">
        <f t="shared" si="28"/>
        <v>0</v>
      </c>
      <c r="H86" s="789">
        <f t="shared" si="24"/>
        <v>0</v>
      </c>
      <c r="I86" s="892">
        <v>0.05</v>
      </c>
      <c r="J86" s="893">
        <f t="shared" si="25"/>
        <v>0</v>
      </c>
      <c r="K86" s="893">
        <f t="shared" si="26"/>
        <v>0</v>
      </c>
      <c r="L86" s="893">
        <v>0</v>
      </c>
      <c r="M86" s="893">
        <f t="shared" si="27"/>
        <v>0</v>
      </c>
      <c r="N86" s="893">
        <f t="shared" si="27"/>
        <v>0</v>
      </c>
      <c r="Z86" s="584"/>
      <c r="AA86" s="582"/>
      <c r="AG86" s="586"/>
      <c r="AK86" s="582"/>
    </row>
    <row r="87" ht="26" spans="1:14">
      <c r="A87" s="779" t="s">
        <v>1888</v>
      </c>
      <c r="B87" s="796" t="str">
        <f>估价对象房地状况!G19</f>
        <v>估价对象所在区域公共配套设施齐备情况</v>
      </c>
      <c r="C87" s="650" t="s">
        <v>1046</v>
      </c>
      <c r="D87" s="785">
        <f t="shared" si="23"/>
        <v>0</v>
      </c>
      <c r="E87" s="927"/>
      <c r="F87" s="787"/>
      <c r="G87" s="788">
        <f t="shared" si="28"/>
        <v>0</v>
      </c>
      <c r="H87" s="789">
        <f t="shared" si="24"/>
        <v>0</v>
      </c>
      <c r="I87" s="892">
        <v>0.06</v>
      </c>
      <c r="J87" s="893">
        <f t="shared" si="25"/>
        <v>0</v>
      </c>
      <c r="K87" s="893">
        <f t="shared" si="26"/>
        <v>0</v>
      </c>
      <c r="L87" s="893">
        <v>0</v>
      </c>
      <c r="M87" s="893">
        <f t="shared" si="27"/>
        <v>0</v>
      </c>
      <c r="N87" s="893">
        <f t="shared" si="27"/>
        <v>0</v>
      </c>
    </row>
    <row r="88" ht="26" spans="1:14">
      <c r="A88" s="779" t="s">
        <v>1889</v>
      </c>
      <c r="B88" s="796" t="str">
        <f>估价对象房地状况!G20</f>
        <v>估价对象所在区域基础设施水平</v>
      </c>
      <c r="C88" s="650" t="s">
        <v>1900</v>
      </c>
      <c r="D88" s="785">
        <f t="shared" si="23"/>
        <v>0</v>
      </c>
      <c r="E88" s="927"/>
      <c r="F88" s="787"/>
      <c r="G88" s="788">
        <f t="shared" si="28"/>
        <v>0</v>
      </c>
      <c r="H88" s="789">
        <f t="shared" si="24"/>
        <v>0</v>
      </c>
      <c r="I88" s="892">
        <v>0.12</v>
      </c>
      <c r="J88" s="893">
        <f t="shared" si="25"/>
        <v>0</v>
      </c>
      <c r="K88" s="893">
        <f t="shared" si="26"/>
        <v>0</v>
      </c>
      <c r="L88" s="893">
        <v>0</v>
      </c>
      <c r="M88" s="893">
        <f t="shared" si="27"/>
        <v>0</v>
      </c>
      <c r="N88" s="893">
        <f t="shared" si="27"/>
        <v>0</v>
      </c>
    </row>
    <row r="89" ht="26" spans="1:14">
      <c r="A89" s="779" t="s">
        <v>1886</v>
      </c>
      <c r="B89" s="794" t="s">
        <v>1901</v>
      </c>
      <c r="C89" s="650" t="s">
        <v>1047</v>
      </c>
      <c r="D89" s="785">
        <f t="shared" si="23"/>
        <v>0</v>
      </c>
      <c r="E89" s="927"/>
      <c r="F89" s="787"/>
      <c r="G89" s="788">
        <f t="shared" si="28"/>
        <v>0</v>
      </c>
      <c r="H89" s="789">
        <f t="shared" si="24"/>
        <v>0</v>
      </c>
      <c r="I89" s="892">
        <v>0.06</v>
      </c>
      <c r="J89" s="893">
        <f t="shared" si="25"/>
        <v>0</v>
      </c>
      <c r="K89" s="893">
        <f t="shared" si="26"/>
        <v>0</v>
      </c>
      <c r="L89" s="893">
        <v>0</v>
      </c>
      <c r="M89" s="893">
        <f t="shared" si="27"/>
        <v>0</v>
      </c>
      <c r="N89" s="893">
        <f t="shared" si="27"/>
        <v>0</v>
      </c>
    </row>
    <row r="90" ht="39.75" spans="1:14">
      <c r="A90" s="797" t="s">
        <v>1902</v>
      </c>
      <c r="B90" s="930" t="str">
        <f>估价对象房地状况!G18</f>
        <v>该园区内是否有污染型企业，绿化情况，卫生条件，整体环境状况判断</v>
      </c>
      <c r="C90" s="650" t="s">
        <v>1046</v>
      </c>
      <c r="D90" s="785">
        <f t="shared" si="23"/>
        <v>0</v>
      </c>
      <c r="E90" s="929"/>
      <c r="F90" s="787"/>
      <c r="G90" s="788">
        <f t="shared" si="28"/>
        <v>0</v>
      </c>
      <c r="H90" s="789">
        <f t="shared" si="24"/>
        <v>0</v>
      </c>
      <c r="I90" s="894">
        <v>0.05</v>
      </c>
      <c r="J90" s="893">
        <f t="shared" si="25"/>
        <v>0</v>
      </c>
      <c r="K90" s="893">
        <f t="shared" si="26"/>
        <v>0</v>
      </c>
      <c r="L90" s="893">
        <v>0</v>
      </c>
      <c r="M90" s="893">
        <f t="shared" si="27"/>
        <v>0</v>
      </c>
      <c r="N90" s="893">
        <f t="shared" si="27"/>
        <v>0</v>
      </c>
    </row>
    <row r="91" ht="14" spans="1:14">
      <c r="A91" s="931" t="s">
        <v>280</v>
      </c>
      <c r="B91" s="932">
        <f>1+E93</f>
        <v>1</v>
      </c>
      <c r="C91" s="933"/>
      <c r="D91" s="934"/>
      <c r="E91" s="787"/>
      <c r="F91" s="787"/>
      <c r="G91" s="935"/>
      <c r="H91" s="936"/>
      <c r="I91" s="974"/>
      <c r="J91" s="975"/>
      <c r="K91" s="975"/>
      <c r="L91" s="975"/>
      <c r="M91" s="975"/>
      <c r="N91" s="975"/>
    </row>
    <row r="92" ht="26" spans="1:14">
      <c r="A92" s="937" t="s">
        <v>1872</v>
      </c>
      <c r="B92" s="938"/>
      <c r="C92" s="938" t="s">
        <v>1874</v>
      </c>
      <c r="D92" s="938" t="s">
        <v>1875</v>
      </c>
      <c r="E92" s="907" t="s">
        <v>1876</v>
      </c>
      <c r="F92" s="939" t="s">
        <v>1892</v>
      </c>
      <c r="G92" s="938" t="s">
        <v>1694</v>
      </c>
      <c r="H92" s="940" t="s">
        <v>1878</v>
      </c>
      <c r="I92" s="938" t="s">
        <v>1879</v>
      </c>
      <c r="J92" s="976" t="s">
        <v>1087</v>
      </c>
      <c r="K92" s="976" t="s">
        <v>1088</v>
      </c>
      <c r="L92" s="976" t="s">
        <v>1089</v>
      </c>
      <c r="M92" s="976" t="s">
        <v>1090</v>
      </c>
      <c r="N92" s="976" t="s">
        <v>1091</v>
      </c>
    </row>
    <row r="93" ht="26" spans="1:14">
      <c r="A93" s="792" t="s">
        <v>1903</v>
      </c>
      <c r="B93" s="941"/>
      <c r="C93" s="650"/>
      <c r="D93" s="938">
        <f>SUMIF($J$92:$N$92,C93,J93:N93)</f>
        <v>0</v>
      </c>
      <c r="E93" s="942">
        <f>ROUND(SUM(D93:D101),4)</f>
        <v>0</v>
      </c>
      <c r="F93" s="787" t="str">
        <f>IF(E2="公共服务",SUMIF(L1:L12,G2,N1:N12),"——")</f>
        <v>——</v>
      </c>
      <c r="G93" s="935"/>
      <c r="H93" s="943" t="str">
        <f>IFERROR(ROUNDDOWN($F$93*I93/2,4),"——")</f>
        <v>——</v>
      </c>
      <c r="I93" s="892">
        <v>0.25</v>
      </c>
      <c r="J93" s="711">
        <f t="shared" ref="J93:J101" si="29">K93+$G93</f>
        <v>0</v>
      </c>
      <c r="K93" s="711">
        <f t="shared" ref="K93:K101" si="30">$L93+$G93</f>
        <v>0</v>
      </c>
      <c r="L93" s="711">
        <v>0</v>
      </c>
      <c r="M93" s="711">
        <f t="shared" ref="M93:N101" si="31">L93-$G93</f>
        <v>0</v>
      </c>
      <c r="N93" s="711">
        <f t="shared" si="31"/>
        <v>0</v>
      </c>
    </row>
    <row r="94" ht="52" spans="1:14">
      <c r="A94" s="937" t="s">
        <v>1881</v>
      </c>
      <c r="B94" s="944" t="str">
        <f>估价对象房地状况!C18</f>
        <v>估价对象周边道路状况、公共交通通达情况、停车便捷程度，综合评价交通便捷度较好</v>
      </c>
      <c r="C94" s="650"/>
      <c r="D94" s="938">
        <f t="shared" ref="D94:D101" si="32">SUMIF($J$60:$N$60,C94,J94:N94)</f>
        <v>0</v>
      </c>
      <c r="E94" s="945"/>
      <c r="F94" s="787"/>
      <c r="G94" s="935"/>
      <c r="H94" s="943" t="str">
        <f>IFERROR(ROUNDDOWN($F$93*I94/2,4),"——")</f>
        <v>——</v>
      </c>
      <c r="I94" s="892">
        <v>0.26</v>
      </c>
      <c r="J94" s="711">
        <f t="shared" si="29"/>
        <v>0</v>
      </c>
      <c r="K94" s="711">
        <f t="shared" si="30"/>
        <v>0</v>
      </c>
      <c r="L94" s="711">
        <v>0</v>
      </c>
      <c r="M94" s="711">
        <f t="shared" si="31"/>
        <v>0</v>
      </c>
      <c r="N94" s="711">
        <f t="shared" si="31"/>
        <v>0</v>
      </c>
    </row>
    <row r="95" ht="39" spans="1:14">
      <c r="A95" s="792" t="s">
        <v>1882</v>
      </c>
      <c r="B95" s="944">
        <f>估价对象房地状况!C19</f>
        <v>0</v>
      </c>
      <c r="C95" s="650"/>
      <c r="D95" s="938">
        <f t="shared" si="32"/>
        <v>0</v>
      </c>
      <c r="E95" s="945"/>
      <c r="F95" s="787"/>
      <c r="G95" s="935"/>
      <c r="H95" s="943" t="str">
        <f t="shared" ref="H95:H101" si="33">IFERROR(ROUNDDOWN($F$93*I95/2,4),"——")</f>
        <v>——</v>
      </c>
      <c r="I95" s="892">
        <v>0.11</v>
      </c>
      <c r="J95" s="711">
        <f t="shared" si="29"/>
        <v>0</v>
      </c>
      <c r="K95" s="711">
        <f t="shared" si="30"/>
        <v>0</v>
      </c>
      <c r="L95" s="711">
        <v>0</v>
      </c>
      <c r="M95" s="711">
        <f t="shared" si="31"/>
        <v>0</v>
      </c>
      <c r="N95" s="711">
        <f t="shared" si="31"/>
        <v>0</v>
      </c>
    </row>
    <row r="96" ht="39" spans="1:14">
      <c r="A96" s="937" t="s">
        <v>1883</v>
      </c>
      <c r="B96" s="946" t="s">
        <v>1884</v>
      </c>
      <c r="C96" s="650"/>
      <c r="D96" s="938">
        <f t="shared" si="32"/>
        <v>0</v>
      </c>
      <c r="E96" s="945"/>
      <c r="F96" s="787"/>
      <c r="G96" s="935"/>
      <c r="H96" s="943" t="str">
        <f t="shared" si="33"/>
        <v>——</v>
      </c>
      <c r="I96" s="892">
        <v>0.05</v>
      </c>
      <c r="J96" s="711">
        <f t="shared" si="29"/>
        <v>0</v>
      </c>
      <c r="K96" s="711">
        <f t="shared" si="30"/>
        <v>0</v>
      </c>
      <c r="L96" s="711">
        <v>0</v>
      </c>
      <c r="M96" s="711">
        <f t="shared" si="31"/>
        <v>0</v>
      </c>
      <c r="N96" s="711">
        <f t="shared" si="31"/>
        <v>0</v>
      </c>
    </row>
    <row r="97" ht="26" spans="1:14">
      <c r="A97" s="937" t="s">
        <v>1885</v>
      </c>
      <c r="B97" s="944">
        <f>估价对象房地状况!C24</f>
        <v>0</v>
      </c>
      <c r="C97" s="650"/>
      <c r="D97" s="938">
        <f t="shared" si="32"/>
        <v>0</v>
      </c>
      <c r="E97" s="945"/>
      <c r="F97" s="787"/>
      <c r="G97" s="935"/>
      <c r="H97" s="943" t="str">
        <f t="shared" si="33"/>
        <v>——</v>
      </c>
      <c r="I97" s="892">
        <v>0.05</v>
      </c>
      <c r="J97" s="711">
        <f t="shared" si="29"/>
        <v>0</v>
      </c>
      <c r="K97" s="711">
        <f t="shared" si="30"/>
        <v>0</v>
      </c>
      <c r="L97" s="711">
        <v>0</v>
      </c>
      <c r="M97" s="711">
        <f t="shared" si="31"/>
        <v>0</v>
      </c>
      <c r="N97" s="711">
        <f t="shared" si="31"/>
        <v>0</v>
      </c>
    </row>
    <row r="98" ht="26" spans="1:14">
      <c r="A98" s="937" t="s">
        <v>1886</v>
      </c>
      <c r="B98" s="947" t="s">
        <v>1887</v>
      </c>
      <c r="C98" s="650"/>
      <c r="D98" s="938">
        <f t="shared" si="32"/>
        <v>0</v>
      </c>
      <c r="E98" s="945"/>
      <c r="F98" s="787"/>
      <c r="G98" s="935"/>
      <c r="H98" s="943" t="str">
        <f t="shared" si="33"/>
        <v>——</v>
      </c>
      <c r="I98" s="892">
        <v>0.06</v>
      </c>
      <c r="J98" s="711">
        <f t="shared" si="29"/>
        <v>0</v>
      </c>
      <c r="K98" s="711">
        <f t="shared" si="30"/>
        <v>0</v>
      </c>
      <c r="L98" s="711">
        <v>0</v>
      </c>
      <c r="M98" s="711">
        <f t="shared" si="31"/>
        <v>0</v>
      </c>
      <c r="N98" s="711">
        <f t="shared" si="31"/>
        <v>0</v>
      </c>
    </row>
    <row r="99" ht="26" spans="1:14">
      <c r="A99" s="937" t="s">
        <v>1888</v>
      </c>
      <c r="B99" s="944" t="str">
        <f>估价对象房地状况!C21</f>
        <v>估价对象所在区域公共配套设施齐备情况</v>
      </c>
      <c r="C99" s="650"/>
      <c r="D99" s="938">
        <f t="shared" si="32"/>
        <v>0</v>
      </c>
      <c r="E99" s="945"/>
      <c r="F99" s="787"/>
      <c r="G99" s="935"/>
      <c r="H99" s="943" t="str">
        <f t="shared" si="33"/>
        <v>——</v>
      </c>
      <c r="I99" s="892">
        <v>0.06</v>
      </c>
      <c r="J99" s="711">
        <f t="shared" si="29"/>
        <v>0</v>
      </c>
      <c r="K99" s="711">
        <f t="shared" si="30"/>
        <v>0</v>
      </c>
      <c r="L99" s="711">
        <v>0</v>
      </c>
      <c r="M99" s="711">
        <f t="shared" si="31"/>
        <v>0</v>
      </c>
      <c r="N99" s="711">
        <f t="shared" si="31"/>
        <v>0</v>
      </c>
    </row>
    <row r="100" ht="26" spans="1:14">
      <c r="A100" s="937" t="s">
        <v>1889</v>
      </c>
      <c r="B100" s="944" t="str">
        <f>估价对象房地状况!C22</f>
        <v>估价对象所在区域基础设施水平</v>
      </c>
      <c r="C100" s="650"/>
      <c r="D100" s="938">
        <f t="shared" si="32"/>
        <v>0</v>
      </c>
      <c r="E100" s="945"/>
      <c r="F100" s="787"/>
      <c r="G100" s="935"/>
      <c r="H100" s="943" t="str">
        <f t="shared" si="33"/>
        <v>——</v>
      </c>
      <c r="I100" s="892">
        <v>0.09</v>
      </c>
      <c r="J100" s="711">
        <f t="shared" si="29"/>
        <v>0</v>
      </c>
      <c r="K100" s="711">
        <f t="shared" si="30"/>
        <v>0</v>
      </c>
      <c r="L100" s="711">
        <v>0</v>
      </c>
      <c r="M100" s="711">
        <f t="shared" si="31"/>
        <v>0</v>
      </c>
      <c r="N100" s="711">
        <f t="shared" si="31"/>
        <v>0</v>
      </c>
    </row>
    <row r="101" ht="26.75" spans="1:14">
      <c r="A101" s="948" t="s">
        <v>1890</v>
      </c>
      <c r="B101" s="949" t="str">
        <f>估价对象房地状况!C20</f>
        <v>区域自然环境：；人文环境；综合评价环境状况一般</v>
      </c>
      <c r="C101" s="650"/>
      <c r="D101" s="938">
        <f t="shared" si="32"/>
        <v>0</v>
      </c>
      <c r="E101" s="950"/>
      <c r="F101" s="787"/>
      <c r="G101" s="935"/>
      <c r="H101" s="943" t="str">
        <f t="shared" si="33"/>
        <v>——</v>
      </c>
      <c r="I101" s="894">
        <v>0.07</v>
      </c>
      <c r="J101" s="711">
        <f t="shared" si="29"/>
        <v>0</v>
      </c>
      <c r="K101" s="711">
        <f t="shared" si="30"/>
        <v>0</v>
      </c>
      <c r="L101" s="711">
        <v>0</v>
      </c>
      <c r="M101" s="711">
        <f t="shared" si="31"/>
        <v>0</v>
      </c>
      <c r="N101" s="711">
        <f t="shared" si="31"/>
        <v>0</v>
      </c>
    </row>
    <row r="103" ht="13" spans="1:14">
      <c r="A103" s="951" t="s">
        <v>1904</v>
      </c>
      <c r="B103" s="951"/>
      <c r="C103" s="951"/>
      <c r="D103" s="951"/>
      <c r="E103" s="951"/>
      <c r="F103" s="951"/>
      <c r="G103" s="951"/>
      <c r="H103" s="951"/>
      <c r="I103" s="951"/>
      <c r="J103" s="951"/>
      <c r="K103" s="951"/>
      <c r="L103" s="951"/>
      <c r="M103" s="951"/>
      <c r="N103" s="951"/>
    </row>
    <row r="104" ht="13" spans="1:14">
      <c r="A104" s="952" t="s">
        <v>1905</v>
      </c>
      <c r="B104" s="952" t="s">
        <v>1906</v>
      </c>
      <c r="C104" s="953" t="s">
        <v>1907</v>
      </c>
      <c r="D104" s="954"/>
      <c r="E104" s="954"/>
      <c r="F104" s="954"/>
      <c r="G104" s="954"/>
      <c r="H104" s="954"/>
      <c r="I104" s="954"/>
      <c r="J104" s="977"/>
      <c r="K104" s="978"/>
      <c r="L104" s="978"/>
      <c r="M104" s="978"/>
      <c r="N104" s="978"/>
    </row>
    <row r="105" ht="13" spans="1:14">
      <c r="A105" s="952"/>
      <c r="B105" s="952"/>
      <c r="C105" s="952" t="s">
        <v>1754</v>
      </c>
      <c r="D105" s="952" t="s">
        <v>1755</v>
      </c>
      <c r="E105" s="952" t="s">
        <v>1756</v>
      </c>
      <c r="F105" s="952" t="s">
        <v>1757</v>
      </c>
      <c r="G105" s="952" t="s">
        <v>1758</v>
      </c>
      <c r="H105" s="952" t="s">
        <v>1759</v>
      </c>
      <c r="I105" s="952" t="s">
        <v>1760</v>
      </c>
      <c r="J105" s="952" t="s">
        <v>1761</v>
      </c>
      <c r="K105" s="952" t="s">
        <v>1762</v>
      </c>
      <c r="L105" s="952" t="s">
        <v>1763</v>
      </c>
      <c r="M105" s="952" t="s">
        <v>1764</v>
      </c>
      <c r="N105" s="952" t="s">
        <v>1765</v>
      </c>
    </row>
    <row r="106" spans="1:14">
      <c r="A106" s="955" t="s">
        <v>1908</v>
      </c>
      <c r="B106" s="952">
        <v>1</v>
      </c>
      <c r="C106" s="952">
        <v>1.5206</v>
      </c>
      <c r="D106" s="952">
        <v>1.5206</v>
      </c>
      <c r="E106" s="952">
        <v>1.5019</v>
      </c>
      <c r="F106" s="952">
        <v>1.5019</v>
      </c>
      <c r="G106" s="952">
        <v>1.5019</v>
      </c>
      <c r="H106" s="952">
        <v>1.5019</v>
      </c>
      <c r="I106" s="952">
        <v>1.5019</v>
      </c>
      <c r="J106" s="952">
        <v>1.5418</v>
      </c>
      <c r="K106" s="952">
        <v>1.5418</v>
      </c>
      <c r="L106" s="952">
        <v>1.5418</v>
      </c>
      <c r="M106" s="952">
        <v>1.5418</v>
      </c>
      <c r="N106" s="952">
        <v>1.5418</v>
      </c>
    </row>
    <row r="107" spans="1:14">
      <c r="A107" s="956"/>
      <c r="B107" s="952">
        <v>2</v>
      </c>
      <c r="C107" s="952">
        <v>1.2072</v>
      </c>
      <c r="D107" s="952">
        <v>1.2072</v>
      </c>
      <c r="E107" s="952">
        <v>1.1838</v>
      </c>
      <c r="F107" s="952">
        <v>1.1838</v>
      </c>
      <c r="G107" s="952">
        <v>1.1838</v>
      </c>
      <c r="H107" s="952">
        <v>1.1838</v>
      </c>
      <c r="I107" s="952">
        <v>1.1838</v>
      </c>
      <c r="J107" s="952">
        <v>1.1884</v>
      </c>
      <c r="K107" s="952">
        <v>1.1884</v>
      </c>
      <c r="L107" s="952">
        <v>1.1884</v>
      </c>
      <c r="M107" s="952">
        <v>1.1884</v>
      </c>
      <c r="N107" s="952">
        <v>1.1884</v>
      </c>
    </row>
    <row r="108" spans="1:14">
      <c r="A108" s="956"/>
      <c r="B108" s="952">
        <v>3</v>
      </c>
      <c r="C108" s="952">
        <v>1.0431</v>
      </c>
      <c r="D108" s="952">
        <v>1.0431</v>
      </c>
      <c r="E108" s="952">
        <v>1.0005</v>
      </c>
      <c r="F108" s="952">
        <v>1.0005</v>
      </c>
      <c r="G108" s="952">
        <v>1.0005</v>
      </c>
      <c r="H108" s="952">
        <v>1.0005</v>
      </c>
      <c r="I108" s="952">
        <v>1.0005</v>
      </c>
      <c r="J108" s="952">
        <v>0.9694</v>
      </c>
      <c r="K108" s="952">
        <v>0.9694</v>
      </c>
      <c r="L108" s="952">
        <v>0.9694</v>
      </c>
      <c r="M108" s="952">
        <v>0.9694</v>
      </c>
      <c r="N108" s="952">
        <v>0.9694</v>
      </c>
    </row>
    <row r="109" spans="1:14">
      <c r="A109" s="956"/>
      <c r="B109" s="952">
        <v>4</v>
      </c>
      <c r="C109" s="952">
        <v>0.9439</v>
      </c>
      <c r="D109" s="952">
        <v>0.9439</v>
      </c>
      <c r="E109" s="952">
        <v>0.8824</v>
      </c>
      <c r="F109" s="952">
        <v>0.8824</v>
      </c>
      <c r="G109" s="952">
        <v>0.8824</v>
      </c>
      <c r="H109" s="952">
        <v>0.8824</v>
      </c>
      <c r="I109" s="952">
        <v>0.8824</v>
      </c>
      <c r="J109" s="952">
        <v>0.823</v>
      </c>
      <c r="K109" s="952">
        <v>0.823</v>
      </c>
      <c r="L109" s="952">
        <v>0.823</v>
      </c>
      <c r="M109" s="952">
        <v>0.823</v>
      </c>
      <c r="N109" s="952">
        <v>0.823</v>
      </c>
    </row>
    <row r="110" spans="1:14">
      <c r="A110" s="956"/>
      <c r="B110" s="952">
        <v>5</v>
      </c>
      <c r="C110" s="952">
        <v>0.8996</v>
      </c>
      <c r="D110" s="952">
        <v>0.8996</v>
      </c>
      <c r="E110" s="952">
        <v>0.848</v>
      </c>
      <c r="F110" s="952">
        <v>0.848</v>
      </c>
      <c r="G110" s="952">
        <v>0.848</v>
      </c>
      <c r="H110" s="952">
        <v>0.848</v>
      </c>
      <c r="I110" s="952">
        <v>0.848</v>
      </c>
      <c r="J110" s="952">
        <v>0.7498</v>
      </c>
      <c r="K110" s="952">
        <v>0.7498</v>
      </c>
      <c r="L110" s="952">
        <v>0.7498</v>
      </c>
      <c r="M110" s="952">
        <v>0.7498</v>
      </c>
      <c r="N110" s="952">
        <v>0.7498</v>
      </c>
    </row>
    <row r="111" ht="13" spans="1:14">
      <c r="A111" s="956"/>
      <c r="B111" s="952" t="s">
        <v>1770</v>
      </c>
      <c r="C111" s="957">
        <f>$I$3</f>
        <v>0</v>
      </c>
      <c r="D111" s="957">
        <f t="shared" ref="D111:N111" si="34">$I$3</f>
        <v>0</v>
      </c>
      <c r="E111" s="957">
        <f t="shared" si="34"/>
        <v>0</v>
      </c>
      <c r="F111" s="957">
        <f t="shared" si="34"/>
        <v>0</v>
      </c>
      <c r="G111" s="957">
        <f t="shared" si="34"/>
        <v>0</v>
      </c>
      <c r="H111" s="957">
        <f t="shared" si="34"/>
        <v>0</v>
      </c>
      <c r="I111" s="957">
        <f t="shared" si="34"/>
        <v>0</v>
      </c>
      <c r="J111" s="957">
        <f t="shared" si="34"/>
        <v>0</v>
      </c>
      <c r="K111" s="957">
        <f t="shared" si="34"/>
        <v>0</v>
      </c>
      <c r="L111" s="957">
        <f t="shared" si="34"/>
        <v>0</v>
      </c>
      <c r="M111" s="957">
        <f t="shared" si="34"/>
        <v>0</v>
      </c>
      <c r="N111" s="957">
        <f t="shared" si="34"/>
        <v>0</v>
      </c>
    </row>
    <row r="112" spans="1:14">
      <c r="A112" s="958"/>
      <c r="B112" s="952">
        <v>6</v>
      </c>
      <c r="C112" s="940">
        <f>(-0.5556*(C111^2)-0.2719*C111+8944)*(10^(-4))</f>
        <v>0.8944</v>
      </c>
      <c r="D112" s="940">
        <f>(-0.5556*(D111^2)-0.2719*D111+8944)*(10^(-4))</f>
        <v>0.8944</v>
      </c>
      <c r="E112" s="940">
        <f>(-0.7912*(E111^2)-11.3794*E111+8482)*(10^(-4))</f>
        <v>0.8482</v>
      </c>
      <c r="F112" s="940">
        <f t="shared" ref="F112:I112" si="35">(-0.7912*(F111^2)-11.3794*F111+8482)*(10^(-4))</f>
        <v>0.8482</v>
      </c>
      <c r="G112" s="940">
        <f t="shared" si="35"/>
        <v>0.8482</v>
      </c>
      <c r="H112" s="940">
        <f t="shared" si="35"/>
        <v>0.8482</v>
      </c>
      <c r="I112" s="940">
        <f t="shared" si="35"/>
        <v>0.8482</v>
      </c>
      <c r="J112" s="940">
        <f>(-0.989*(J111^2)-63.78*J111+7771)*(10^(-4))</f>
        <v>0.7771</v>
      </c>
      <c r="K112" s="940">
        <f t="shared" ref="K112:N112" si="36">(-0.989*(K111^2)-63.78*K111+7771)*(10^(-4))</f>
        <v>0.7771</v>
      </c>
      <c r="L112" s="940">
        <f t="shared" si="36"/>
        <v>0.7771</v>
      </c>
      <c r="M112" s="940">
        <f t="shared" si="36"/>
        <v>0.7771</v>
      </c>
      <c r="N112" s="940">
        <f t="shared" si="36"/>
        <v>0.7771</v>
      </c>
    </row>
    <row r="113" ht="13" spans="1:14">
      <c r="A113" s="959" t="s">
        <v>1909</v>
      </c>
      <c r="B113" s="959"/>
      <c r="C113" s="959"/>
      <c r="D113" s="959"/>
      <c r="E113" s="959"/>
      <c r="F113" s="959"/>
      <c r="G113" s="959"/>
      <c r="H113" s="959"/>
      <c r="I113" s="959"/>
      <c r="J113" s="959"/>
      <c r="K113" s="959"/>
      <c r="L113" s="959"/>
      <c r="M113" s="959"/>
      <c r="N113" s="959"/>
    </row>
    <row r="114" spans="1:14">
      <c r="A114" s="960"/>
      <c r="B114" s="960"/>
      <c r="C114" s="960"/>
      <c r="D114" s="960"/>
      <c r="E114" s="960"/>
      <c r="F114" s="960"/>
      <c r="G114" s="960"/>
      <c r="H114" s="960"/>
      <c r="I114" s="960"/>
      <c r="J114" s="960"/>
      <c r="K114" s="877"/>
      <c r="L114" s="960"/>
      <c r="M114" s="960"/>
      <c r="N114" s="960"/>
    </row>
    <row r="115" ht="13.25" spans="1:14">
      <c r="A115" s="960"/>
      <c r="B115" s="960"/>
      <c r="C115" s="960"/>
      <c r="D115" s="960"/>
      <c r="E115" s="960"/>
      <c r="F115" s="960"/>
      <c r="G115" s="960"/>
      <c r="H115" s="960"/>
      <c r="I115" s="960"/>
      <c r="J115" s="960"/>
      <c r="K115" s="877"/>
      <c r="L115" s="960"/>
      <c r="M115" s="960"/>
      <c r="N115" s="960"/>
    </row>
    <row r="116" ht="26.25" spans="1:14">
      <c r="A116" s="961" t="s">
        <v>1910</v>
      </c>
      <c r="B116" s="962">
        <f>G3</f>
        <v>3.82</v>
      </c>
      <c r="C116" s="963" t="s">
        <v>1911</v>
      </c>
      <c r="D116" s="964">
        <f>SUMPRODUCT((A118:A122=F116)*(B117:M117=H116)*B118:M122)</f>
        <v>0</v>
      </c>
      <c r="E116" s="590" t="s">
        <v>1727</v>
      </c>
      <c r="F116" s="965" t="str">
        <f>E2</f>
        <v>工业</v>
      </c>
      <c r="G116" s="590" t="s">
        <v>1728</v>
      </c>
      <c r="H116" s="965">
        <f>G2</f>
        <v>0</v>
      </c>
      <c r="I116" s="590"/>
      <c r="J116" s="979"/>
      <c r="K116" s="979"/>
      <c r="L116" s="979"/>
      <c r="M116" s="979"/>
      <c r="N116" s="960"/>
    </row>
    <row r="117" ht="13" spans="1:14">
      <c r="A117" s="966"/>
      <c r="B117" s="967" t="s">
        <v>1912</v>
      </c>
      <c r="C117" s="967" t="s">
        <v>1913</v>
      </c>
      <c r="D117" s="967" t="s">
        <v>1914</v>
      </c>
      <c r="E117" s="968" t="s">
        <v>1915</v>
      </c>
      <c r="F117" s="968" t="s">
        <v>1916</v>
      </c>
      <c r="G117" s="968" t="s">
        <v>1917</v>
      </c>
      <c r="H117" s="969" t="s">
        <v>1918</v>
      </c>
      <c r="I117" s="969" t="s">
        <v>1919</v>
      </c>
      <c r="J117" s="980" t="s">
        <v>1920</v>
      </c>
      <c r="K117" s="980" t="s">
        <v>1921</v>
      </c>
      <c r="L117" s="980" t="s">
        <v>1922</v>
      </c>
      <c r="M117" s="981" t="s">
        <v>1923</v>
      </c>
      <c r="N117" s="960"/>
    </row>
    <row r="118" ht="13" spans="1:14">
      <c r="A118" s="970" t="s">
        <v>1841</v>
      </c>
      <c r="B118" s="940">
        <f>ROUND(0.9968-0.011*B116,4)</f>
        <v>0.9548</v>
      </c>
      <c r="C118" s="940">
        <f>B118</f>
        <v>0.9548</v>
      </c>
      <c r="D118" s="940">
        <f>ROUND(0.949-0.014*B116,4)</f>
        <v>0.8955</v>
      </c>
      <c r="E118" s="940">
        <f>D118</f>
        <v>0.8955</v>
      </c>
      <c r="F118" s="940">
        <f>E118</f>
        <v>0.8955</v>
      </c>
      <c r="G118" s="940">
        <f>F118</f>
        <v>0.8955</v>
      </c>
      <c r="H118" s="940">
        <f>G118</f>
        <v>0.8955</v>
      </c>
      <c r="I118" s="940">
        <f>ROUND(0.8486-0.018*B116,4)</f>
        <v>0.7798</v>
      </c>
      <c r="J118" s="940">
        <f t="shared" ref="J118:M122" si="37">I118</f>
        <v>0.7798</v>
      </c>
      <c r="K118" s="940">
        <f t="shared" si="37"/>
        <v>0.7798</v>
      </c>
      <c r="L118" s="940">
        <f t="shared" si="37"/>
        <v>0.7798</v>
      </c>
      <c r="M118" s="982">
        <f t="shared" si="37"/>
        <v>0.7798</v>
      </c>
      <c r="N118" s="960"/>
    </row>
    <row r="119" ht="13" spans="1:14">
      <c r="A119" s="970" t="s">
        <v>1842</v>
      </c>
      <c r="B119" s="940">
        <f>ROUND(0.993-0.0112*B116,4)</f>
        <v>0.9502</v>
      </c>
      <c r="C119" s="940">
        <f>B119</f>
        <v>0.9502</v>
      </c>
      <c r="D119" s="940">
        <f>ROUND(0.9415-0.0142*B116,4)</f>
        <v>0.8873</v>
      </c>
      <c r="E119" s="940">
        <f t="shared" ref="E119:H120" si="38">D119</f>
        <v>0.8873</v>
      </c>
      <c r="F119" s="940">
        <f t="shared" si="38"/>
        <v>0.8873</v>
      </c>
      <c r="G119" s="940">
        <f t="shared" si="38"/>
        <v>0.8873</v>
      </c>
      <c r="H119" s="940">
        <f t="shared" si="38"/>
        <v>0.8873</v>
      </c>
      <c r="I119" s="940">
        <f>ROUND(0.838-0.0182*B116,4)</f>
        <v>0.7685</v>
      </c>
      <c r="J119" s="940">
        <f t="shared" si="37"/>
        <v>0.7685</v>
      </c>
      <c r="K119" s="940">
        <f t="shared" si="37"/>
        <v>0.7685</v>
      </c>
      <c r="L119" s="940">
        <f t="shared" si="37"/>
        <v>0.7685</v>
      </c>
      <c r="M119" s="982">
        <f t="shared" si="37"/>
        <v>0.7685</v>
      </c>
      <c r="N119" s="960"/>
    </row>
    <row r="120" ht="13" spans="1:14">
      <c r="A120" s="970" t="s">
        <v>1843</v>
      </c>
      <c r="B120" s="940">
        <f>ROUND(0.9448-0.0115*B116,4)</f>
        <v>0.9009</v>
      </c>
      <c r="C120" s="940">
        <f>B120</f>
        <v>0.9009</v>
      </c>
      <c r="D120" s="940">
        <f>ROUND(0.937-0.0145*B116,4)</f>
        <v>0.8816</v>
      </c>
      <c r="E120" s="940">
        <f t="shared" si="38"/>
        <v>0.8816</v>
      </c>
      <c r="F120" s="940">
        <f t="shared" si="38"/>
        <v>0.8816</v>
      </c>
      <c r="G120" s="940">
        <f t="shared" si="38"/>
        <v>0.8816</v>
      </c>
      <c r="H120" s="940">
        <f t="shared" si="38"/>
        <v>0.8816</v>
      </c>
      <c r="I120" s="940">
        <f>ROUND(0.7965-0.0185*B116,4)</f>
        <v>0.7258</v>
      </c>
      <c r="J120" s="940">
        <f t="shared" si="37"/>
        <v>0.7258</v>
      </c>
      <c r="K120" s="940">
        <f t="shared" si="37"/>
        <v>0.7258</v>
      </c>
      <c r="L120" s="940">
        <f t="shared" si="37"/>
        <v>0.7258</v>
      </c>
      <c r="M120" s="982">
        <f t="shared" si="37"/>
        <v>0.7258</v>
      </c>
      <c r="N120" s="960"/>
    </row>
    <row r="121" ht="13.75" spans="1:14">
      <c r="A121" s="971" t="s">
        <v>1844</v>
      </c>
      <c r="B121" s="972">
        <f>ROUND(0.7836-0.012*B116,4)</f>
        <v>0.7378</v>
      </c>
      <c r="C121" s="972">
        <f>B121</f>
        <v>0.7378</v>
      </c>
      <c r="D121" s="972">
        <f>ROUND(0.753-0.015*B116,4)</f>
        <v>0.6957</v>
      </c>
      <c r="E121" s="972">
        <f>D121</f>
        <v>0.6957</v>
      </c>
      <c r="F121" s="972">
        <f>E121</f>
        <v>0.6957</v>
      </c>
      <c r="G121" s="972">
        <f>ROUND(0.6612-0.018*B116,4)</f>
        <v>0.5924</v>
      </c>
      <c r="H121" s="972">
        <f>G121</f>
        <v>0.5924</v>
      </c>
      <c r="I121" s="972">
        <f>ROUND(0.5905-0.019*B116,4)</f>
        <v>0.5179</v>
      </c>
      <c r="J121" s="972">
        <f t="shared" si="37"/>
        <v>0.5179</v>
      </c>
      <c r="K121" s="972">
        <f t="shared" si="37"/>
        <v>0.5179</v>
      </c>
      <c r="L121" s="972">
        <f t="shared" si="37"/>
        <v>0.5179</v>
      </c>
      <c r="M121" s="983">
        <f t="shared" si="37"/>
        <v>0.5179</v>
      </c>
      <c r="N121" s="960"/>
    </row>
    <row r="122" ht="13" spans="1:14">
      <c r="A122" s="973" t="s">
        <v>280</v>
      </c>
      <c r="B122" s="940">
        <f>ROUND(0.9404-0.0106*B116,4)</f>
        <v>0.8999</v>
      </c>
      <c r="C122" s="940">
        <f>B122</f>
        <v>0.8999</v>
      </c>
      <c r="D122" s="940">
        <f>ROUND(0.8955-0.0135*B116,4)</f>
        <v>0.8439</v>
      </c>
      <c r="E122" s="940">
        <f t="shared" ref="E122:H122" si="39">D122</f>
        <v>0.8439</v>
      </c>
      <c r="F122" s="940">
        <f t="shared" si="39"/>
        <v>0.8439</v>
      </c>
      <c r="G122" s="940">
        <f t="shared" si="39"/>
        <v>0.8439</v>
      </c>
      <c r="H122" s="940">
        <f t="shared" si="39"/>
        <v>0.8439</v>
      </c>
      <c r="I122" s="940">
        <f>ROUND(0.7632-0.0166*B116,4)</f>
        <v>0.6998</v>
      </c>
      <c r="J122" s="940">
        <f t="shared" si="37"/>
        <v>0.6998</v>
      </c>
      <c r="K122" s="940">
        <f t="shared" si="37"/>
        <v>0.6998</v>
      </c>
      <c r="L122" s="940">
        <f t="shared" si="37"/>
        <v>0.6998</v>
      </c>
      <c r="M122" s="982">
        <f t="shared" si="37"/>
        <v>0.6998</v>
      </c>
      <c r="N122" s="96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10" customWidth="1"/>
    <col min="14" max="14" width="10" style="510" customWidth="1"/>
    <col min="15" max="16" width="8.25454545454545" style="510"/>
    <col min="17" max="17" width="34.1272727272727" style="510" customWidth="1"/>
    <col min="18" max="18" width="8.25454545454545" style="510" customWidth="1"/>
    <col min="19" max="19" width="8.25454545454545" style="510"/>
    <col min="20" max="20" width="11.6272727272727" style="510" customWidth="1"/>
    <col min="21" max="16384" width="8.25454545454545" style="510"/>
  </cols>
  <sheetData>
    <row r="1" customHeight="1" spans="1:13">
      <c r="A1" s="511" t="s">
        <v>208</v>
      </c>
      <c r="B1" s="512" t="s">
        <v>230</v>
      </c>
      <c r="C1" s="512" t="s">
        <v>241</v>
      </c>
      <c r="D1" s="512" t="s">
        <v>251</v>
      </c>
      <c r="E1" s="512" t="s">
        <v>259</v>
      </c>
      <c r="F1" s="512" t="s">
        <v>267</v>
      </c>
      <c r="G1" s="512" t="s">
        <v>273</v>
      </c>
      <c r="H1" s="512" t="s">
        <v>278</v>
      </c>
      <c r="I1" s="512" t="s">
        <v>284</v>
      </c>
      <c r="J1" s="512" t="s">
        <v>288</v>
      </c>
      <c r="K1" s="512" t="s">
        <v>292</v>
      </c>
      <c r="L1" s="512" t="s">
        <v>296</v>
      </c>
      <c r="M1" s="567" t="s">
        <v>300</v>
      </c>
    </row>
    <row r="2" customHeight="1" spans="1:13">
      <c r="A2" s="513" t="s">
        <v>1924</v>
      </c>
      <c r="B2" s="514">
        <v>3.5</v>
      </c>
      <c r="C2" s="514">
        <v>3.5</v>
      </c>
      <c r="D2" s="515">
        <v>2.5</v>
      </c>
      <c r="E2" s="515">
        <v>2.5</v>
      </c>
      <c r="F2" s="515">
        <v>2.5</v>
      </c>
      <c r="G2" s="515">
        <v>2.5</v>
      </c>
      <c r="H2" s="515">
        <v>2.5</v>
      </c>
      <c r="I2" s="514">
        <v>2</v>
      </c>
      <c r="J2" s="514">
        <v>2</v>
      </c>
      <c r="K2" s="514">
        <v>2</v>
      </c>
      <c r="L2" s="514">
        <v>2</v>
      </c>
      <c r="M2" s="568">
        <v>2</v>
      </c>
    </row>
    <row r="3" customHeight="1" spans="1:13">
      <c r="A3" s="516" t="s">
        <v>1925</v>
      </c>
      <c r="B3" s="517">
        <v>3.5</v>
      </c>
      <c r="C3" s="517">
        <v>3.5</v>
      </c>
      <c r="D3" s="518">
        <v>2.5</v>
      </c>
      <c r="E3" s="518">
        <v>2.5</v>
      </c>
      <c r="F3" s="518">
        <v>2.5</v>
      </c>
      <c r="G3" s="518">
        <v>2.5</v>
      </c>
      <c r="H3" s="518">
        <v>2.5</v>
      </c>
      <c r="I3" s="517">
        <v>2</v>
      </c>
      <c r="J3" s="517">
        <v>2</v>
      </c>
      <c r="K3" s="517">
        <v>2</v>
      </c>
      <c r="L3" s="517">
        <v>2</v>
      </c>
      <c r="M3" s="569">
        <v>2</v>
      </c>
    </row>
    <row r="4" customHeight="1" spans="1:13">
      <c r="A4" s="516" t="s">
        <v>412</v>
      </c>
      <c r="B4" s="518">
        <v>2.5</v>
      </c>
      <c r="C4" s="518">
        <v>2.5</v>
      </c>
      <c r="D4" s="518">
        <v>2.5</v>
      </c>
      <c r="E4" s="518">
        <v>2.5</v>
      </c>
      <c r="F4" s="518">
        <v>2.5</v>
      </c>
      <c r="G4" s="518">
        <v>2.5</v>
      </c>
      <c r="H4" s="518">
        <v>2.5</v>
      </c>
      <c r="I4" s="517">
        <v>1.5</v>
      </c>
      <c r="J4" s="517">
        <v>1.5</v>
      </c>
      <c r="K4" s="517">
        <v>1.5</v>
      </c>
      <c r="L4" s="517">
        <v>1.5</v>
      </c>
      <c r="M4" s="569">
        <v>1.5</v>
      </c>
    </row>
    <row r="5" customHeight="1" spans="1:13">
      <c r="A5" s="519" t="s">
        <v>408</v>
      </c>
      <c r="B5" s="517">
        <v>1.5</v>
      </c>
      <c r="C5" s="517">
        <v>1.5</v>
      </c>
      <c r="D5" s="517">
        <v>1.5</v>
      </c>
      <c r="E5" s="517">
        <v>1.5</v>
      </c>
      <c r="F5" s="517">
        <v>1.5</v>
      </c>
      <c r="G5" s="517">
        <v>1.2</v>
      </c>
      <c r="H5" s="517">
        <v>1.2</v>
      </c>
      <c r="I5" s="517">
        <v>1</v>
      </c>
      <c r="J5" s="517">
        <v>1</v>
      </c>
      <c r="K5" s="517">
        <v>1</v>
      </c>
      <c r="L5" s="517">
        <v>1</v>
      </c>
      <c r="M5" s="569">
        <v>1</v>
      </c>
    </row>
    <row r="6" customHeight="1" spans="1:13">
      <c r="A6" s="520" t="s">
        <v>1926</v>
      </c>
      <c r="B6" s="521">
        <v>2.5</v>
      </c>
      <c r="C6" s="521">
        <v>2.5</v>
      </c>
      <c r="D6" s="521">
        <v>2</v>
      </c>
      <c r="E6" s="521">
        <v>2</v>
      </c>
      <c r="F6" s="521">
        <v>2</v>
      </c>
      <c r="G6" s="521">
        <v>2</v>
      </c>
      <c r="H6" s="521">
        <v>2</v>
      </c>
      <c r="I6" s="570">
        <v>1.5</v>
      </c>
      <c r="J6" s="570">
        <v>1.5</v>
      </c>
      <c r="K6" s="570">
        <v>1.5</v>
      </c>
      <c r="L6" s="570">
        <v>1.5</v>
      </c>
      <c r="M6" s="571">
        <v>1.5</v>
      </c>
    </row>
    <row r="7" customHeight="1" spans="1:13">
      <c r="A7" s="522" t="s">
        <v>280</v>
      </c>
      <c r="B7" s="523">
        <v>2.5</v>
      </c>
      <c r="C7" s="523">
        <v>2.5</v>
      </c>
      <c r="D7" s="523">
        <v>2</v>
      </c>
      <c r="E7" s="523">
        <v>2</v>
      </c>
      <c r="F7" s="523">
        <v>2</v>
      </c>
      <c r="G7" s="523">
        <v>2</v>
      </c>
      <c r="H7" s="523">
        <v>2</v>
      </c>
      <c r="I7" s="572">
        <v>1.5</v>
      </c>
      <c r="J7" s="572">
        <v>1.5</v>
      </c>
      <c r="K7" s="572">
        <v>1.5</v>
      </c>
      <c r="L7" s="572">
        <v>1.5</v>
      </c>
      <c r="M7" s="573">
        <v>1.5</v>
      </c>
    </row>
    <row r="8" customHeight="1" spans="1:13">
      <c r="A8" s="524" t="s">
        <v>342</v>
      </c>
      <c r="B8" s="525">
        <v>80</v>
      </c>
      <c r="C8" s="525">
        <v>80</v>
      </c>
      <c r="D8" s="525">
        <v>70</v>
      </c>
      <c r="E8" s="525">
        <v>70</v>
      </c>
      <c r="F8" s="525">
        <v>70</v>
      </c>
      <c r="G8" s="525">
        <v>70</v>
      </c>
      <c r="H8" s="525">
        <v>70</v>
      </c>
      <c r="I8" s="525">
        <v>60</v>
      </c>
      <c r="J8" s="525">
        <v>60</v>
      </c>
      <c r="K8" s="525">
        <v>60</v>
      </c>
      <c r="L8" s="525">
        <v>60</v>
      </c>
      <c r="M8" s="574">
        <v>60</v>
      </c>
    </row>
    <row r="9" customHeight="1" spans="1:13">
      <c r="A9" s="526" t="s">
        <v>343</v>
      </c>
      <c r="B9" s="527">
        <v>70</v>
      </c>
      <c r="C9" s="527">
        <v>70</v>
      </c>
      <c r="D9" s="527">
        <v>60</v>
      </c>
      <c r="E9" s="527">
        <v>60</v>
      </c>
      <c r="F9" s="527">
        <v>60</v>
      </c>
      <c r="G9" s="527">
        <v>60</v>
      </c>
      <c r="H9" s="527">
        <v>60</v>
      </c>
      <c r="I9" s="527">
        <v>50</v>
      </c>
      <c r="J9" s="527">
        <v>50</v>
      </c>
      <c r="K9" s="527">
        <v>50</v>
      </c>
      <c r="L9" s="527">
        <v>50</v>
      </c>
      <c r="M9" s="575">
        <v>50</v>
      </c>
    </row>
    <row r="10" customHeight="1" spans="1:13">
      <c r="A10" s="526" t="s">
        <v>344</v>
      </c>
      <c r="B10" s="527">
        <v>20</v>
      </c>
      <c r="C10" s="527">
        <v>20</v>
      </c>
      <c r="D10" s="527">
        <v>15</v>
      </c>
      <c r="E10" s="527">
        <v>15</v>
      </c>
      <c r="F10" s="527">
        <v>15</v>
      </c>
      <c r="G10" s="527">
        <v>15</v>
      </c>
      <c r="H10" s="527">
        <v>15</v>
      </c>
      <c r="I10" s="527">
        <v>10</v>
      </c>
      <c r="J10" s="527">
        <v>10</v>
      </c>
      <c r="K10" s="527">
        <v>10</v>
      </c>
      <c r="L10" s="527">
        <v>10</v>
      </c>
      <c r="M10" s="575">
        <v>10</v>
      </c>
    </row>
    <row r="11" customHeight="1" spans="1:13">
      <c r="A11" s="526" t="s">
        <v>345</v>
      </c>
      <c r="B11" s="527">
        <v>30</v>
      </c>
      <c r="C11" s="527">
        <v>30</v>
      </c>
      <c r="D11" s="527">
        <v>25</v>
      </c>
      <c r="E11" s="527">
        <v>25</v>
      </c>
      <c r="F11" s="527">
        <v>25</v>
      </c>
      <c r="G11" s="527">
        <v>25</v>
      </c>
      <c r="H11" s="527">
        <v>25</v>
      </c>
      <c r="I11" s="527">
        <v>20</v>
      </c>
      <c r="J11" s="527">
        <v>20</v>
      </c>
      <c r="K11" s="527">
        <v>20</v>
      </c>
      <c r="L11" s="527">
        <v>20</v>
      </c>
      <c r="M11" s="575">
        <v>20</v>
      </c>
    </row>
    <row r="12" customHeight="1" spans="1:13">
      <c r="A12" s="526" t="s">
        <v>346</v>
      </c>
      <c r="B12" s="527">
        <v>45</v>
      </c>
      <c r="C12" s="527">
        <v>45</v>
      </c>
      <c r="D12" s="527">
        <v>40</v>
      </c>
      <c r="E12" s="527">
        <v>40</v>
      </c>
      <c r="F12" s="527">
        <v>40</v>
      </c>
      <c r="G12" s="527">
        <v>40</v>
      </c>
      <c r="H12" s="527">
        <v>40</v>
      </c>
      <c r="I12" s="527">
        <v>35</v>
      </c>
      <c r="J12" s="527">
        <v>35</v>
      </c>
      <c r="K12" s="527">
        <v>35</v>
      </c>
      <c r="L12" s="527">
        <v>35</v>
      </c>
      <c r="M12" s="575">
        <v>35</v>
      </c>
    </row>
    <row r="13" customHeight="1" spans="1:13">
      <c r="A13" s="526" t="s">
        <v>347</v>
      </c>
      <c r="B13" s="527">
        <v>60</v>
      </c>
      <c r="C13" s="527">
        <v>60</v>
      </c>
      <c r="D13" s="527">
        <v>50</v>
      </c>
      <c r="E13" s="527">
        <v>50</v>
      </c>
      <c r="F13" s="527">
        <v>50</v>
      </c>
      <c r="G13" s="527">
        <v>50</v>
      </c>
      <c r="H13" s="527">
        <v>50</v>
      </c>
      <c r="I13" s="527">
        <v>40</v>
      </c>
      <c r="J13" s="527">
        <v>40</v>
      </c>
      <c r="K13" s="527">
        <v>40</v>
      </c>
      <c r="L13" s="527">
        <v>40</v>
      </c>
      <c r="M13" s="575">
        <v>40</v>
      </c>
    </row>
    <row r="14" customHeight="1" spans="1:13">
      <c r="A14" s="526" t="s">
        <v>1927</v>
      </c>
      <c r="B14" s="527">
        <v>50</v>
      </c>
      <c r="C14" s="527">
        <v>50</v>
      </c>
      <c r="D14" s="527">
        <v>40</v>
      </c>
      <c r="E14" s="527">
        <v>40</v>
      </c>
      <c r="F14" s="527">
        <v>40</v>
      </c>
      <c r="G14" s="527">
        <v>40</v>
      </c>
      <c r="H14" s="527">
        <v>40</v>
      </c>
      <c r="I14" s="527">
        <v>30</v>
      </c>
      <c r="J14" s="527">
        <v>30</v>
      </c>
      <c r="K14" s="527">
        <v>30</v>
      </c>
      <c r="L14" s="527">
        <v>30</v>
      </c>
      <c r="M14" s="575">
        <v>30</v>
      </c>
    </row>
    <row r="15" customHeight="1" spans="1:13">
      <c r="A15" s="528" t="s">
        <v>349</v>
      </c>
      <c r="B15" s="529">
        <v>20</v>
      </c>
      <c r="C15" s="529">
        <v>20</v>
      </c>
      <c r="D15" s="529">
        <v>15</v>
      </c>
      <c r="E15" s="529">
        <v>15</v>
      </c>
      <c r="F15" s="529">
        <v>15</v>
      </c>
      <c r="G15" s="529">
        <v>15</v>
      </c>
      <c r="H15" s="529">
        <v>15</v>
      </c>
      <c r="I15" s="529">
        <v>10</v>
      </c>
      <c r="J15" s="529">
        <v>10</v>
      </c>
      <c r="K15" s="529">
        <v>10</v>
      </c>
      <c r="L15" s="529">
        <v>10</v>
      </c>
      <c r="M15" s="576">
        <v>10</v>
      </c>
    </row>
    <row r="16" customHeight="1" spans="1:13">
      <c r="A16" s="527" t="s">
        <v>124</v>
      </c>
      <c r="B16" s="517">
        <v>0</v>
      </c>
      <c r="C16" s="517">
        <v>0</v>
      </c>
      <c r="D16" s="517">
        <v>0</v>
      </c>
      <c r="E16" s="517">
        <v>0</v>
      </c>
      <c r="F16" s="517">
        <v>0</v>
      </c>
      <c r="G16" s="517">
        <v>0</v>
      </c>
      <c r="H16" s="517">
        <v>0</v>
      </c>
      <c r="I16" s="517">
        <v>0</v>
      </c>
      <c r="J16" s="517">
        <v>0</v>
      </c>
      <c r="K16" s="517">
        <v>0</v>
      </c>
      <c r="L16" s="517">
        <v>0</v>
      </c>
      <c r="M16" s="517">
        <v>0</v>
      </c>
    </row>
    <row r="17" customHeight="1" spans="1:13">
      <c r="A17" s="527" t="s">
        <v>1928</v>
      </c>
      <c r="B17" s="517">
        <f>SUM(B8:B15)</f>
        <v>375</v>
      </c>
      <c r="C17" s="517">
        <f t="shared" ref="C17:H17" si="0">SUM(C8:C15)</f>
        <v>375</v>
      </c>
      <c r="D17" s="517">
        <f t="shared" si="0"/>
        <v>315</v>
      </c>
      <c r="E17" s="517">
        <f t="shared" si="0"/>
        <v>315</v>
      </c>
      <c r="F17" s="517">
        <f t="shared" si="0"/>
        <v>315</v>
      </c>
      <c r="G17" s="517">
        <f t="shared" si="0"/>
        <v>315</v>
      </c>
      <c r="H17" s="517">
        <f t="shared" si="0"/>
        <v>315</v>
      </c>
      <c r="I17" s="517">
        <f>SUM(I8:I15)-I13-I14</f>
        <v>185</v>
      </c>
      <c r="J17" s="517">
        <f t="shared" ref="J17:M17" si="1">SUM(J8:J15)-J13-J14</f>
        <v>185</v>
      </c>
      <c r="K17" s="517">
        <f t="shared" si="1"/>
        <v>185</v>
      </c>
      <c r="L17" s="517">
        <f t="shared" si="1"/>
        <v>185</v>
      </c>
      <c r="M17" s="517">
        <f t="shared" si="1"/>
        <v>185</v>
      </c>
    </row>
    <row r="18" s="509" customFormat="1" customHeight="1" spans="1:7">
      <c r="A18" s="530" t="s">
        <v>1929</v>
      </c>
      <c r="B18" s="530"/>
      <c r="C18" s="531"/>
      <c r="D18" s="531"/>
      <c r="E18" s="530"/>
      <c r="F18" s="531"/>
      <c r="G18" s="531"/>
    </row>
    <row r="19" customHeight="1" spans="1:7">
      <c r="A19" s="529" t="s">
        <v>1930</v>
      </c>
      <c r="B19" s="532" t="s">
        <v>1931</v>
      </c>
      <c r="C19" s="532" t="s">
        <v>1932</v>
      </c>
      <c r="D19" s="533"/>
      <c r="E19" s="529" t="s">
        <v>1933</v>
      </c>
      <c r="F19" s="534"/>
      <c r="G19" s="534"/>
    </row>
    <row r="20" customHeight="1" spans="1:7">
      <c r="A20" s="535" t="s">
        <v>1924</v>
      </c>
      <c r="B20" s="536" t="s">
        <v>1934</v>
      </c>
      <c r="C20" s="537" t="s">
        <v>1935</v>
      </c>
      <c r="D20" s="538"/>
      <c r="E20" s="539">
        <v>1</v>
      </c>
      <c r="F20" s="540" t="s">
        <v>1936</v>
      </c>
      <c r="G20" s="540"/>
    </row>
    <row r="21" customHeight="1" spans="1:7">
      <c r="A21" s="541"/>
      <c r="B21" s="542"/>
      <c r="C21" s="543" t="s">
        <v>1937</v>
      </c>
      <c r="D21" s="544"/>
      <c r="E21" s="545">
        <v>1</v>
      </c>
      <c r="F21" s="540" t="s">
        <v>1938</v>
      </c>
      <c r="G21" s="540"/>
    </row>
    <row r="22" customHeight="1" spans="1:7">
      <c r="A22" s="541"/>
      <c r="B22" s="542"/>
      <c r="C22" s="543" t="s">
        <v>1939</v>
      </c>
      <c r="D22" s="544"/>
      <c r="E22" s="545">
        <v>0.9</v>
      </c>
      <c r="F22" s="540" t="s">
        <v>1940</v>
      </c>
      <c r="G22" s="540"/>
    </row>
    <row r="23" customHeight="1" spans="1:7">
      <c r="A23" s="541"/>
      <c r="B23" s="542"/>
      <c r="C23" s="543" t="s">
        <v>1941</v>
      </c>
      <c r="D23" s="544"/>
      <c r="E23" s="545">
        <v>0.9</v>
      </c>
      <c r="F23" s="540" t="s">
        <v>1942</v>
      </c>
      <c r="G23" s="540"/>
    </row>
    <row r="24" customHeight="1" spans="1:7">
      <c r="A24" s="541"/>
      <c r="B24" s="542"/>
      <c r="C24" s="543" t="s">
        <v>1943</v>
      </c>
      <c r="D24" s="544"/>
      <c r="E24" s="545">
        <v>0.8</v>
      </c>
      <c r="F24" s="540" t="s">
        <v>1944</v>
      </c>
      <c r="G24" s="540"/>
    </row>
    <row r="25" customHeight="1" spans="1:7">
      <c r="A25" s="546"/>
      <c r="B25" s="547"/>
      <c r="C25" s="548" t="s">
        <v>1945</v>
      </c>
      <c r="D25" s="549"/>
      <c r="E25" s="550">
        <v>0.8</v>
      </c>
      <c r="F25" s="540" t="s">
        <v>1946</v>
      </c>
      <c r="G25" s="540"/>
    </row>
    <row r="26" customHeight="1" spans="1:7">
      <c r="A26" s="551" t="s">
        <v>1925</v>
      </c>
      <c r="B26" s="552" t="s">
        <v>1934</v>
      </c>
      <c r="C26" s="553" t="s">
        <v>1947</v>
      </c>
      <c r="D26" s="554"/>
      <c r="E26" s="555">
        <v>1</v>
      </c>
      <c r="F26" s="540" t="s">
        <v>1948</v>
      </c>
      <c r="G26" s="540"/>
    </row>
    <row r="27" customHeight="1" spans="1:7">
      <c r="A27" s="556" t="s">
        <v>280</v>
      </c>
      <c r="B27" s="536" t="s">
        <v>280</v>
      </c>
      <c r="C27" s="537" t="s">
        <v>1949</v>
      </c>
      <c r="D27" s="538"/>
      <c r="E27" s="539">
        <v>1</v>
      </c>
      <c r="F27" s="540" t="s">
        <v>1950</v>
      </c>
      <c r="G27" s="540"/>
    </row>
    <row r="28" customHeight="1" spans="1:7">
      <c r="A28" s="557"/>
      <c r="B28" s="542"/>
      <c r="C28" s="543" t="s">
        <v>1951</v>
      </c>
      <c r="D28" s="544"/>
      <c r="E28" s="545">
        <v>1</v>
      </c>
      <c r="F28" s="540" t="s">
        <v>1952</v>
      </c>
      <c r="G28" s="540"/>
    </row>
    <row r="29" customHeight="1" spans="1:7">
      <c r="A29" s="557"/>
      <c r="B29" s="542"/>
      <c r="C29" s="543" t="s">
        <v>1953</v>
      </c>
      <c r="D29" s="544"/>
      <c r="E29" s="545">
        <v>0.8</v>
      </c>
      <c r="F29" s="540" t="s">
        <v>1954</v>
      </c>
      <c r="G29" s="540"/>
    </row>
    <row r="30" customHeight="1" spans="1:7">
      <c r="A30" s="557"/>
      <c r="B30" s="542"/>
      <c r="C30" s="543" t="s">
        <v>1955</v>
      </c>
      <c r="D30" s="544"/>
      <c r="E30" s="545">
        <v>0.8</v>
      </c>
      <c r="F30" s="540" t="s">
        <v>1956</v>
      </c>
      <c r="G30" s="540"/>
    </row>
    <row r="31" customHeight="1" spans="1:7">
      <c r="A31" s="557"/>
      <c r="B31" s="542"/>
      <c r="C31" s="543" t="s">
        <v>1957</v>
      </c>
      <c r="D31" s="544"/>
      <c r="E31" s="545">
        <v>0.8</v>
      </c>
      <c r="F31" s="540" t="s">
        <v>1958</v>
      </c>
      <c r="G31" s="540"/>
    </row>
    <row r="32" customHeight="1" spans="1:7">
      <c r="A32" s="557"/>
      <c r="B32" s="542"/>
      <c r="C32" s="543" t="s">
        <v>1959</v>
      </c>
      <c r="D32" s="544"/>
      <c r="E32" s="545">
        <v>0.7</v>
      </c>
      <c r="F32" s="540" t="s">
        <v>1960</v>
      </c>
      <c r="G32" s="540"/>
    </row>
    <row r="33" customHeight="1" spans="1:7">
      <c r="A33" s="557"/>
      <c r="B33" s="542"/>
      <c r="C33" s="543" t="s">
        <v>1961</v>
      </c>
      <c r="D33" s="544"/>
      <c r="E33" s="545">
        <v>0.8</v>
      </c>
      <c r="F33" s="540" t="s">
        <v>1962</v>
      </c>
      <c r="G33" s="540"/>
    </row>
    <row r="34" customHeight="1" spans="1:7">
      <c r="A34" s="557"/>
      <c r="B34" s="542"/>
      <c r="C34" s="543" t="s">
        <v>1963</v>
      </c>
      <c r="D34" s="544"/>
      <c r="E34" s="545">
        <v>0.6</v>
      </c>
      <c r="F34" s="540" t="s">
        <v>1964</v>
      </c>
      <c r="G34" s="540"/>
    </row>
    <row r="35" customHeight="1" spans="1:7">
      <c r="A35" s="557"/>
      <c r="B35" s="542"/>
      <c r="C35" s="543" t="s">
        <v>1965</v>
      </c>
      <c r="D35" s="544"/>
      <c r="E35" s="545">
        <v>0.2</v>
      </c>
      <c r="F35" s="540" t="s">
        <v>1966</v>
      </c>
      <c r="G35" s="540"/>
    </row>
    <row r="36" customHeight="1" spans="1:7">
      <c r="A36" s="557"/>
      <c r="B36" s="542"/>
      <c r="C36" s="543" t="s">
        <v>1967</v>
      </c>
      <c r="D36" s="544"/>
      <c r="E36" s="545">
        <v>0.2</v>
      </c>
      <c r="F36" s="540" t="s">
        <v>1968</v>
      </c>
      <c r="G36" s="540"/>
    </row>
    <row r="37" customHeight="1" spans="1:7">
      <c r="A37" s="557"/>
      <c r="B37" s="558" t="s">
        <v>1969</v>
      </c>
      <c r="C37" s="543" t="s">
        <v>1970</v>
      </c>
      <c r="D37" s="544"/>
      <c r="E37" s="545">
        <v>0.6</v>
      </c>
      <c r="F37" s="540" t="s">
        <v>1971</v>
      </c>
      <c r="G37" s="540"/>
    </row>
    <row r="38" customHeight="1" spans="1:7">
      <c r="A38" s="557"/>
      <c r="B38" s="542"/>
      <c r="C38" s="543" t="s">
        <v>1972</v>
      </c>
      <c r="D38" s="544"/>
      <c r="E38" s="545">
        <v>0.6</v>
      </c>
      <c r="F38" s="540" t="s">
        <v>1973</v>
      </c>
      <c r="G38" s="540"/>
    </row>
    <row r="39" customHeight="1" spans="1:7">
      <c r="A39" s="559"/>
      <c r="B39" s="547"/>
      <c r="C39" s="548" t="s">
        <v>1974</v>
      </c>
      <c r="D39" s="549"/>
      <c r="E39" s="550">
        <v>0.6</v>
      </c>
      <c r="F39" s="540" t="s">
        <v>1975</v>
      </c>
      <c r="G39" s="540"/>
    </row>
    <row r="40" customHeight="1" spans="1:7">
      <c r="A40" s="551" t="s">
        <v>412</v>
      </c>
      <c r="B40" s="552" t="s">
        <v>412</v>
      </c>
      <c r="C40" s="553" t="s">
        <v>1976</v>
      </c>
      <c r="D40" s="554"/>
      <c r="E40" s="555">
        <v>1</v>
      </c>
      <c r="F40" s="540" t="s">
        <v>1977</v>
      </c>
      <c r="G40" s="540"/>
    </row>
    <row r="41" customHeight="1" spans="1:7">
      <c r="A41" s="535" t="s">
        <v>408</v>
      </c>
      <c r="B41" s="536" t="s">
        <v>1978</v>
      </c>
      <c r="C41" s="537" t="s">
        <v>1732</v>
      </c>
      <c r="D41" s="538"/>
      <c r="E41" s="539">
        <v>1</v>
      </c>
      <c r="F41" s="540" t="s">
        <v>1979</v>
      </c>
      <c r="G41" s="540"/>
    </row>
    <row r="42" customHeight="1" spans="1:7">
      <c r="A42" s="541"/>
      <c r="B42" s="542"/>
      <c r="C42" s="543" t="s">
        <v>1980</v>
      </c>
      <c r="D42" s="544"/>
      <c r="E42" s="545">
        <v>1</v>
      </c>
      <c r="F42" s="540" t="s">
        <v>1981</v>
      </c>
      <c r="G42" s="540"/>
    </row>
    <row r="43" customHeight="1" spans="1:7">
      <c r="A43" s="541"/>
      <c r="B43" s="560"/>
      <c r="C43" s="543" t="s">
        <v>1982</v>
      </c>
      <c r="D43" s="544"/>
      <c r="E43" s="545">
        <v>1.5</v>
      </c>
      <c r="F43" s="540" t="s">
        <v>1983</v>
      </c>
      <c r="G43" s="540"/>
    </row>
    <row r="44" customHeight="1" spans="1:7">
      <c r="A44" s="541"/>
      <c r="B44" s="561" t="s">
        <v>280</v>
      </c>
      <c r="C44" s="543" t="s">
        <v>1926</v>
      </c>
      <c r="D44" s="544"/>
      <c r="E44" s="545">
        <v>2</v>
      </c>
      <c r="F44" s="540" t="s">
        <v>1984</v>
      </c>
      <c r="G44" s="540"/>
    </row>
    <row r="45" customHeight="1" spans="1:7">
      <c r="A45" s="541"/>
      <c r="B45" s="558" t="s">
        <v>1985</v>
      </c>
      <c r="C45" s="543" t="s">
        <v>1986</v>
      </c>
      <c r="D45" s="544"/>
      <c r="E45" s="545">
        <v>1</v>
      </c>
      <c r="F45" s="540" t="s">
        <v>1987</v>
      </c>
      <c r="G45" s="540"/>
    </row>
    <row r="46" customHeight="1" spans="1:7">
      <c r="A46" s="541"/>
      <c r="B46" s="542"/>
      <c r="C46" s="543" t="s">
        <v>1988</v>
      </c>
      <c r="D46" s="544"/>
      <c r="E46" s="545">
        <v>1</v>
      </c>
      <c r="F46" s="540" t="s">
        <v>1989</v>
      </c>
      <c r="G46" s="540"/>
    </row>
    <row r="47" customHeight="1" spans="1:7">
      <c r="A47" s="541"/>
      <c r="B47" s="542"/>
      <c r="C47" s="543" t="s">
        <v>1990</v>
      </c>
      <c r="D47" s="544"/>
      <c r="E47" s="545">
        <v>1</v>
      </c>
      <c r="F47" s="540" t="s">
        <v>1991</v>
      </c>
      <c r="G47" s="540"/>
    </row>
    <row r="48" customHeight="1" spans="1:7">
      <c r="A48" s="541"/>
      <c r="B48" s="542"/>
      <c r="C48" s="543" t="s">
        <v>1992</v>
      </c>
      <c r="D48" s="544"/>
      <c r="E48" s="545">
        <v>1</v>
      </c>
      <c r="F48" s="540" t="s">
        <v>1993</v>
      </c>
      <c r="G48" s="540"/>
    </row>
    <row r="49" customHeight="1" spans="1:7">
      <c r="A49" s="541"/>
      <c r="B49" s="542"/>
      <c r="C49" s="543" t="s">
        <v>1994</v>
      </c>
      <c r="D49" s="544"/>
      <c r="E49" s="545">
        <v>1</v>
      </c>
      <c r="F49" s="540" t="s">
        <v>1995</v>
      </c>
      <c r="G49" s="540"/>
    </row>
    <row r="50" customHeight="1" spans="1:7">
      <c r="A50" s="541"/>
      <c r="B50" s="542"/>
      <c r="C50" s="543" t="s">
        <v>1996</v>
      </c>
      <c r="D50" s="544"/>
      <c r="E50" s="545">
        <v>1</v>
      </c>
      <c r="F50" s="540" t="s">
        <v>1997</v>
      </c>
      <c r="G50" s="540"/>
    </row>
    <row r="51" customHeight="1" spans="1:7">
      <c r="A51" s="546"/>
      <c r="B51" s="547"/>
      <c r="C51" s="548" t="s">
        <v>1998</v>
      </c>
      <c r="D51" s="549"/>
      <c r="E51" s="550">
        <v>1</v>
      </c>
      <c r="F51" s="540" t="s">
        <v>1999</v>
      </c>
      <c r="G51" s="540"/>
    </row>
    <row r="52" customHeight="1" spans="1:7">
      <c r="A52" s="562"/>
      <c r="B52" s="562"/>
      <c r="C52" s="562"/>
      <c r="D52" s="562"/>
      <c r="E52" s="562"/>
      <c r="F52" s="562"/>
      <c r="G52" s="562"/>
    </row>
    <row r="54" customHeight="1" spans="1:7">
      <c r="A54" s="563"/>
      <c r="B54" s="527" t="s">
        <v>432</v>
      </c>
      <c r="C54" s="527" t="s">
        <v>432</v>
      </c>
      <c r="D54" s="527" t="s">
        <v>432</v>
      </c>
      <c r="E54" s="529" t="s">
        <v>432</v>
      </c>
      <c r="F54" s="529" t="s">
        <v>2000</v>
      </c>
      <c r="G54" s="529" t="s">
        <v>432</v>
      </c>
    </row>
    <row r="55" customHeight="1" spans="1:7">
      <c r="A55" s="564"/>
      <c r="B55" s="529" t="s">
        <v>1924</v>
      </c>
      <c r="C55" s="529" t="s">
        <v>1924</v>
      </c>
      <c r="D55" s="529" t="s">
        <v>1924</v>
      </c>
      <c r="E55" s="527" t="s">
        <v>1925</v>
      </c>
      <c r="F55" s="527" t="s">
        <v>408</v>
      </c>
      <c r="G55" s="527" t="s">
        <v>559</v>
      </c>
    </row>
    <row r="56" customHeight="1" spans="1:7">
      <c r="A56" s="565"/>
      <c r="B56" s="527">
        <v>1</v>
      </c>
      <c r="C56" s="527">
        <v>2</v>
      </c>
      <c r="D56" s="527">
        <v>3</v>
      </c>
      <c r="E56" s="566" t="s">
        <v>2001</v>
      </c>
      <c r="F56" s="566" t="s">
        <v>2001</v>
      </c>
      <c r="G56" s="566" t="s">
        <v>2001</v>
      </c>
    </row>
    <row r="57" customHeight="1" spans="1:7">
      <c r="A57" s="560" t="s">
        <v>230</v>
      </c>
      <c r="B57" s="527">
        <v>0.7</v>
      </c>
      <c r="C57" s="527">
        <v>0.4</v>
      </c>
      <c r="D57" s="527">
        <v>0.3</v>
      </c>
      <c r="E57" s="566">
        <v>0.3</v>
      </c>
      <c r="F57" s="527">
        <v>0.3</v>
      </c>
      <c r="G57" s="527">
        <v>0.2</v>
      </c>
    </row>
    <row r="58" customHeight="1" spans="1:7">
      <c r="A58" s="560" t="s">
        <v>241</v>
      </c>
      <c r="B58" s="527">
        <v>0.7</v>
      </c>
      <c r="C58" s="527">
        <v>0.4</v>
      </c>
      <c r="D58" s="527">
        <v>0.3</v>
      </c>
      <c r="E58" s="527">
        <v>0.3</v>
      </c>
      <c r="F58" s="527">
        <v>0.3</v>
      </c>
      <c r="G58" s="527">
        <v>0.2</v>
      </c>
    </row>
    <row r="59" customHeight="1" spans="1:7">
      <c r="A59" s="560" t="s">
        <v>251</v>
      </c>
      <c r="B59" s="527">
        <v>0.6</v>
      </c>
      <c r="C59" s="527">
        <v>0.3</v>
      </c>
      <c r="D59" s="527">
        <v>0.25</v>
      </c>
      <c r="E59" s="527">
        <v>0.25</v>
      </c>
      <c r="F59" s="527">
        <v>0.25</v>
      </c>
      <c r="G59" s="527">
        <v>0.15</v>
      </c>
    </row>
    <row r="60" customHeight="1" spans="1:7">
      <c r="A60" s="560" t="s">
        <v>259</v>
      </c>
      <c r="B60" s="527">
        <v>0.6</v>
      </c>
      <c r="C60" s="527">
        <v>0.3</v>
      </c>
      <c r="D60" s="527">
        <v>0.25</v>
      </c>
      <c r="E60" s="527">
        <v>0.25</v>
      </c>
      <c r="F60" s="527">
        <v>0.25</v>
      </c>
      <c r="G60" s="527">
        <v>0.15</v>
      </c>
    </row>
    <row r="61" customHeight="1" spans="1:7">
      <c r="A61" s="560" t="s">
        <v>267</v>
      </c>
      <c r="B61" s="527">
        <v>0.6</v>
      </c>
      <c r="C61" s="527">
        <v>0.3</v>
      </c>
      <c r="D61" s="527">
        <v>0.25</v>
      </c>
      <c r="E61" s="527">
        <v>0.25</v>
      </c>
      <c r="F61" s="527">
        <v>0.25</v>
      </c>
      <c r="G61" s="527">
        <v>0.15</v>
      </c>
    </row>
    <row r="62" customHeight="1" spans="1:7">
      <c r="A62" s="560" t="s">
        <v>273</v>
      </c>
      <c r="B62" s="527">
        <v>0.6</v>
      </c>
      <c r="C62" s="527">
        <v>0.3</v>
      </c>
      <c r="D62" s="527">
        <v>0.25</v>
      </c>
      <c r="E62" s="527">
        <v>0.25</v>
      </c>
      <c r="F62" s="527">
        <v>0.25</v>
      </c>
      <c r="G62" s="527">
        <v>0.15</v>
      </c>
    </row>
    <row r="63" customHeight="1" spans="1:7">
      <c r="A63" s="560" t="s">
        <v>278</v>
      </c>
      <c r="B63" s="527">
        <v>0.6</v>
      </c>
      <c r="C63" s="527">
        <v>0.3</v>
      </c>
      <c r="D63" s="527">
        <v>0.25</v>
      </c>
      <c r="E63" s="527">
        <v>0.25</v>
      </c>
      <c r="F63" s="527">
        <v>0.25</v>
      </c>
      <c r="G63" s="527">
        <v>0.15</v>
      </c>
    </row>
    <row r="64" customHeight="1" spans="1:7">
      <c r="A64" s="560" t="s">
        <v>284</v>
      </c>
      <c r="B64" s="527">
        <v>0.5</v>
      </c>
      <c r="C64" s="527">
        <v>0.2</v>
      </c>
      <c r="D64" s="527">
        <v>0.2</v>
      </c>
      <c r="E64" s="527">
        <v>0.2</v>
      </c>
      <c r="F64" s="527">
        <v>0.2</v>
      </c>
      <c r="G64" s="527">
        <v>0.1</v>
      </c>
    </row>
    <row r="65" customHeight="1" spans="1:7">
      <c r="A65" s="560" t="s">
        <v>288</v>
      </c>
      <c r="B65" s="527">
        <v>0.5</v>
      </c>
      <c r="C65" s="527">
        <v>0.2</v>
      </c>
      <c r="D65" s="527">
        <v>0.2</v>
      </c>
      <c r="E65" s="527">
        <v>0.2</v>
      </c>
      <c r="F65" s="527">
        <v>0.2</v>
      </c>
      <c r="G65" s="527">
        <v>0.1</v>
      </c>
    </row>
    <row r="66" customHeight="1" spans="1:7">
      <c r="A66" s="560" t="s">
        <v>292</v>
      </c>
      <c r="B66" s="527">
        <v>0.5</v>
      </c>
      <c r="C66" s="527">
        <v>0.2</v>
      </c>
      <c r="D66" s="527">
        <v>0.2</v>
      </c>
      <c r="E66" s="527">
        <v>0.2</v>
      </c>
      <c r="F66" s="527">
        <v>0.2</v>
      </c>
      <c r="G66" s="527">
        <v>0.1</v>
      </c>
    </row>
    <row r="67" customHeight="1" spans="1:7">
      <c r="A67" s="560" t="s">
        <v>296</v>
      </c>
      <c r="B67" s="527">
        <v>0.5</v>
      </c>
      <c r="C67" s="527">
        <v>0.2</v>
      </c>
      <c r="D67" s="527">
        <v>0.2</v>
      </c>
      <c r="E67" s="527">
        <v>0.2</v>
      </c>
      <c r="F67" s="527">
        <v>0.2</v>
      </c>
      <c r="G67" s="527">
        <v>0.1</v>
      </c>
    </row>
    <row r="68" customHeight="1" spans="1:7">
      <c r="A68" s="560" t="s">
        <v>300</v>
      </c>
      <c r="B68" s="527">
        <v>0.5</v>
      </c>
      <c r="C68" s="527">
        <v>0.2</v>
      </c>
      <c r="D68" s="527">
        <v>0.2</v>
      </c>
      <c r="E68" s="527">
        <v>0.2</v>
      </c>
      <c r="F68" s="527">
        <v>0.2</v>
      </c>
      <c r="G68" s="527">
        <v>0.1</v>
      </c>
    </row>
    <row r="70" customHeight="1" spans="1:6">
      <c r="A70" s="577"/>
      <c r="B70" s="578"/>
      <c r="C70" s="578"/>
      <c r="D70" s="578" t="s">
        <v>2002</v>
      </c>
      <c r="E70" s="578"/>
      <c r="F70" s="578"/>
    </row>
    <row r="71" customHeight="1" spans="1:6">
      <c r="A71" s="561" t="s">
        <v>2003</v>
      </c>
      <c r="B71" s="561" t="s">
        <v>2004</v>
      </c>
      <c r="C71" s="561" t="s">
        <v>2005</v>
      </c>
      <c r="D71" s="561" t="s">
        <v>2006</v>
      </c>
      <c r="E71" s="561" t="s">
        <v>2007</v>
      </c>
      <c r="F71" s="561" t="s">
        <v>2008</v>
      </c>
    </row>
    <row r="72" ht="14" spans="1:6">
      <c r="A72" s="561"/>
      <c r="B72" s="561"/>
      <c r="C72" s="561" t="s">
        <v>1749</v>
      </c>
      <c r="D72" s="561"/>
      <c r="E72" s="561" t="s">
        <v>124</v>
      </c>
      <c r="F72" s="561" t="s">
        <v>124</v>
      </c>
    </row>
    <row r="73" ht="14" spans="1:6">
      <c r="A73" s="561">
        <v>1</v>
      </c>
      <c r="B73" s="558" t="s">
        <v>2009</v>
      </c>
      <c r="C73" s="527" t="s">
        <v>2010</v>
      </c>
      <c r="D73" s="527" t="s">
        <v>2011</v>
      </c>
      <c r="E73" s="561">
        <v>0.2</v>
      </c>
      <c r="F73" s="561">
        <v>25</v>
      </c>
    </row>
    <row r="74" ht="26" spans="1:6">
      <c r="A74" s="561">
        <v>2</v>
      </c>
      <c r="B74" s="542"/>
      <c r="C74" s="527" t="s">
        <v>2012</v>
      </c>
      <c r="D74" s="527" t="s">
        <v>2013</v>
      </c>
      <c r="E74" s="561">
        <v>0.2</v>
      </c>
      <c r="F74" s="561">
        <v>25</v>
      </c>
    </row>
    <row r="75" ht="26" spans="1:6">
      <c r="A75" s="561">
        <v>3</v>
      </c>
      <c r="B75" s="542"/>
      <c r="C75" s="527" t="s">
        <v>2014</v>
      </c>
      <c r="D75" s="527" t="s">
        <v>2015</v>
      </c>
      <c r="E75" s="561">
        <v>0.2</v>
      </c>
      <c r="F75" s="561">
        <v>25</v>
      </c>
    </row>
    <row r="76" ht="14" spans="1:6">
      <c r="A76" s="561">
        <v>4</v>
      </c>
      <c r="B76" s="542"/>
      <c r="C76" s="527" t="s">
        <v>2016</v>
      </c>
      <c r="D76" s="527" t="s">
        <v>2017</v>
      </c>
      <c r="E76" s="561">
        <v>0.15</v>
      </c>
      <c r="F76" s="561">
        <v>20</v>
      </c>
    </row>
    <row r="77" ht="26" spans="1:6">
      <c r="A77" s="561">
        <v>5</v>
      </c>
      <c r="B77" s="542"/>
      <c r="C77" s="527" t="s">
        <v>2018</v>
      </c>
      <c r="D77" s="527" t="s">
        <v>2019</v>
      </c>
      <c r="E77" s="561">
        <v>0.15</v>
      </c>
      <c r="F77" s="561">
        <v>20</v>
      </c>
    </row>
    <row r="78" ht="26" spans="1:6">
      <c r="A78" s="561">
        <v>6</v>
      </c>
      <c r="B78" s="542"/>
      <c r="C78" s="527" t="s">
        <v>2020</v>
      </c>
      <c r="D78" s="527" t="s">
        <v>2021</v>
      </c>
      <c r="E78" s="561">
        <v>0.15</v>
      </c>
      <c r="F78" s="561">
        <v>20</v>
      </c>
    </row>
    <row r="79" ht="26" spans="1:6">
      <c r="A79" s="561">
        <v>7</v>
      </c>
      <c r="B79" s="542"/>
      <c r="C79" s="527" t="s">
        <v>2022</v>
      </c>
      <c r="D79" s="527" t="s">
        <v>2023</v>
      </c>
      <c r="E79" s="561">
        <v>0.15</v>
      </c>
      <c r="F79" s="561">
        <v>20</v>
      </c>
    </row>
    <row r="80" ht="26" spans="1:6">
      <c r="A80" s="561">
        <v>8</v>
      </c>
      <c r="B80" s="542"/>
      <c r="C80" s="527" t="s">
        <v>2024</v>
      </c>
      <c r="D80" s="527" t="s">
        <v>2025</v>
      </c>
      <c r="E80" s="561">
        <v>0.1</v>
      </c>
      <c r="F80" s="561">
        <v>15</v>
      </c>
    </row>
    <row r="81" ht="26" spans="1:6">
      <c r="A81" s="561">
        <v>9</v>
      </c>
      <c r="B81" s="542"/>
      <c r="C81" s="527" t="s">
        <v>2026</v>
      </c>
      <c r="D81" s="527" t="s">
        <v>2027</v>
      </c>
      <c r="E81" s="561">
        <v>0.1</v>
      </c>
      <c r="F81" s="561">
        <v>15</v>
      </c>
    </row>
    <row r="82" ht="26" spans="1:6">
      <c r="A82" s="561">
        <v>10</v>
      </c>
      <c r="B82" s="542"/>
      <c r="C82" s="527" t="s">
        <v>2028</v>
      </c>
      <c r="D82" s="527" t="s">
        <v>2029</v>
      </c>
      <c r="E82" s="561">
        <v>0.1</v>
      </c>
      <c r="F82" s="561">
        <v>15</v>
      </c>
    </row>
    <row r="83" ht="26" spans="1:6">
      <c r="A83" s="561">
        <v>11</v>
      </c>
      <c r="B83" s="542"/>
      <c r="C83" s="527" t="s">
        <v>2030</v>
      </c>
      <c r="D83" s="527" t="s">
        <v>2031</v>
      </c>
      <c r="E83" s="561">
        <v>0.1</v>
      </c>
      <c r="F83" s="561">
        <v>15</v>
      </c>
    </row>
    <row r="84" ht="26" spans="1:6">
      <c r="A84" s="561">
        <v>12</v>
      </c>
      <c r="B84" s="542"/>
      <c r="C84" s="527" t="s">
        <v>2032</v>
      </c>
      <c r="D84" s="527" t="s">
        <v>2033</v>
      </c>
      <c r="E84" s="561">
        <v>0.1</v>
      </c>
      <c r="F84" s="561">
        <v>15</v>
      </c>
    </row>
    <row r="85" ht="14" spans="1:6">
      <c r="A85" s="561">
        <v>13</v>
      </c>
      <c r="B85" s="542"/>
      <c r="C85" s="527" t="s">
        <v>2034</v>
      </c>
      <c r="D85" s="527" t="s">
        <v>2035</v>
      </c>
      <c r="E85" s="561">
        <v>0.1</v>
      </c>
      <c r="F85" s="561">
        <v>15</v>
      </c>
    </row>
    <row r="86" ht="14" spans="1:6">
      <c r="A86" s="561">
        <v>14</v>
      </c>
      <c r="B86" s="542"/>
      <c r="C86" s="527" t="s">
        <v>2036</v>
      </c>
      <c r="D86" s="527" t="s">
        <v>2037</v>
      </c>
      <c r="E86" s="561">
        <v>0.1</v>
      </c>
      <c r="F86" s="561">
        <v>15</v>
      </c>
    </row>
    <row r="87" ht="14" spans="1:6">
      <c r="A87" s="561">
        <v>15</v>
      </c>
      <c r="B87" s="542"/>
      <c r="C87" s="527" t="s">
        <v>2038</v>
      </c>
      <c r="D87" s="527" t="s">
        <v>2039</v>
      </c>
      <c r="E87" s="561">
        <v>0.1</v>
      </c>
      <c r="F87" s="561">
        <v>15</v>
      </c>
    </row>
    <row r="88" ht="26" spans="1:6">
      <c r="A88" s="561">
        <v>16</v>
      </c>
      <c r="B88" s="542"/>
      <c r="C88" s="527" t="s">
        <v>2040</v>
      </c>
      <c r="D88" s="527" t="s">
        <v>2041</v>
      </c>
      <c r="E88" s="561">
        <v>0.1</v>
      </c>
      <c r="F88" s="561">
        <v>15</v>
      </c>
    </row>
    <row r="89" ht="26" spans="1:6">
      <c r="A89" s="561">
        <v>17</v>
      </c>
      <c r="B89" s="560"/>
      <c r="C89" s="527" t="s">
        <v>2042</v>
      </c>
      <c r="D89" s="527" t="s">
        <v>2043</v>
      </c>
      <c r="E89" s="561">
        <v>0.1</v>
      </c>
      <c r="F89" s="561">
        <v>15</v>
      </c>
    </row>
    <row r="90" ht="14" spans="1:6">
      <c r="A90" s="561">
        <v>18</v>
      </c>
      <c r="B90" s="558" t="s">
        <v>2044</v>
      </c>
      <c r="C90" s="527" t="s">
        <v>2045</v>
      </c>
      <c r="D90" s="527" t="s">
        <v>2046</v>
      </c>
      <c r="E90" s="561">
        <v>0.2</v>
      </c>
      <c r="F90" s="561">
        <v>25</v>
      </c>
    </row>
    <row r="91" ht="26" spans="1:6">
      <c r="A91" s="561">
        <v>19</v>
      </c>
      <c r="B91" s="542"/>
      <c r="C91" s="527" t="s">
        <v>2047</v>
      </c>
      <c r="D91" s="527" t="s">
        <v>2048</v>
      </c>
      <c r="E91" s="561">
        <v>0.2</v>
      </c>
      <c r="F91" s="561">
        <v>25</v>
      </c>
    </row>
    <row r="92" ht="14" spans="1:6">
      <c r="A92" s="561">
        <v>20</v>
      </c>
      <c r="B92" s="542"/>
      <c r="C92" s="527" t="s">
        <v>2049</v>
      </c>
      <c r="D92" s="527" t="s">
        <v>2050</v>
      </c>
      <c r="E92" s="561">
        <v>0.15</v>
      </c>
      <c r="F92" s="561">
        <v>20</v>
      </c>
    </row>
    <row r="93" ht="26" spans="1:6">
      <c r="A93" s="561">
        <v>21</v>
      </c>
      <c r="B93" s="542"/>
      <c r="C93" s="527" t="s">
        <v>2051</v>
      </c>
      <c r="D93" s="527" t="s">
        <v>2052</v>
      </c>
      <c r="E93" s="561">
        <v>0.15</v>
      </c>
      <c r="F93" s="561">
        <v>20</v>
      </c>
    </row>
    <row r="94" ht="26" spans="1:6">
      <c r="A94" s="561">
        <v>22</v>
      </c>
      <c r="B94" s="542"/>
      <c r="C94" s="527" t="s">
        <v>2053</v>
      </c>
      <c r="D94" s="527" t="s">
        <v>2054</v>
      </c>
      <c r="E94" s="561">
        <v>0.15</v>
      </c>
      <c r="F94" s="561">
        <v>20</v>
      </c>
    </row>
    <row r="95" ht="39" spans="1:6">
      <c r="A95" s="561">
        <v>23</v>
      </c>
      <c r="B95" s="542"/>
      <c r="C95" s="527" t="s">
        <v>2055</v>
      </c>
      <c r="D95" s="527" t="s">
        <v>2056</v>
      </c>
      <c r="E95" s="561">
        <v>0.15</v>
      </c>
      <c r="F95" s="561">
        <v>20</v>
      </c>
    </row>
    <row r="96" ht="14" spans="1:6">
      <c r="A96" s="561">
        <v>24</v>
      </c>
      <c r="B96" s="542"/>
      <c r="C96" s="527" t="s">
        <v>2057</v>
      </c>
      <c r="D96" s="527" t="s">
        <v>2058</v>
      </c>
      <c r="E96" s="561">
        <v>0.1</v>
      </c>
      <c r="F96" s="561">
        <v>15</v>
      </c>
    </row>
    <row r="97" ht="26" spans="1:6">
      <c r="A97" s="561">
        <v>25</v>
      </c>
      <c r="B97" s="542"/>
      <c r="C97" s="527" t="s">
        <v>2059</v>
      </c>
      <c r="D97" s="527" t="s">
        <v>2060</v>
      </c>
      <c r="E97" s="561">
        <v>0.1</v>
      </c>
      <c r="F97" s="561">
        <v>15</v>
      </c>
    </row>
    <row r="98" ht="26" spans="1:6">
      <c r="A98" s="561">
        <v>26</v>
      </c>
      <c r="B98" s="542"/>
      <c r="C98" s="527" t="s">
        <v>2061</v>
      </c>
      <c r="D98" s="527" t="s">
        <v>2062</v>
      </c>
      <c r="E98" s="561">
        <v>0.1</v>
      </c>
      <c r="F98" s="561">
        <v>15</v>
      </c>
    </row>
    <row r="99" ht="26" spans="1:6">
      <c r="A99" s="561">
        <v>27</v>
      </c>
      <c r="B99" s="542"/>
      <c r="C99" s="527" t="s">
        <v>2063</v>
      </c>
      <c r="D99" s="527" t="s">
        <v>2064</v>
      </c>
      <c r="E99" s="561">
        <v>0.1</v>
      </c>
      <c r="F99" s="561">
        <v>15</v>
      </c>
    </row>
    <row r="100" ht="26" spans="1:6">
      <c r="A100" s="561">
        <v>28</v>
      </c>
      <c r="B100" s="542"/>
      <c r="C100" s="527" t="s">
        <v>2065</v>
      </c>
      <c r="D100" s="527" t="s">
        <v>2066</v>
      </c>
      <c r="E100" s="561">
        <v>0.1</v>
      </c>
      <c r="F100" s="561">
        <v>15</v>
      </c>
    </row>
    <row r="101" ht="26" spans="1:6">
      <c r="A101" s="561">
        <v>29</v>
      </c>
      <c r="B101" s="542"/>
      <c r="C101" s="527" t="s">
        <v>2067</v>
      </c>
      <c r="D101" s="527" t="s">
        <v>2068</v>
      </c>
      <c r="E101" s="561">
        <v>0.1</v>
      </c>
      <c r="F101" s="561">
        <v>15</v>
      </c>
    </row>
    <row r="102" ht="26" spans="1:6">
      <c r="A102" s="561">
        <v>30</v>
      </c>
      <c r="B102" s="542"/>
      <c r="C102" s="527" t="s">
        <v>2069</v>
      </c>
      <c r="D102" s="527" t="s">
        <v>2070</v>
      </c>
      <c r="E102" s="561">
        <v>0.1</v>
      </c>
      <c r="F102" s="561">
        <v>15</v>
      </c>
    </row>
    <row r="103" ht="26" spans="1:6">
      <c r="A103" s="561">
        <v>31</v>
      </c>
      <c r="B103" s="542"/>
      <c r="C103" s="527" t="s">
        <v>2071</v>
      </c>
      <c r="D103" s="527" t="s">
        <v>2072</v>
      </c>
      <c r="E103" s="561">
        <v>0.1</v>
      </c>
      <c r="F103" s="561">
        <v>15</v>
      </c>
    </row>
    <row r="104" ht="26" spans="1:6">
      <c r="A104" s="561">
        <v>32</v>
      </c>
      <c r="B104" s="542"/>
      <c r="C104" s="527" t="s">
        <v>2073</v>
      </c>
      <c r="D104" s="527" t="s">
        <v>2074</v>
      </c>
      <c r="E104" s="561">
        <v>0.1</v>
      </c>
      <c r="F104" s="561">
        <v>15</v>
      </c>
    </row>
    <row r="105" ht="26" spans="1:6">
      <c r="A105" s="561">
        <v>33</v>
      </c>
      <c r="B105" s="542"/>
      <c r="C105" s="527" t="s">
        <v>2075</v>
      </c>
      <c r="D105" s="527" t="s">
        <v>2076</v>
      </c>
      <c r="E105" s="561">
        <v>0.1</v>
      </c>
      <c r="F105" s="561">
        <v>15</v>
      </c>
    </row>
    <row r="106" ht="26" spans="1:6">
      <c r="A106" s="561">
        <v>34</v>
      </c>
      <c r="B106" s="560"/>
      <c r="C106" s="527" t="s">
        <v>2077</v>
      </c>
      <c r="D106" s="527" t="s">
        <v>2078</v>
      </c>
      <c r="E106" s="561">
        <v>0.1</v>
      </c>
      <c r="F106" s="561">
        <v>15</v>
      </c>
    </row>
    <row r="107" ht="26" spans="1:6">
      <c r="A107" s="561">
        <v>35</v>
      </c>
      <c r="B107" s="558" t="s">
        <v>2079</v>
      </c>
      <c r="C107" s="561" t="s">
        <v>2080</v>
      </c>
      <c r="D107" s="527" t="s">
        <v>2081</v>
      </c>
      <c r="E107" s="561">
        <v>0.15</v>
      </c>
      <c r="F107" s="561">
        <v>20</v>
      </c>
    </row>
    <row r="108" ht="26" spans="1:6">
      <c r="A108" s="561">
        <v>36</v>
      </c>
      <c r="B108" s="542"/>
      <c r="C108" s="561" t="s">
        <v>2082</v>
      </c>
      <c r="D108" s="527" t="s">
        <v>2083</v>
      </c>
      <c r="E108" s="561">
        <v>0.15</v>
      </c>
      <c r="F108" s="561">
        <v>20</v>
      </c>
    </row>
    <row r="109" ht="26" spans="1:6">
      <c r="A109" s="561">
        <v>37</v>
      </c>
      <c r="B109" s="542"/>
      <c r="C109" s="561" t="s">
        <v>2084</v>
      </c>
      <c r="D109" s="527" t="s">
        <v>2085</v>
      </c>
      <c r="E109" s="561">
        <v>0.15</v>
      </c>
      <c r="F109" s="561">
        <v>20</v>
      </c>
    </row>
    <row r="110" ht="14" spans="1:6">
      <c r="A110" s="561">
        <v>38</v>
      </c>
      <c r="B110" s="542"/>
      <c r="C110" s="561" t="s">
        <v>2086</v>
      </c>
      <c r="D110" s="527" t="s">
        <v>2087</v>
      </c>
      <c r="E110" s="561">
        <v>0.1</v>
      </c>
      <c r="F110" s="561">
        <v>15</v>
      </c>
    </row>
    <row r="111" ht="26" spans="1:6">
      <c r="A111" s="561">
        <v>39</v>
      </c>
      <c r="B111" s="542"/>
      <c r="C111" s="561" t="s">
        <v>2088</v>
      </c>
      <c r="D111" s="527" t="s">
        <v>2089</v>
      </c>
      <c r="E111" s="561">
        <v>0.1</v>
      </c>
      <c r="F111" s="561">
        <v>15</v>
      </c>
    </row>
    <row r="112" ht="26" spans="1:6">
      <c r="A112" s="561">
        <v>40</v>
      </c>
      <c r="B112" s="560"/>
      <c r="C112" s="561" t="s">
        <v>2090</v>
      </c>
      <c r="D112" s="527" t="s">
        <v>2091</v>
      </c>
      <c r="E112" s="561">
        <v>0.1</v>
      </c>
      <c r="F112" s="561">
        <v>15</v>
      </c>
    </row>
    <row r="113" ht="26" spans="1:6">
      <c r="A113" s="561">
        <v>41</v>
      </c>
      <c r="B113" s="561" t="s">
        <v>2092</v>
      </c>
      <c r="C113" s="561" t="s">
        <v>2093</v>
      </c>
      <c r="D113" s="527" t="s">
        <v>2094</v>
      </c>
      <c r="E113" s="561">
        <v>0.1</v>
      </c>
      <c r="F113" s="561">
        <v>15</v>
      </c>
    </row>
    <row r="114" ht="14" spans="1:6">
      <c r="A114" s="561">
        <v>42</v>
      </c>
      <c r="B114" s="561"/>
      <c r="C114" s="561" t="s">
        <v>2095</v>
      </c>
      <c r="D114" s="527" t="s">
        <v>2096</v>
      </c>
      <c r="E114" s="561">
        <v>0.1</v>
      </c>
      <c r="F114" s="561">
        <v>15</v>
      </c>
    </row>
    <row r="115" ht="26" spans="1:6">
      <c r="A115" s="561">
        <v>43</v>
      </c>
      <c r="B115" s="561"/>
      <c r="C115" s="561" t="s">
        <v>2097</v>
      </c>
      <c r="D115" s="527" t="s">
        <v>2098</v>
      </c>
      <c r="E115" s="561">
        <v>0.1</v>
      </c>
      <c r="F115" s="561">
        <v>15</v>
      </c>
    </row>
    <row r="116" ht="26" spans="1:6">
      <c r="A116" s="561">
        <v>44</v>
      </c>
      <c r="B116" s="558" t="s">
        <v>2099</v>
      </c>
      <c r="C116" s="561" t="s">
        <v>2100</v>
      </c>
      <c r="D116" s="527" t="s">
        <v>2101</v>
      </c>
      <c r="E116" s="561">
        <v>0.1</v>
      </c>
      <c r="F116" s="561">
        <v>15</v>
      </c>
    </row>
    <row r="117" ht="26" spans="1:6">
      <c r="A117" s="561">
        <v>45</v>
      </c>
      <c r="B117" s="560"/>
      <c r="C117" s="527" t="s">
        <v>2102</v>
      </c>
      <c r="D117" s="527" t="s">
        <v>2103</v>
      </c>
      <c r="E117" s="561">
        <v>0.1</v>
      </c>
      <c r="F117" s="561">
        <v>15</v>
      </c>
    </row>
    <row r="118" ht="26" spans="1:6">
      <c r="A118" s="561">
        <v>46</v>
      </c>
      <c r="B118" s="558" t="s">
        <v>2104</v>
      </c>
      <c r="C118" s="561" t="s">
        <v>2105</v>
      </c>
      <c r="D118" s="527" t="s">
        <v>2106</v>
      </c>
      <c r="E118" s="561">
        <v>0.1</v>
      </c>
      <c r="F118" s="561">
        <v>15</v>
      </c>
    </row>
    <row r="119" ht="26" spans="1:6">
      <c r="A119" s="561">
        <v>47</v>
      </c>
      <c r="B119" s="560"/>
      <c r="C119" s="561" t="s">
        <v>2107</v>
      </c>
      <c r="D119" s="527" t="s">
        <v>2108</v>
      </c>
      <c r="E119" s="561">
        <v>0.1</v>
      </c>
      <c r="F119" s="561">
        <v>15</v>
      </c>
    </row>
    <row r="120" ht="26" spans="1:6">
      <c r="A120" s="561">
        <v>48</v>
      </c>
      <c r="B120" s="558" t="s">
        <v>2109</v>
      </c>
      <c r="C120" s="561" t="s">
        <v>2110</v>
      </c>
      <c r="D120" s="527" t="s">
        <v>2111</v>
      </c>
      <c r="E120" s="561">
        <v>0.1</v>
      </c>
      <c r="F120" s="561">
        <v>15</v>
      </c>
    </row>
    <row r="121" ht="14" spans="1:6">
      <c r="A121" s="561">
        <v>49</v>
      </c>
      <c r="B121" s="560"/>
      <c r="C121" s="561" t="s">
        <v>2112</v>
      </c>
      <c r="D121" s="527" t="s">
        <v>2113</v>
      </c>
      <c r="E121" s="561">
        <v>0.1</v>
      </c>
      <c r="F121" s="561">
        <v>15</v>
      </c>
    </row>
    <row r="122" ht="26" spans="1:6">
      <c r="A122" s="561">
        <v>50</v>
      </c>
      <c r="B122" s="561" t="s">
        <v>2114</v>
      </c>
      <c r="C122" s="561" t="s">
        <v>2115</v>
      </c>
      <c r="D122" s="527" t="s">
        <v>2116</v>
      </c>
      <c r="E122" s="561">
        <v>0.1</v>
      </c>
      <c r="F122" s="561">
        <v>15</v>
      </c>
    </row>
    <row r="123" ht="26" spans="1:6">
      <c r="A123" s="561">
        <v>51</v>
      </c>
      <c r="B123" s="561"/>
      <c r="C123" s="561" t="s">
        <v>2117</v>
      </c>
      <c r="D123" s="527" t="s">
        <v>2118</v>
      </c>
      <c r="E123" s="561">
        <v>0.1</v>
      </c>
      <c r="F123" s="561">
        <v>15</v>
      </c>
    </row>
    <row r="124" ht="26" spans="1:6">
      <c r="A124" s="561">
        <v>52</v>
      </c>
      <c r="B124" s="561" t="s">
        <v>2119</v>
      </c>
      <c r="C124" s="561" t="s">
        <v>2120</v>
      </c>
      <c r="D124" s="527" t="s">
        <v>2121</v>
      </c>
      <c r="E124" s="561">
        <v>0.1</v>
      </c>
      <c r="F124" s="561">
        <v>15</v>
      </c>
    </row>
    <row r="125" ht="26" spans="1:6">
      <c r="A125" s="561">
        <v>53</v>
      </c>
      <c r="B125" s="561"/>
      <c r="C125" s="561" t="s">
        <v>2122</v>
      </c>
      <c r="D125" s="527" t="s">
        <v>2123</v>
      </c>
      <c r="E125" s="561">
        <v>0.1</v>
      </c>
      <c r="F125" s="561">
        <v>15</v>
      </c>
    </row>
    <row r="126" ht="26" spans="1:6">
      <c r="A126" s="561">
        <v>54</v>
      </c>
      <c r="B126" s="561" t="s">
        <v>2124</v>
      </c>
      <c r="C126" s="561" t="s">
        <v>2125</v>
      </c>
      <c r="D126" s="527" t="s">
        <v>2126</v>
      </c>
      <c r="E126" s="561">
        <v>0.1</v>
      </c>
      <c r="F126" s="561">
        <v>15</v>
      </c>
    </row>
    <row r="127" ht="14" spans="1:6">
      <c r="A127" s="561">
        <v>55</v>
      </c>
      <c r="B127" s="561" t="s">
        <v>2127</v>
      </c>
      <c r="C127" s="561" t="s">
        <v>2128</v>
      </c>
      <c r="D127" s="527" t="s">
        <v>2129</v>
      </c>
      <c r="E127" s="561">
        <v>0.1</v>
      </c>
      <c r="F127" s="561">
        <v>15</v>
      </c>
    </row>
    <row r="128" ht="14" spans="1:6">
      <c r="A128" s="561">
        <v>56</v>
      </c>
      <c r="B128" s="561"/>
      <c r="C128" s="561" t="s">
        <v>2130</v>
      </c>
      <c r="D128" s="527" t="s">
        <v>2131</v>
      </c>
      <c r="E128" s="561">
        <v>0.1</v>
      </c>
      <c r="F128" s="561">
        <v>15</v>
      </c>
    </row>
    <row r="129" ht="26" spans="1:6">
      <c r="A129" s="561">
        <v>57</v>
      </c>
      <c r="B129" s="561"/>
      <c r="C129" s="561" t="s">
        <v>2132</v>
      </c>
      <c r="D129" s="527" t="s">
        <v>2133</v>
      </c>
      <c r="E129" s="561">
        <v>0.1</v>
      </c>
      <c r="F129" s="561">
        <v>15</v>
      </c>
    </row>
    <row r="130" ht="26" spans="1:6">
      <c r="A130" s="561">
        <v>58</v>
      </c>
      <c r="B130" s="561" t="s">
        <v>2134</v>
      </c>
      <c r="C130" s="561" t="s">
        <v>2135</v>
      </c>
      <c r="D130" s="527" t="s">
        <v>2136</v>
      </c>
      <c r="E130" s="561">
        <v>0.1</v>
      </c>
      <c r="F130" s="561">
        <v>15</v>
      </c>
    </row>
    <row r="131" ht="26" spans="1:6">
      <c r="A131" s="561">
        <v>59</v>
      </c>
      <c r="B131" s="561"/>
      <c r="C131" s="561" t="s">
        <v>2137</v>
      </c>
      <c r="D131" s="527" t="s">
        <v>2138</v>
      </c>
      <c r="E131" s="561">
        <v>0.1</v>
      </c>
      <c r="F131" s="561">
        <v>15</v>
      </c>
    </row>
    <row r="132" ht="26" spans="1:6">
      <c r="A132" s="561">
        <v>60</v>
      </c>
      <c r="B132" s="558" t="s">
        <v>2139</v>
      </c>
      <c r="C132" s="561" t="s">
        <v>2140</v>
      </c>
      <c r="D132" s="527" t="s">
        <v>2141</v>
      </c>
      <c r="E132" s="561">
        <v>0.1</v>
      </c>
      <c r="F132" s="561">
        <v>15</v>
      </c>
    </row>
    <row r="133" ht="26" spans="1:6">
      <c r="A133" s="561">
        <v>61</v>
      </c>
      <c r="B133" s="560"/>
      <c r="C133" s="561" t="s">
        <v>2142</v>
      </c>
      <c r="D133" s="527" t="s">
        <v>2143</v>
      </c>
      <c r="E133" s="561">
        <v>0.1</v>
      </c>
      <c r="F133" s="561">
        <v>15</v>
      </c>
    </row>
    <row r="134" ht="26" spans="1:6">
      <c r="A134" s="561">
        <v>62</v>
      </c>
      <c r="B134" s="561" t="s">
        <v>2144</v>
      </c>
      <c r="C134" s="561" t="s">
        <v>2145</v>
      </c>
      <c r="D134" s="527" t="s">
        <v>2146</v>
      </c>
      <c r="E134" s="561">
        <v>0.1</v>
      </c>
      <c r="F134" s="561">
        <v>15</v>
      </c>
    </row>
    <row r="135" ht="26" spans="1:6">
      <c r="A135" s="561">
        <v>63</v>
      </c>
      <c r="B135" s="561" t="s">
        <v>2147</v>
      </c>
      <c r="C135" s="561" t="s">
        <v>2148</v>
      </c>
      <c r="D135" s="527" t="s">
        <v>2149</v>
      </c>
      <c r="E135" s="561">
        <v>0.1</v>
      </c>
      <c r="F135" s="561">
        <v>15</v>
      </c>
    </row>
    <row r="136" ht="14" spans="1:6">
      <c r="A136" s="561">
        <v>64</v>
      </c>
      <c r="B136" s="561"/>
      <c r="C136" s="561" t="s">
        <v>2150</v>
      </c>
      <c r="D136" s="527" t="s">
        <v>2151</v>
      </c>
      <c r="E136" s="561">
        <v>0.1</v>
      </c>
      <c r="F136" s="561">
        <v>15</v>
      </c>
    </row>
    <row r="137" ht="26" spans="1:6">
      <c r="A137" s="561">
        <v>65</v>
      </c>
      <c r="B137" s="561" t="s">
        <v>2152</v>
      </c>
      <c r="C137" s="561" t="s">
        <v>2153</v>
      </c>
      <c r="D137" s="527" t="s">
        <v>2154</v>
      </c>
      <c r="E137" s="561">
        <v>0.1</v>
      </c>
      <c r="F137" s="561">
        <v>15</v>
      </c>
    </row>
    <row r="138" ht="14" spans="1:6">
      <c r="A138" s="561"/>
      <c r="B138" s="561"/>
      <c r="C138" s="561"/>
      <c r="D138" s="561"/>
      <c r="E138" s="561" t="s">
        <v>124</v>
      </c>
      <c r="F138" s="56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90"/>
    <col min="14" max="16384" width="9" style="491"/>
  </cols>
  <sheetData>
    <row r="1" ht="15.75" spans="1:14">
      <c r="A1" s="492" t="s">
        <v>2155</v>
      </c>
      <c r="B1" s="492"/>
      <c r="C1" s="492"/>
      <c r="D1" s="492"/>
      <c r="E1" s="492"/>
      <c r="F1" s="492"/>
      <c r="G1" s="492"/>
      <c r="H1" s="492"/>
      <c r="I1" s="492"/>
      <c r="J1" s="492"/>
      <c r="K1" s="492"/>
      <c r="L1" s="492"/>
      <c r="M1" s="492"/>
      <c r="N1" s="499"/>
    </row>
    <row r="2" spans="1:20">
      <c r="A2" s="493" t="s">
        <v>2156</v>
      </c>
      <c r="B2" s="494" t="s">
        <v>230</v>
      </c>
      <c r="C2" s="494" t="s">
        <v>241</v>
      </c>
      <c r="D2" s="494" t="s">
        <v>251</v>
      </c>
      <c r="E2" s="494" t="s">
        <v>259</v>
      </c>
      <c r="F2" s="494" t="s">
        <v>267</v>
      </c>
      <c r="G2" s="494" t="s">
        <v>273</v>
      </c>
      <c r="H2" s="495" t="s">
        <v>278</v>
      </c>
      <c r="I2" s="495" t="s">
        <v>284</v>
      </c>
      <c r="J2" s="500" t="s">
        <v>288</v>
      </c>
      <c r="K2" s="500" t="s">
        <v>292</v>
      </c>
      <c r="L2" s="500" t="s">
        <v>296</v>
      </c>
      <c r="M2" s="501" t="s">
        <v>300</v>
      </c>
      <c r="Q2" s="504" t="s">
        <v>2157</v>
      </c>
      <c r="R2" s="504" t="s">
        <v>2158</v>
      </c>
      <c r="S2" s="504" t="s">
        <v>2159</v>
      </c>
      <c r="T2" s="504" t="s">
        <v>2160</v>
      </c>
    </row>
    <row r="3" spans="1:20">
      <c r="A3" s="496">
        <v>1</v>
      </c>
      <c r="B3" s="497">
        <v>1.2574</v>
      </c>
      <c r="C3" s="497">
        <v>1.2574</v>
      </c>
      <c r="D3" s="497">
        <v>1.2299</v>
      </c>
      <c r="E3" s="497">
        <v>1.2299</v>
      </c>
      <c r="F3" s="497">
        <v>1.2299</v>
      </c>
      <c r="G3" s="497">
        <v>1.2299</v>
      </c>
      <c r="H3" s="497">
        <v>1.2299</v>
      </c>
      <c r="I3" s="497">
        <v>1.2333</v>
      </c>
      <c r="J3" s="497">
        <v>1.2333</v>
      </c>
      <c r="K3" s="497">
        <v>1.2333</v>
      </c>
      <c r="L3" s="497">
        <v>1.2333</v>
      </c>
      <c r="M3" s="502">
        <v>1.2333</v>
      </c>
      <c r="N3" s="503"/>
      <c r="Q3" s="504">
        <v>10</v>
      </c>
      <c r="R3" s="504">
        <f>ROUND(0.9968-0.011*Q3,4)</f>
        <v>0.8868</v>
      </c>
      <c r="S3" s="504">
        <f>ROUND(0.949-0.014*Q3,4)</f>
        <v>0.809</v>
      </c>
      <c r="T3" s="504">
        <f>ROUND(0.8486-0.018*Q3,4)</f>
        <v>0.6686</v>
      </c>
    </row>
    <row r="4" spans="1:13">
      <c r="A4" s="496">
        <v>1.1</v>
      </c>
      <c r="B4" s="497">
        <v>1.2284</v>
      </c>
      <c r="C4" s="497">
        <v>1.2284</v>
      </c>
      <c r="D4" s="497">
        <v>1.1985</v>
      </c>
      <c r="E4" s="497">
        <v>1.1985</v>
      </c>
      <c r="F4" s="497">
        <v>1.1985</v>
      </c>
      <c r="G4" s="497">
        <v>1.1985</v>
      </c>
      <c r="H4" s="497">
        <v>1.1985</v>
      </c>
      <c r="I4" s="497">
        <v>1.1899</v>
      </c>
      <c r="J4" s="497">
        <v>1.1899</v>
      </c>
      <c r="K4" s="497">
        <v>1.1899</v>
      </c>
      <c r="L4" s="497">
        <v>1.1899</v>
      </c>
      <c r="M4" s="502">
        <v>1.1899</v>
      </c>
    </row>
    <row r="5" spans="1:13">
      <c r="A5" s="496">
        <v>1.2</v>
      </c>
      <c r="B5" s="497">
        <v>1.2031</v>
      </c>
      <c r="C5" s="497">
        <v>1.2031</v>
      </c>
      <c r="D5" s="497">
        <v>1.1711</v>
      </c>
      <c r="E5" s="497">
        <v>1.1711</v>
      </c>
      <c r="F5" s="497">
        <v>1.1711</v>
      </c>
      <c r="G5" s="497">
        <v>1.1711</v>
      </c>
      <c r="H5" s="497">
        <v>1.1711</v>
      </c>
      <c r="I5" s="497">
        <v>1.1528</v>
      </c>
      <c r="J5" s="497">
        <v>1.1528</v>
      </c>
      <c r="K5" s="497">
        <v>1.1528</v>
      </c>
      <c r="L5" s="497">
        <v>1.1528</v>
      </c>
      <c r="M5" s="502">
        <v>1.1528</v>
      </c>
    </row>
    <row r="6" spans="1:13">
      <c r="A6" s="496">
        <v>1.3</v>
      </c>
      <c r="B6" s="497">
        <v>1.1811</v>
      </c>
      <c r="C6" s="497">
        <v>1.1811</v>
      </c>
      <c r="D6" s="497">
        <v>1.1472</v>
      </c>
      <c r="E6" s="497">
        <v>1.1472</v>
      </c>
      <c r="F6" s="497">
        <v>1.1472</v>
      </c>
      <c r="G6" s="497">
        <v>1.1472</v>
      </c>
      <c r="H6" s="497">
        <v>1.1472</v>
      </c>
      <c r="I6" s="497">
        <v>1.1214</v>
      </c>
      <c r="J6" s="497">
        <v>1.1214</v>
      </c>
      <c r="K6" s="497">
        <v>1.1214</v>
      </c>
      <c r="L6" s="497">
        <v>1.1214</v>
      </c>
      <c r="M6" s="502">
        <v>1.1214</v>
      </c>
    </row>
    <row r="7" spans="1:13">
      <c r="A7" s="496">
        <v>1.4</v>
      </c>
      <c r="B7" s="497">
        <v>1.162</v>
      </c>
      <c r="C7" s="497">
        <v>1.162</v>
      </c>
      <c r="D7" s="497">
        <v>1.1265</v>
      </c>
      <c r="E7" s="497">
        <v>1.1265</v>
      </c>
      <c r="F7" s="497">
        <v>1.1265</v>
      </c>
      <c r="G7" s="497">
        <v>1.1265</v>
      </c>
      <c r="H7" s="497">
        <v>1.1265</v>
      </c>
      <c r="I7" s="497">
        <v>1.0948</v>
      </c>
      <c r="J7" s="497">
        <v>1.0948</v>
      </c>
      <c r="K7" s="497">
        <v>1.0948</v>
      </c>
      <c r="L7" s="497">
        <v>1.0948</v>
      </c>
      <c r="M7" s="502">
        <v>1.0948</v>
      </c>
    </row>
    <row r="8" spans="1:13">
      <c r="A8" s="496">
        <v>1.5</v>
      </c>
      <c r="B8" s="497">
        <v>1.1453</v>
      </c>
      <c r="C8" s="497">
        <v>1.1453</v>
      </c>
      <c r="D8" s="497">
        <v>1.1084</v>
      </c>
      <c r="E8" s="497">
        <v>1.1084</v>
      </c>
      <c r="F8" s="497">
        <v>1.1084</v>
      </c>
      <c r="G8" s="497">
        <v>1.1084</v>
      </c>
      <c r="H8" s="497">
        <v>1.1084</v>
      </c>
      <c r="I8" s="497">
        <v>1.0725</v>
      </c>
      <c r="J8" s="497">
        <v>1.0725</v>
      </c>
      <c r="K8" s="497">
        <v>1.0725</v>
      </c>
      <c r="L8" s="497">
        <v>1.0725</v>
      </c>
      <c r="M8" s="502">
        <v>1.0725</v>
      </c>
    </row>
    <row r="9" spans="1:13">
      <c r="A9" s="496">
        <v>1.6</v>
      </c>
      <c r="B9" s="497">
        <v>1.1306</v>
      </c>
      <c r="C9" s="497">
        <v>1.1306</v>
      </c>
      <c r="D9" s="497">
        <v>1.0924</v>
      </c>
      <c r="E9" s="497">
        <v>1.0924</v>
      </c>
      <c r="F9" s="497">
        <v>1.0924</v>
      </c>
      <c r="G9" s="497">
        <v>1.0924</v>
      </c>
      <c r="H9" s="497">
        <v>1.0924</v>
      </c>
      <c r="I9" s="497">
        <v>1.0538</v>
      </c>
      <c r="J9" s="497">
        <v>1.0538</v>
      </c>
      <c r="K9" s="497">
        <v>1.0538</v>
      </c>
      <c r="L9" s="497">
        <v>1.0538</v>
      </c>
      <c r="M9" s="502">
        <v>1.0538</v>
      </c>
    </row>
    <row r="10" spans="1:13">
      <c r="A10" s="496">
        <v>1.7</v>
      </c>
      <c r="B10" s="497">
        <v>1.1176</v>
      </c>
      <c r="C10" s="497">
        <v>1.1176</v>
      </c>
      <c r="D10" s="497">
        <v>1.0783</v>
      </c>
      <c r="E10" s="497">
        <v>1.0783</v>
      </c>
      <c r="F10" s="497">
        <v>1.0783</v>
      </c>
      <c r="G10" s="497">
        <v>1.0783</v>
      </c>
      <c r="H10" s="497">
        <v>1.0783</v>
      </c>
      <c r="I10" s="497">
        <v>1.0379</v>
      </c>
      <c r="J10" s="497">
        <v>1.0379</v>
      </c>
      <c r="K10" s="497">
        <v>1.0379</v>
      </c>
      <c r="L10" s="497">
        <v>1.0379</v>
      </c>
      <c r="M10" s="502">
        <v>1.0379</v>
      </c>
    </row>
    <row r="11" spans="1:13">
      <c r="A11" s="496">
        <v>1.8</v>
      </c>
      <c r="B11" s="497">
        <v>1.1058</v>
      </c>
      <c r="C11" s="497">
        <v>1.1058</v>
      </c>
      <c r="D11" s="497">
        <v>1.0654</v>
      </c>
      <c r="E11" s="497">
        <v>1.0654</v>
      </c>
      <c r="F11" s="497">
        <v>1.0654</v>
      </c>
      <c r="G11" s="497">
        <v>1.0654</v>
      </c>
      <c r="H11" s="497">
        <v>1.0654</v>
      </c>
      <c r="I11" s="497">
        <v>1.0241</v>
      </c>
      <c r="J11" s="497">
        <v>1.0241</v>
      </c>
      <c r="K11" s="497">
        <v>1.0241</v>
      </c>
      <c r="L11" s="497">
        <v>1.0241</v>
      </c>
      <c r="M11" s="502">
        <v>1.0241</v>
      </c>
    </row>
    <row r="12" spans="1:13">
      <c r="A12" s="496">
        <v>1.9</v>
      </c>
      <c r="B12" s="497">
        <v>1.0949</v>
      </c>
      <c r="C12" s="497">
        <v>1.0949</v>
      </c>
      <c r="D12" s="497">
        <v>1.0537</v>
      </c>
      <c r="E12" s="497">
        <v>1.0537</v>
      </c>
      <c r="F12" s="497">
        <v>1.0537</v>
      </c>
      <c r="G12" s="497">
        <v>1.0537</v>
      </c>
      <c r="H12" s="497">
        <v>1.0537</v>
      </c>
      <c r="I12" s="497">
        <v>1.0117</v>
      </c>
      <c r="J12" s="497">
        <v>1.0117</v>
      </c>
      <c r="K12" s="497">
        <v>1.0117</v>
      </c>
      <c r="L12" s="497">
        <v>1.0117</v>
      </c>
      <c r="M12" s="502">
        <v>1.0117</v>
      </c>
    </row>
    <row r="13" spans="1:13">
      <c r="A13" s="496">
        <v>2</v>
      </c>
      <c r="B13" s="497">
        <v>1.0847</v>
      </c>
      <c r="C13" s="497">
        <v>1.0847</v>
      </c>
      <c r="D13" s="497">
        <v>1.0427</v>
      </c>
      <c r="E13" s="497">
        <v>1.0427</v>
      </c>
      <c r="F13" s="497">
        <v>1.0427</v>
      </c>
      <c r="G13" s="497">
        <v>1.0427</v>
      </c>
      <c r="H13" s="497">
        <v>1.0427</v>
      </c>
      <c r="I13" s="497">
        <v>1</v>
      </c>
      <c r="J13" s="497">
        <v>1</v>
      </c>
      <c r="K13" s="497">
        <v>1</v>
      </c>
      <c r="L13" s="497">
        <v>1</v>
      </c>
      <c r="M13" s="502">
        <v>1</v>
      </c>
    </row>
    <row r="14" spans="1:13">
      <c r="A14" s="498">
        <v>2.1</v>
      </c>
      <c r="B14" s="497">
        <v>1.0749</v>
      </c>
      <c r="C14" s="497">
        <v>1.0749</v>
      </c>
      <c r="D14" s="497">
        <v>1.0328</v>
      </c>
      <c r="E14" s="497">
        <v>1.0328</v>
      </c>
      <c r="F14" s="497">
        <v>1.0328</v>
      </c>
      <c r="G14" s="497">
        <v>1.0328</v>
      </c>
      <c r="H14" s="497">
        <v>1.0328</v>
      </c>
      <c r="I14" s="497">
        <v>0.9882</v>
      </c>
      <c r="J14" s="497">
        <v>0.9882</v>
      </c>
      <c r="K14" s="497">
        <v>0.9882</v>
      </c>
      <c r="L14" s="497">
        <v>0.9882</v>
      </c>
      <c r="M14" s="502">
        <v>0.9882</v>
      </c>
    </row>
    <row r="15" spans="1:13">
      <c r="A15" s="498">
        <v>2.2</v>
      </c>
      <c r="B15" s="497">
        <v>1.0663</v>
      </c>
      <c r="C15" s="497">
        <v>1.0663</v>
      </c>
      <c r="D15" s="497">
        <v>1.0237</v>
      </c>
      <c r="E15" s="497">
        <v>1.0237</v>
      </c>
      <c r="F15" s="497">
        <v>1.0237</v>
      </c>
      <c r="G15" s="497">
        <v>1.0237</v>
      </c>
      <c r="H15" s="497">
        <v>1.0237</v>
      </c>
      <c r="I15" s="497">
        <v>0.9768</v>
      </c>
      <c r="J15" s="497">
        <v>0.9768</v>
      </c>
      <c r="K15" s="497">
        <v>0.9768</v>
      </c>
      <c r="L15" s="497">
        <v>0.9768</v>
      </c>
      <c r="M15" s="502">
        <v>0.9768</v>
      </c>
    </row>
    <row r="16" spans="1:14">
      <c r="A16" s="498">
        <v>2.3</v>
      </c>
      <c r="B16" s="497">
        <v>1.0584</v>
      </c>
      <c r="C16" s="497">
        <v>1.0584</v>
      </c>
      <c r="D16" s="497">
        <v>1.0152</v>
      </c>
      <c r="E16" s="497">
        <v>1.0152</v>
      </c>
      <c r="F16" s="497">
        <v>1.0152</v>
      </c>
      <c r="G16" s="497">
        <v>1.0152</v>
      </c>
      <c r="H16" s="497">
        <v>1.0152</v>
      </c>
      <c r="I16" s="497">
        <v>0.9661</v>
      </c>
      <c r="J16" s="497">
        <v>0.9661</v>
      </c>
      <c r="K16" s="497">
        <v>0.9661</v>
      </c>
      <c r="L16" s="497">
        <v>0.9661</v>
      </c>
      <c r="M16" s="502">
        <v>0.9661</v>
      </c>
      <c r="N16" s="503"/>
    </row>
    <row r="17" spans="1:14">
      <c r="A17" s="498">
        <v>2.4</v>
      </c>
      <c r="B17" s="497">
        <v>1.0512</v>
      </c>
      <c r="C17" s="497">
        <v>1.0512</v>
      </c>
      <c r="D17" s="497">
        <v>1.0074</v>
      </c>
      <c r="E17" s="497">
        <v>1.0074</v>
      </c>
      <c r="F17" s="497">
        <v>1.0074</v>
      </c>
      <c r="G17" s="497">
        <v>1.0074</v>
      </c>
      <c r="H17" s="497">
        <v>1.0074</v>
      </c>
      <c r="I17" s="497">
        <v>0.9558</v>
      </c>
      <c r="J17" s="497">
        <v>0.9558</v>
      </c>
      <c r="K17" s="497">
        <v>0.9558</v>
      </c>
      <c r="L17" s="497">
        <v>0.9558</v>
      </c>
      <c r="M17" s="502">
        <v>0.9558</v>
      </c>
      <c r="N17" s="503"/>
    </row>
    <row r="18" spans="1:13">
      <c r="A18" s="498">
        <v>2.5</v>
      </c>
      <c r="B18" s="497">
        <v>1.0445</v>
      </c>
      <c r="C18" s="497">
        <v>1.0445</v>
      </c>
      <c r="D18" s="497">
        <v>1</v>
      </c>
      <c r="E18" s="497">
        <v>1</v>
      </c>
      <c r="F18" s="497">
        <v>1</v>
      </c>
      <c r="G18" s="497">
        <v>1</v>
      </c>
      <c r="H18" s="497">
        <v>1</v>
      </c>
      <c r="I18" s="497">
        <v>0.9462</v>
      </c>
      <c r="J18" s="497">
        <v>0.9462</v>
      </c>
      <c r="K18" s="497">
        <v>0.9462</v>
      </c>
      <c r="L18" s="497">
        <v>0.9462</v>
      </c>
      <c r="M18" s="502">
        <v>0.9462</v>
      </c>
    </row>
    <row r="19" spans="1:13">
      <c r="A19" s="498">
        <v>2.6</v>
      </c>
      <c r="B19" s="497">
        <v>1.0386</v>
      </c>
      <c r="C19" s="497">
        <v>1.0386</v>
      </c>
      <c r="D19" s="497">
        <v>0.9935</v>
      </c>
      <c r="E19" s="497">
        <v>0.9935</v>
      </c>
      <c r="F19" s="497">
        <v>0.9935</v>
      </c>
      <c r="G19" s="497">
        <v>0.9935</v>
      </c>
      <c r="H19" s="497">
        <v>0.9935</v>
      </c>
      <c r="I19" s="497">
        <v>0.9371</v>
      </c>
      <c r="J19" s="497">
        <v>0.9371</v>
      </c>
      <c r="K19" s="497">
        <v>0.9371</v>
      </c>
      <c r="L19" s="497">
        <v>0.9371</v>
      </c>
      <c r="M19" s="502">
        <v>0.9371</v>
      </c>
    </row>
    <row r="20" spans="1:13">
      <c r="A20" s="498">
        <v>2.7</v>
      </c>
      <c r="B20" s="497">
        <v>1.0332</v>
      </c>
      <c r="C20" s="497">
        <v>1.0332</v>
      </c>
      <c r="D20" s="497">
        <v>0.9877</v>
      </c>
      <c r="E20" s="497">
        <v>0.9877</v>
      </c>
      <c r="F20" s="497">
        <v>0.9877</v>
      </c>
      <c r="G20" s="497">
        <v>0.9877</v>
      </c>
      <c r="H20" s="497">
        <v>0.9877</v>
      </c>
      <c r="I20" s="497">
        <v>0.9286</v>
      </c>
      <c r="J20" s="497">
        <v>0.9286</v>
      </c>
      <c r="K20" s="497">
        <v>0.9286</v>
      </c>
      <c r="L20" s="497">
        <v>0.9286</v>
      </c>
      <c r="M20" s="502">
        <v>0.9286</v>
      </c>
    </row>
    <row r="21" spans="1:13">
      <c r="A21" s="498">
        <v>2.8</v>
      </c>
      <c r="B21" s="497">
        <v>1.0282</v>
      </c>
      <c r="C21" s="497">
        <v>1.0282</v>
      </c>
      <c r="D21" s="497">
        <v>0.9826</v>
      </c>
      <c r="E21" s="497">
        <v>0.9826</v>
      </c>
      <c r="F21" s="497">
        <v>0.9826</v>
      </c>
      <c r="G21" s="497">
        <v>0.9826</v>
      </c>
      <c r="H21" s="497">
        <v>0.9826</v>
      </c>
      <c r="I21" s="497">
        <v>0.9207</v>
      </c>
      <c r="J21" s="497">
        <v>0.9207</v>
      </c>
      <c r="K21" s="497">
        <v>0.9207</v>
      </c>
      <c r="L21" s="497">
        <v>0.9207</v>
      </c>
      <c r="M21" s="502">
        <v>0.9207</v>
      </c>
    </row>
    <row r="22" spans="1:13">
      <c r="A22" s="498">
        <v>2.9</v>
      </c>
      <c r="B22" s="497">
        <v>1.0235</v>
      </c>
      <c r="C22" s="497">
        <v>1.0235</v>
      </c>
      <c r="D22" s="497">
        <v>0.9777</v>
      </c>
      <c r="E22" s="497">
        <v>0.9777</v>
      </c>
      <c r="F22" s="497">
        <v>0.9777</v>
      </c>
      <c r="G22" s="497">
        <v>0.9777</v>
      </c>
      <c r="H22" s="497">
        <v>0.9777</v>
      </c>
      <c r="I22" s="497">
        <v>0.9133</v>
      </c>
      <c r="J22" s="497">
        <v>0.9133</v>
      </c>
      <c r="K22" s="497">
        <v>0.9133</v>
      </c>
      <c r="L22" s="497">
        <v>0.9133</v>
      </c>
      <c r="M22" s="502">
        <v>0.9133</v>
      </c>
    </row>
    <row r="23" spans="1:13">
      <c r="A23" s="498">
        <v>3</v>
      </c>
      <c r="B23" s="497">
        <v>1.0191</v>
      </c>
      <c r="C23" s="497">
        <v>1.0191</v>
      </c>
      <c r="D23" s="497">
        <v>0.973</v>
      </c>
      <c r="E23" s="497">
        <v>0.973</v>
      </c>
      <c r="F23" s="497">
        <v>0.973</v>
      </c>
      <c r="G23" s="497">
        <v>0.973</v>
      </c>
      <c r="H23" s="497">
        <v>0.973</v>
      </c>
      <c r="I23" s="497">
        <v>0.9063</v>
      </c>
      <c r="J23" s="497">
        <v>0.9063</v>
      </c>
      <c r="K23" s="497">
        <v>0.9063</v>
      </c>
      <c r="L23" s="497">
        <v>0.9063</v>
      </c>
      <c r="M23" s="502">
        <v>0.9063</v>
      </c>
    </row>
    <row r="24" spans="1:13">
      <c r="A24" s="498">
        <v>3.1</v>
      </c>
      <c r="B24" s="497">
        <v>1.0149</v>
      </c>
      <c r="C24" s="497">
        <v>1.0149</v>
      </c>
      <c r="D24" s="497">
        <v>0.9684</v>
      </c>
      <c r="E24" s="497">
        <v>0.9684</v>
      </c>
      <c r="F24" s="497">
        <v>0.9684</v>
      </c>
      <c r="G24" s="497">
        <v>0.9684</v>
      </c>
      <c r="H24" s="497">
        <v>0.9684</v>
      </c>
      <c r="I24" s="497">
        <v>0.8996</v>
      </c>
      <c r="J24" s="497">
        <v>0.8996</v>
      </c>
      <c r="K24" s="497">
        <v>0.8996</v>
      </c>
      <c r="L24" s="497">
        <v>0.8996</v>
      </c>
      <c r="M24" s="502">
        <v>0.8996</v>
      </c>
    </row>
    <row r="25" spans="1:13">
      <c r="A25" s="498">
        <v>3.2</v>
      </c>
      <c r="B25" s="497">
        <v>1.0109</v>
      </c>
      <c r="C25" s="497">
        <v>1.0109</v>
      </c>
      <c r="D25" s="497">
        <v>0.964</v>
      </c>
      <c r="E25" s="497">
        <v>0.964</v>
      </c>
      <c r="F25" s="497">
        <v>0.964</v>
      </c>
      <c r="G25" s="497">
        <v>0.964</v>
      </c>
      <c r="H25" s="497">
        <v>0.964</v>
      </c>
      <c r="I25" s="497">
        <v>0.8932</v>
      </c>
      <c r="J25" s="497">
        <v>0.8932</v>
      </c>
      <c r="K25" s="497">
        <v>0.8932</v>
      </c>
      <c r="L25" s="497">
        <v>0.8932</v>
      </c>
      <c r="M25" s="502">
        <v>0.8932</v>
      </c>
    </row>
    <row r="26" spans="1:13">
      <c r="A26" s="498">
        <v>3.3</v>
      </c>
      <c r="B26" s="497">
        <v>1.0071</v>
      </c>
      <c r="C26" s="497">
        <v>1.0071</v>
      </c>
      <c r="D26" s="497">
        <v>0.9598</v>
      </c>
      <c r="E26" s="497">
        <v>0.9598</v>
      </c>
      <c r="F26" s="497">
        <v>0.9598</v>
      </c>
      <c r="G26" s="497">
        <v>0.9598</v>
      </c>
      <c r="H26" s="497">
        <v>0.9598</v>
      </c>
      <c r="I26" s="497">
        <v>0.8871</v>
      </c>
      <c r="J26" s="497">
        <v>0.8871</v>
      </c>
      <c r="K26" s="497">
        <v>0.8871</v>
      </c>
      <c r="L26" s="497">
        <v>0.8871</v>
      </c>
      <c r="M26" s="502">
        <v>0.8871</v>
      </c>
    </row>
    <row r="27" spans="1:13">
      <c r="A27" s="498">
        <v>3.4</v>
      </c>
      <c r="B27" s="497">
        <v>1.0035</v>
      </c>
      <c r="C27" s="497">
        <v>1.0035</v>
      </c>
      <c r="D27" s="497">
        <v>0.9558</v>
      </c>
      <c r="E27" s="497">
        <v>0.9558</v>
      </c>
      <c r="F27" s="497">
        <v>0.9558</v>
      </c>
      <c r="G27" s="497">
        <v>0.9558</v>
      </c>
      <c r="H27" s="497">
        <v>0.9558</v>
      </c>
      <c r="I27" s="497">
        <v>0.8812</v>
      </c>
      <c r="J27" s="497">
        <v>0.8812</v>
      </c>
      <c r="K27" s="497">
        <v>0.8812</v>
      </c>
      <c r="L27" s="497">
        <v>0.8812</v>
      </c>
      <c r="M27" s="502">
        <v>0.8812</v>
      </c>
    </row>
    <row r="28" spans="1:13">
      <c r="A28" s="498">
        <v>3.5</v>
      </c>
      <c r="B28" s="497">
        <v>1</v>
      </c>
      <c r="C28" s="497">
        <v>1</v>
      </c>
      <c r="D28" s="497">
        <v>0.952</v>
      </c>
      <c r="E28" s="497">
        <v>0.952</v>
      </c>
      <c r="F28" s="497">
        <v>0.952</v>
      </c>
      <c r="G28" s="497">
        <v>0.952</v>
      </c>
      <c r="H28" s="497">
        <v>0.952</v>
      </c>
      <c r="I28" s="497">
        <v>0.8755</v>
      </c>
      <c r="J28" s="497">
        <v>0.8755</v>
      </c>
      <c r="K28" s="497">
        <v>0.8755</v>
      </c>
      <c r="L28" s="497">
        <v>0.8755</v>
      </c>
      <c r="M28" s="502">
        <v>0.8755</v>
      </c>
    </row>
    <row r="29" spans="1:13">
      <c r="A29" s="498">
        <v>3.6</v>
      </c>
      <c r="B29" s="497">
        <v>0.9966</v>
      </c>
      <c r="C29" s="497">
        <v>0.9966</v>
      </c>
      <c r="D29" s="497">
        <v>0.9484</v>
      </c>
      <c r="E29" s="497">
        <v>0.9484</v>
      </c>
      <c r="F29" s="497">
        <v>0.9484</v>
      </c>
      <c r="G29" s="497">
        <v>0.9484</v>
      </c>
      <c r="H29" s="497">
        <v>0.9484</v>
      </c>
      <c r="I29" s="497">
        <v>0.87</v>
      </c>
      <c r="J29" s="497">
        <v>0.87</v>
      </c>
      <c r="K29" s="497">
        <v>0.87</v>
      </c>
      <c r="L29" s="497">
        <v>0.87</v>
      </c>
      <c r="M29" s="502">
        <v>0.87</v>
      </c>
    </row>
    <row r="30" spans="1:13">
      <c r="A30" s="498">
        <v>3.7</v>
      </c>
      <c r="B30" s="497">
        <v>0.9933</v>
      </c>
      <c r="C30" s="497">
        <v>0.9933</v>
      </c>
      <c r="D30" s="497">
        <v>0.945</v>
      </c>
      <c r="E30" s="497">
        <v>0.945</v>
      </c>
      <c r="F30" s="497">
        <v>0.945</v>
      </c>
      <c r="G30" s="497">
        <v>0.945</v>
      </c>
      <c r="H30" s="497">
        <v>0.945</v>
      </c>
      <c r="I30" s="497">
        <v>0.8647</v>
      </c>
      <c r="J30" s="497">
        <v>0.8647</v>
      </c>
      <c r="K30" s="497">
        <v>0.8647</v>
      </c>
      <c r="L30" s="497">
        <v>0.8647</v>
      </c>
      <c r="M30" s="502">
        <v>0.8647</v>
      </c>
    </row>
    <row r="31" spans="1:13">
      <c r="A31" s="498">
        <v>3.8</v>
      </c>
      <c r="B31" s="497">
        <v>0.9901</v>
      </c>
      <c r="C31" s="497">
        <v>0.9901</v>
      </c>
      <c r="D31" s="497">
        <v>0.9417</v>
      </c>
      <c r="E31" s="497">
        <v>0.9417</v>
      </c>
      <c r="F31" s="497">
        <v>0.9417</v>
      </c>
      <c r="G31" s="497">
        <v>0.9417</v>
      </c>
      <c r="H31" s="497">
        <v>0.9417</v>
      </c>
      <c r="I31" s="497">
        <v>0.8596</v>
      </c>
      <c r="J31" s="497">
        <v>0.8596</v>
      </c>
      <c r="K31" s="497">
        <v>0.8596</v>
      </c>
      <c r="L31" s="497">
        <v>0.8596</v>
      </c>
      <c r="M31" s="502">
        <v>0.8596</v>
      </c>
    </row>
    <row r="32" spans="1:13">
      <c r="A32" s="498">
        <v>3.9</v>
      </c>
      <c r="B32" s="497">
        <v>0.987</v>
      </c>
      <c r="C32" s="497">
        <v>0.987</v>
      </c>
      <c r="D32" s="497">
        <v>0.9385</v>
      </c>
      <c r="E32" s="497">
        <v>0.9385</v>
      </c>
      <c r="F32" s="497">
        <v>0.9385</v>
      </c>
      <c r="G32" s="497">
        <v>0.9385</v>
      </c>
      <c r="H32" s="497">
        <v>0.9385</v>
      </c>
      <c r="I32" s="497">
        <v>0.8547</v>
      </c>
      <c r="J32" s="497">
        <v>0.8547</v>
      </c>
      <c r="K32" s="497">
        <v>0.8547</v>
      </c>
      <c r="L32" s="497">
        <v>0.8547</v>
      </c>
      <c r="M32" s="502">
        <v>0.8547</v>
      </c>
    </row>
    <row r="33" spans="1:13">
      <c r="A33" s="498">
        <v>4</v>
      </c>
      <c r="B33" s="497">
        <v>0.984</v>
      </c>
      <c r="C33" s="497">
        <v>0.984</v>
      </c>
      <c r="D33" s="497">
        <v>0.9354</v>
      </c>
      <c r="E33" s="497">
        <v>0.9354</v>
      </c>
      <c r="F33" s="497">
        <v>0.9354</v>
      </c>
      <c r="G33" s="497">
        <v>0.9354</v>
      </c>
      <c r="H33" s="497">
        <v>0.9354</v>
      </c>
      <c r="I33" s="497">
        <v>0.8499</v>
      </c>
      <c r="J33" s="497">
        <v>0.8499</v>
      </c>
      <c r="K33" s="497">
        <v>0.8499</v>
      </c>
      <c r="L33" s="497">
        <v>0.8499</v>
      </c>
      <c r="M33" s="502">
        <v>0.8499</v>
      </c>
    </row>
    <row r="34" spans="1:13">
      <c r="A34" s="498">
        <v>4.1</v>
      </c>
      <c r="B34" s="497">
        <v>0.9811</v>
      </c>
      <c r="C34" s="497">
        <v>0.9811</v>
      </c>
      <c r="D34" s="497">
        <v>0.9324</v>
      </c>
      <c r="E34" s="497">
        <v>0.9324</v>
      </c>
      <c r="F34" s="497">
        <v>0.9324</v>
      </c>
      <c r="G34" s="497">
        <v>0.9324</v>
      </c>
      <c r="H34" s="497">
        <v>0.9324</v>
      </c>
      <c r="I34" s="497">
        <v>0.8452</v>
      </c>
      <c r="J34" s="497">
        <v>0.8452</v>
      </c>
      <c r="K34" s="497">
        <v>0.8452</v>
      </c>
      <c r="L34" s="497">
        <v>0.8452</v>
      </c>
      <c r="M34" s="502">
        <v>0.8452</v>
      </c>
    </row>
    <row r="35" spans="1:13">
      <c r="A35" s="498">
        <v>4.2</v>
      </c>
      <c r="B35" s="497">
        <v>0.9783</v>
      </c>
      <c r="C35" s="497">
        <v>0.9783</v>
      </c>
      <c r="D35" s="497">
        <v>0.9295</v>
      </c>
      <c r="E35" s="497">
        <v>0.9295</v>
      </c>
      <c r="F35" s="497">
        <v>0.9295</v>
      </c>
      <c r="G35" s="497">
        <v>0.9295</v>
      </c>
      <c r="H35" s="497">
        <v>0.9295</v>
      </c>
      <c r="I35" s="497">
        <v>0.8406</v>
      </c>
      <c r="J35" s="497">
        <v>0.8406</v>
      </c>
      <c r="K35" s="497">
        <v>0.8406</v>
      </c>
      <c r="L35" s="497">
        <v>0.8406</v>
      </c>
      <c r="M35" s="502">
        <v>0.8406</v>
      </c>
    </row>
    <row r="36" spans="1:13">
      <c r="A36" s="498">
        <v>4.3</v>
      </c>
      <c r="B36" s="497">
        <v>0.9756</v>
      </c>
      <c r="C36" s="497">
        <v>0.9756</v>
      </c>
      <c r="D36" s="497">
        <v>0.9267</v>
      </c>
      <c r="E36" s="497">
        <v>0.9267</v>
      </c>
      <c r="F36" s="497">
        <v>0.9267</v>
      </c>
      <c r="G36" s="497">
        <v>0.9267</v>
      </c>
      <c r="H36" s="497">
        <v>0.9267</v>
      </c>
      <c r="I36" s="497">
        <v>0.8361</v>
      </c>
      <c r="J36" s="497">
        <v>0.8361</v>
      </c>
      <c r="K36" s="497">
        <v>0.8361</v>
      </c>
      <c r="L36" s="497">
        <v>0.8361</v>
      </c>
      <c r="M36" s="502">
        <v>0.8361</v>
      </c>
    </row>
    <row r="37" spans="1:13">
      <c r="A37" s="498">
        <v>4.4</v>
      </c>
      <c r="B37" s="497">
        <v>0.973</v>
      </c>
      <c r="C37" s="497">
        <v>0.973</v>
      </c>
      <c r="D37" s="497">
        <v>0.924</v>
      </c>
      <c r="E37" s="497">
        <v>0.924</v>
      </c>
      <c r="F37" s="497">
        <v>0.924</v>
      </c>
      <c r="G37" s="497">
        <v>0.924</v>
      </c>
      <c r="H37" s="497">
        <v>0.924</v>
      </c>
      <c r="I37" s="497">
        <v>0.8317</v>
      </c>
      <c r="J37" s="497">
        <v>0.8317</v>
      </c>
      <c r="K37" s="497">
        <v>0.8317</v>
      </c>
      <c r="L37" s="497">
        <v>0.8317</v>
      </c>
      <c r="M37" s="502">
        <v>0.8317</v>
      </c>
    </row>
    <row r="38" spans="1:13">
      <c r="A38" s="498">
        <v>4.5</v>
      </c>
      <c r="B38" s="497">
        <v>0.9705</v>
      </c>
      <c r="C38" s="497">
        <v>0.9705</v>
      </c>
      <c r="D38" s="497">
        <v>0.9213</v>
      </c>
      <c r="E38" s="497">
        <v>0.9213</v>
      </c>
      <c r="F38" s="497">
        <v>0.9213</v>
      </c>
      <c r="G38" s="497">
        <v>0.9213</v>
      </c>
      <c r="H38" s="497">
        <v>0.9213</v>
      </c>
      <c r="I38" s="497">
        <v>0.8274</v>
      </c>
      <c r="J38" s="497">
        <v>0.8274</v>
      </c>
      <c r="K38" s="497">
        <v>0.8274</v>
      </c>
      <c r="L38" s="497">
        <v>0.8274</v>
      </c>
      <c r="M38" s="502">
        <v>0.8274</v>
      </c>
    </row>
    <row r="39" spans="1:13">
      <c r="A39" s="498">
        <v>4.6</v>
      </c>
      <c r="B39" s="497">
        <v>0.9681</v>
      </c>
      <c r="C39" s="497">
        <v>0.9681</v>
      </c>
      <c r="D39" s="497">
        <v>0.9187</v>
      </c>
      <c r="E39" s="497">
        <v>0.9187</v>
      </c>
      <c r="F39" s="497">
        <v>0.9187</v>
      </c>
      <c r="G39" s="497">
        <v>0.9187</v>
      </c>
      <c r="H39" s="497">
        <v>0.9187</v>
      </c>
      <c r="I39" s="497">
        <v>0.8232</v>
      </c>
      <c r="J39" s="497">
        <v>0.8232</v>
      </c>
      <c r="K39" s="497">
        <v>0.8232</v>
      </c>
      <c r="L39" s="497">
        <v>0.8232</v>
      </c>
      <c r="M39" s="502">
        <v>0.8232</v>
      </c>
    </row>
    <row r="40" spans="1:13">
      <c r="A40" s="498">
        <v>4.7</v>
      </c>
      <c r="B40" s="497">
        <v>0.9658</v>
      </c>
      <c r="C40" s="497">
        <v>0.9658</v>
      </c>
      <c r="D40" s="497">
        <v>0.9161</v>
      </c>
      <c r="E40" s="497">
        <v>0.9161</v>
      </c>
      <c r="F40" s="497">
        <v>0.9161</v>
      </c>
      <c r="G40" s="497">
        <v>0.9161</v>
      </c>
      <c r="H40" s="497">
        <v>0.9161</v>
      </c>
      <c r="I40" s="497">
        <v>0.8191</v>
      </c>
      <c r="J40" s="497">
        <v>0.8191</v>
      </c>
      <c r="K40" s="497">
        <v>0.8191</v>
      </c>
      <c r="L40" s="497">
        <v>0.8191</v>
      </c>
      <c r="M40" s="502">
        <v>0.8191</v>
      </c>
    </row>
    <row r="41" spans="1:13">
      <c r="A41" s="498">
        <v>4.8</v>
      </c>
      <c r="B41" s="497">
        <v>0.9636</v>
      </c>
      <c r="C41" s="497">
        <v>0.9636</v>
      </c>
      <c r="D41" s="497">
        <v>0.9135</v>
      </c>
      <c r="E41" s="497">
        <v>0.9135</v>
      </c>
      <c r="F41" s="497">
        <v>0.9135</v>
      </c>
      <c r="G41" s="497">
        <v>0.9135</v>
      </c>
      <c r="H41" s="497">
        <v>0.9135</v>
      </c>
      <c r="I41" s="497">
        <v>0.8151</v>
      </c>
      <c r="J41" s="497">
        <v>0.8151</v>
      </c>
      <c r="K41" s="497">
        <v>0.8151</v>
      </c>
      <c r="L41" s="497">
        <v>0.8151</v>
      </c>
      <c r="M41" s="502">
        <v>0.8151</v>
      </c>
    </row>
    <row r="42" spans="1:13">
      <c r="A42" s="498">
        <v>4.9</v>
      </c>
      <c r="B42" s="497">
        <v>0.9615</v>
      </c>
      <c r="C42" s="497">
        <v>0.9615</v>
      </c>
      <c r="D42" s="497">
        <v>0.911</v>
      </c>
      <c r="E42" s="497">
        <v>0.911</v>
      </c>
      <c r="F42" s="497">
        <v>0.911</v>
      </c>
      <c r="G42" s="497">
        <v>0.911</v>
      </c>
      <c r="H42" s="497">
        <v>0.911</v>
      </c>
      <c r="I42" s="497">
        <v>0.8111</v>
      </c>
      <c r="J42" s="497">
        <v>0.8111</v>
      </c>
      <c r="K42" s="497">
        <v>0.8111</v>
      </c>
      <c r="L42" s="497">
        <v>0.8111</v>
      </c>
      <c r="M42" s="502">
        <v>0.8111</v>
      </c>
    </row>
    <row r="43" spans="1:13">
      <c r="A43" s="498">
        <v>5</v>
      </c>
      <c r="B43" s="497">
        <v>0.9594</v>
      </c>
      <c r="C43" s="497">
        <v>0.9594</v>
      </c>
      <c r="D43" s="497">
        <v>0.9085</v>
      </c>
      <c r="E43" s="497">
        <v>0.9085</v>
      </c>
      <c r="F43" s="497">
        <v>0.9085</v>
      </c>
      <c r="G43" s="497">
        <v>0.9085</v>
      </c>
      <c r="H43" s="497">
        <v>0.9085</v>
      </c>
      <c r="I43" s="497">
        <v>0.8072</v>
      </c>
      <c r="J43" s="497">
        <v>0.8072</v>
      </c>
      <c r="K43" s="497">
        <v>0.8072</v>
      </c>
      <c r="L43" s="497">
        <v>0.8072</v>
      </c>
      <c r="M43" s="502">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502">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502">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502">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502">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502">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502">
        <v>0.7847</v>
      </c>
    </row>
    <row r="50" spans="1:13">
      <c r="A50" s="498">
        <v>5.7</v>
      </c>
      <c r="B50" s="497">
        <v>0.9462</v>
      </c>
      <c r="C50" s="497">
        <v>0.9462</v>
      </c>
      <c r="D50" s="497">
        <v>0.8915</v>
      </c>
      <c r="E50" s="497">
        <v>0.8915</v>
      </c>
      <c r="F50" s="497">
        <v>0.8915</v>
      </c>
      <c r="G50" s="497">
        <v>0.8915</v>
      </c>
      <c r="H50" s="497">
        <v>0.8915</v>
      </c>
      <c r="I50" s="497">
        <v>0.7811</v>
      </c>
      <c r="J50" s="497">
        <v>0.7811</v>
      </c>
      <c r="K50" s="497">
        <v>0.7811</v>
      </c>
      <c r="L50" s="497">
        <v>0.7811</v>
      </c>
      <c r="M50" s="502">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502">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502">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502">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502">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502">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502">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502">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502">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502">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502">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502">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502">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502">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502">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502">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502">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502">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502">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502">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502">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502">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502">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502">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502">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502">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502">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502">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502">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502">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502">
        <v>0.6955</v>
      </c>
    </row>
    <row r="81" spans="1:13">
      <c r="A81" s="496">
        <v>8.8</v>
      </c>
      <c r="B81" s="497">
        <v>0.9006</v>
      </c>
      <c r="C81" s="497">
        <v>0.9006</v>
      </c>
      <c r="D81" s="497">
        <v>0.8283</v>
      </c>
      <c r="E81" s="497">
        <v>0.8283</v>
      </c>
      <c r="F81" s="497">
        <v>0.8283</v>
      </c>
      <c r="G81" s="497">
        <v>0.8283</v>
      </c>
      <c r="H81" s="497">
        <v>0.8283</v>
      </c>
      <c r="I81" s="497">
        <v>0.6932</v>
      </c>
      <c r="J81" s="497">
        <v>0.6932</v>
      </c>
      <c r="K81" s="497">
        <v>0.6932</v>
      </c>
      <c r="L81" s="497">
        <v>0.6932</v>
      </c>
      <c r="M81" s="502">
        <v>0.6932</v>
      </c>
    </row>
    <row r="82" spans="1:13">
      <c r="A82" s="496">
        <v>8.9</v>
      </c>
      <c r="B82" s="497">
        <v>0.8994</v>
      </c>
      <c r="C82" s="497">
        <v>0.8994</v>
      </c>
      <c r="D82" s="497">
        <v>0.8266</v>
      </c>
      <c r="E82" s="497">
        <v>0.8266</v>
      </c>
      <c r="F82" s="497">
        <v>0.8266</v>
      </c>
      <c r="G82" s="497">
        <v>0.8266</v>
      </c>
      <c r="H82" s="497">
        <v>0.8266</v>
      </c>
      <c r="I82" s="497">
        <v>0.691</v>
      </c>
      <c r="J82" s="497">
        <v>0.691</v>
      </c>
      <c r="K82" s="497">
        <v>0.691</v>
      </c>
      <c r="L82" s="497">
        <v>0.691</v>
      </c>
      <c r="M82" s="502">
        <v>0.691</v>
      </c>
    </row>
    <row r="83" spans="1:13">
      <c r="A83" s="498">
        <v>9</v>
      </c>
      <c r="B83" s="497">
        <v>0.8982</v>
      </c>
      <c r="C83" s="497">
        <v>0.8982</v>
      </c>
      <c r="D83" s="497">
        <v>0.8249</v>
      </c>
      <c r="E83" s="497">
        <v>0.8249</v>
      </c>
      <c r="F83" s="497">
        <v>0.8249</v>
      </c>
      <c r="G83" s="497">
        <v>0.8249</v>
      </c>
      <c r="H83" s="497">
        <v>0.8249</v>
      </c>
      <c r="I83" s="497">
        <v>0.6888</v>
      </c>
      <c r="J83" s="497">
        <v>0.6888</v>
      </c>
      <c r="K83" s="497">
        <v>0.6888</v>
      </c>
      <c r="L83" s="497">
        <v>0.6888</v>
      </c>
      <c r="M83" s="502">
        <v>0.6888</v>
      </c>
    </row>
    <row r="84" spans="1:13">
      <c r="A84" s="498">
        <v>9.1</v>
      </c>
      <c r="B84" s="497">
        <v>0.897</v>
      </c>
      <c r="C84" s="497">
        <v>0.897</v>
      </c>
      <c r="D84" s="497">
        <v>0.8232</v>
      </c>
      <c r="E84" s="497">
        <v>0.8232</v>
      </c>
      <c r="F84" s="497">
        <v>0.8232</v>
      </c>
      <c r="G84" s="497">
        <v>0.8232</v>
      </c>
      <c r="H84" s="497">
        <v>0.8232</v>
      </c>
      <c r="I84" s="497">
        <v>0.6866</v>
      </c>
      <c r="J84" s="497">
        <v>0.6866</v>
      </c>
      <c r="K84" s="497">
        <v>0.6866</v>
      </c>
      <c r="L84" s="497">
        <v>0.6866</v>
      </c>
      <c r="M84" s="502">
        <v>0.6866</v>
      </c>
    </row>
    <row r="85" spans="1:13">
      <c r="A85" s="498">
        <v>9.2</v>
      </c>
      <c r="B85" s="497">
        <v>0.8958</v>
      </c>
      <c r="C85" s="497">
        <v>0.8958</v>
      </c>
      <c r="D85" s="497">
        <v>0.8215</v>
      </c>
      <c r="E85" s="497">
        <v>0.8215</v>
      </c>
      <c r="F85" s="497">
        <v>0.8215</v>
      </c>
      <c r="G85" s="497">
        <v>0.8215</v>
      </c>
      <c r="H85" s="497">
        <v>0.8215</v>
      </c>
      <c r="I85" s="497">
        <v>0.6845</v>
      </c>
      <c r="J85" s="497">
        <v>0.6845</v>
      </c>
      <c r="K85" s="497">
        <v>0.6845</v>
      </c>
      <c r="L85" s="497">
        <v>0.6845</v>
      </c>
      <c r="M85" s="502">
        <v>0.6845</v>
      </c>
    </row>
    <row r="86" spans="1:13">
      <c r="A86" s="498">
        <v>9.3</v>
      </c>
      <c r="B86" s="497">
        <v>0.8946</v>
      </c>
      <c r="C86" s="497">
        <v>0.8946</v>
      </c>
      <c r="D86" s="497">
        <v>0.8199</v>
      </c>
      <c r="E86" s="497">
        <v>0.8199</v>
      </c>
      <c r="F86" s="497">
        <v>0.8199</v>
      </c>
      <c r="G86" s="497">
        <v>0.8199</v>
      </c>
      <c r="H86" s="497">
        <v>0.8199</v>
      </c>
      <c r="I86" s="497">
        <v>0.6824</v>
      </c>
      <c r="J86" s="497">
        <v>0.6824</v>
      </c>
      <c r="K86" s="497">
        <v>0.6824</v>
      </c>
      <c r="L86" s="497">
        <v>0.6824</v>
      </c>
      <c r="M86" s="502">
        <v>0.6824</v>
      </c>
    </row>
    <row r="87" spans="1:13">
      <c r="A87" s="498">
        <v>9.4</v>
      </c>
      <c r="B87" s="497">
        <v>0.8934</v>
      </c>
      <c r="C87" s="497">
        <v>0.8934</v>
      </c>
      <c r="D87" s="497">
        <v>0.8183</v>
      </c>
      <c r="E87" s="497">
        <v>0.8183</v>
      </c>
      <c r="F87" s="497">
        <v>0.8183</v>
      </c>
      <c r="G87" s="497">
        <v>0.8183</v>
      </c>
      <c r="H87" s="497">
        <v>0.8183</v>
      </c>
      <c r="I87" s="497">
        <v>0.6803</v>
      </c>
      <c r="J87" s="497">
        <v>0.6803</v>
      </c>
      <c r="K87" s="497">
        <v>0.6803</v>
      </c>
      <c r="L87" s="497">
        <v>0.6803</v>
      </c>
      <c r="M87" s="502">
        <v>0.6803</v>
      </c>
    </row>
    <row r="88" spans="1:13">
      <c r="A88" s="498">
        <v>9.5</v>
      </c>
      <c r="B88" s="497">
        <v>0.8923</v>
      </c>
      <c r="C88" s="497">
        <v>0.8923</v>
      </c>
      <c r="D88" s="497">
        <v>0.8167</v>
      </c>
      <c r="E88" s="497">
        <v>0.8167</v>
      </c>
      <c r="F88" s="497">
        <v>0.8167</v>
      </c>
      <c r="G88" s="497">
        <v>0.8167</v>
      </c>
      <c r="H88" s="497">
        <v>0.8167</v>
      </c>
      <c r="I88" s="497">
        <v>0.6783</v>
      </c>
      <c r="J88" s="497">
        <v>0.6783</v>
      </c>
      <c r="K88" s="497">
        <v>0.6783</v>
      </c>
      <c r="L88" s="497">
        <v>0.6783</v>
      </c>
      <c r="M88" s="502">
        <v>0.6783</v>
      </c>
    </row>
    <row r="89" spans="1:13">
      <c r="A89" s="498">
        <v>9.6</v>
      </c>
      <c r="B89" s="497">
        <v>0.8912</v>
      </c>
      <c r="C89" s="497">
        <v>0.8912</v>
      </c>
      <c r="D89" s="497">
        <v>0.8151</v>
      </c>
      <c r="E89" s="497">
        <v>0.8151</v>
      </c>
      <c r="F89" s="497">
        <v>0.8151</v>
      </c>
      <c r="G89" s="497">
        <v>0.8151</v>
      </c>
      <c r="H89" s="497">
        <v>0.8151</v>
      </c>
      <c r="I89" s="497">
        <v>0.6763</v>
      </c>
      <c r="J89" s="497">
        <v>0.6763</v>
      </c>
      <c r="K89" s="497">
        <v>0.6763</v>
      </c>
      <c r="L89" s="497">
        <v>0.6763</v>
      </c>
      <c r="M89" s="502">
        <v>0.6763</v>
      </c>
    </row>
    <row r="90" spans="1:13">
      <c r="A90" s="498">
        <v>9.7</v>
      </c>
      <c r="B90" s="497">
        <v>0.8901</v>
      </c>
      <c r="C90" s="497">
        <v>0.8901</v>
      </c>
      <c r="D90" s="497">
        <v>0.8135</v>
      </c>
      <c r="E90" s="497">
        <v>0.8135</v>
      </c>
      <c r="F90" s="497">
        <v>0.8135</v>
      </c>
      <c r="G90" s="497">
        <v>0.8135</v>
      </c>
      <c r="H90" s="497">
        <v>0.8135</v>
      </c>
      <c r="I90" s="497">
        <v>0.6743</v>
      </c>
      <c r="J90" s="497">
        <v>0.6743</v>
      </c>
      <c r="K90" s="497">
        <v>0.6743</v>
      </c>
      <c r="L90" s="497">
        <v>0.6743</v>
      </c>
      <c r="M90" s="502">
        <v>0.6743</v>
      </c>
    </row>
    <row r="91" spans="1:13">
      <c r="A91" s="498">
        <v>9.8</v>
      </c>
      <c r="B91" s="497">
        <v>0.889</v>
      </c>
      <c r="C91" s="497">
        <v>0.889</v>
      </c>
      <c r="D91" s="497">
        <v>0.812</v>
      </c>
      <c r="E91" s="497">
        <v>0.812</v>
      </c>
      <c r="F91" s="497">
        <v>0.812</v>
      </c>
      <c r="G91" s="497">
        <v>0.812</v>
      </c>
      <c r="H91" s="497">
        <v>0.812</v>
      </c>
      <c r="I91" s="497">
        <v>0.6724</v>
      </c>
      <c r="J91" s="497">
        <v>0.6724</v>
      </c>
      <c r="K91" s="497">
        <v>0.6724</v>
      </c>
      <c r="L91" s="497">
        <v>0.6724</v>
      </c>
      <c r="M91" s="502">
        <v>0.6724</v>
      </c>
    </row>
    <row r="92" ht="14.75" spans="1:13">
      <c r="A92" s="505">
        <v>9.9</v>
      </c>
      <c r="B92" s="506">
        <v>0.8879</v>
      </c>
      <c r="C92" s="506">
        <v>0.8879</v>
      </c>
      <c r="D92" s="506">
        <v>0.8105</v>
      </c>
      <c r="E92" s="506">
        <v>0.8105</v>
      </c>
      <c r="F92" s="506">
        <v>0.8105</v>
      </c>
      <c r="G92" s="506">
        <v>0.8105</v>
      </c>
      <c r="H92" s="506">
        <v>0.8105</v>
      </c>
      <c r="I92" s="506">
        <v>0.6705</v>
      </c>
      <c r="J92" s="506">
        <v>0.6705</v>
      </c>
      <c r="K92" s="506">
        <v>0.6705</v>
      </c>
      <c r="L92" s="506">
        <v>0.6705</v>
      </c>
      <c r="M92" s="507">
        <v>0.6705</v>
      </c>
    </row>
    <row r="93" ht="15.75" spans="1:13">
      <c r="A93" s="492" t="s">
        <v>2161</v>
      </c>
      <c r="B93" s="492"/>
      <c r="C93" s="492"/>
      <c r="D93" s="492"/>
      <c r="E93" s="492"/>
      <c r="F93" s="492"/>
      <c r="G93" s="492"/>
      <c r="H93" s="492"/>
      <c r="I93" s="492"/>
      <c r="J93" s="492"/>
      <c r="K93" s="492"/>
      <c r="L93" s="492"/>
      <c r="M93" s="492"/>
    </row>
    <row r="94" spans="1:20">
      <c r="A94" s="493" t="s">
        <v>2156</v>
      </c>
      <c r="B94" s="494" t="s">
        <v>230</v>
      </c>
      <c r="C94" s="494" t="s">
        <v>241</v>
      </c>
      <c r="D94" s="494" t="s">
        <v>251</v>
      </c>
      <c r="E94" s="494" t="s">
        <v>259</v>
      </c>
      <c r="F94" s="494" t="s">
        <v>267</v>
      </c>
      <c r="G94" s="494" t="s">
        <v>273</v>
      </c>
      <c r="H94" s="495" t="s">
        <v>278</v>
      </c>
      <c r="I94" s="495" t="s">
        <v>284</v>
      </c>
      <c r="J94" s="500" t="s">
        <v>288</v>
      </c>
      <c r="K94" s="500" t="s">
        <v>292</v>
      </c>
      <c r="L94" s="500" t="s">
        <v>296</v>
      </c>
      <c r="M94" s="501" t="s">
        <v>300</v>
      </c>
      <c r="N94" s="491">
        <f>SUMPRODUCT((A95:A184=ROUNDDOWN(基准地价修正!G3,1))*(B94:M94=基准地价修正!G2)*(B95:M184))</f>
        <v>0</v>
      </c>
      <c r="Q94" s="504" t="s">
        <v>2157</v>
      </c>
      <c r="R94" s="504" t="s">
        <v>2158</v>
      </c>
      <c r="S94" s="504" t="s">
        <v>2159</v>
      </c>
      <c r="T94" s="504" t="s">
        <v>2160</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502">
        <v>1.2302</v>
      </c>
      <c r="Q95" s="504">
        <v>10</v>
      </c>
      <c r="R95" s="504">
        <f>ROUND(0.993-0.0112*Q95,4)</f>
        <v>0.881</v>
      </c>
      <c r="S95" s="504">
        <f>ROUND(0.9415-0.0142*Q95,4)</f>
        <v>0.7995</v>
      </c>
      <c r="T95" s="504">
        <f>ROUND(0.8438-0.0182*Q95,4)</f>
        <v>0.6618</v>
      </c>
    </row>
    <row r="96" spans="1:13">
      <c r="A96" s="496">
        <v>1.1</v>
      </c>
      <c r="B96" s="497">
        <v>1.231</v>
      </c>
      <c r="C96" s="497">
        <v>1.231</v>
      </c>
      <c r="D96" s="497">
        <v>1.1947</v>
      </c>
      <c r="E96" s="497">
        <v>1.1947</v>
      </c>
      <c r="F96" s="497">
        <v>1.1947</v>
      </c>
      <c r="G96" s="497">
        <v>1.1947</v>
      </c>
      <c r="H96" s="497">
        <v>1.1947</v>
      </c>
      <c r="I96" s="497">
        <v>1.2008</v>
      </c>
      <c r="J96" s="497">
        <v>1.2008</v>
      </c>
      <c r="K96" s="497">
        <v>1.2008</v>
      </c>
      <c r="L96" s="497">
        <v>1.2008</v>
      </c>
      <c r="M96" s="502">
        <v>1.2008</v>
      </c>
    </row>
    <row r="97" spans="1:13">
      <c r="A97" s="496">
        <v>1.2</v>
      </c>
      <c r="B97" s="497">
        <v>1.213</v>
      </c>
      <c r="C97" s="497">
        <v>1.213</v>
      </c>
      <c r="D97" s="497">
        <v>1.1748</v>
      </c>
      <c r="E97" s="497">
        <v>1.1748</v>
      </c>
      <c r="F97" s="497">
        <v>1.1748</v>
      </c>
      <c r="G97" s="497">
        <v>1.1748</v>
      </c>
      <c r="H97" s="497">
        <v>1.1748</v>
      </c>
      <c r="I97" s="497">
        <v>1.173</v>
      </c>
      <c r="J97" s="497">
        <v>1.173</v>
      </c>
      <c r="K97" s="497">
        <v>1.173</v>
      </c>
      <c r="L97" s="497">
        <v>1.173</v>
      </c>
      <c r="M97" s="502">
        <v>1.173</v>
      </c>
    </row>
    <row r="98" spans="1:13">
      <c r="A98" s="496">
        <v>1.3</v>
      </c>
      <c r="B98" s="497">
        <v>1.196</v>
      </c>
      <c r="C98" s="497">
        <v>1.196</v>
      </c>
      <c r="D98" s="497">
        <v>1.156</v>
      </c>
      <c r="E98" s="497">
        <v>1.156</v>
      </c>
      <c r="F98" s="497">
        <v>1.156</v>
      </c>
      <c r="G98" s="497">
        <v>1.156</v>
      </c>
      <c r="H98" s="497">
        <v>1.156</v>
      </c>
      <c r="I98" s="497">
        <v>1.1468</v>
      </c>
      <c r="J98" s="497">
        <v>1.1468</v>
      </c>
      <c r="K98" s="497">
        <v>1.1468</v>
      </c>
      <c r="L98" s="497">
        <v>1.1468</v>
      </c>
      <c r="M98" s="502">
        <v>1.1468</v>
      </c>
    </row>
    <row r="99" spans="1:13">
      <c r="A99" s="496">
        <v>1.4</v>
      </c>
      <c r="B99" s="497">
        <v>1.18</v>
      </c>
      <c r="C99" s="497">
        <v>1.18</v>
      </c>
      <c r="D99" s="497">
        <v>1.1382</v>
      </c>
      <c r="E99" s="497">
        <v>1.1382</v>
      </c>
      <c r="F99" s="497">
        <v>1.1382</v>
      </c>
      <c r="G99" s="497">
        <v>1.1382</v>
      </c>
      <c r="H99" s="497">
        <v>1.1382</v>
      </c>
      <c r="I99" s="497">
        <v>1.122</v>
      </c>
      <c r="J99" s="497">
        <v>1.122</v>
      </c>
      <c r="K99" s="497">
        <v>1.122</v>
      </c>
      <c r="L99" s="497">
        <v>1.122</v>
      </c>
      <c r="M99" s="502">
        <v>1.122</v>
      </c>
    </row>
    <row r="100" spans="1:13">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502">
        <v>1.0985</v>
      </c>
    </row>
    <row r="101" spans="1:13">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502">
        <v>1.0764</v>
      </c>
    </row>
    <row r="102" spans="1:13">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502">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502">
        <v>1.0359</v>
      </c>
      <c r="N103" s="49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502">
        <v>1.0174</v>
      </c>
      <c r="N104" s="499"/>
    </row>
    <row r="105" spans="1:13">
      <c r="A105" s="496">
        <v>2</v>
      </c>
      <c r="B105" s="497">
        <v>1.1017</v>
      </c>
      <c r="C105" s="497">
        <v>1.1017</v>
      </c>
      <c r="D105" s="497">
        <v>1.0513</v>
      </c>
      <c r="E105" s="497">
        <v>1.0513</v>
      </c>
      <c r="F105" s="497">
        <v>1.0513</v>
      </c>
      <c r="G105" s="497">
        <v>1.0513</v>
      </c>
      <c r="H105" s="497">
        <v>1.0513</v>
      </c>
      <c r="I105" s="497">
        <v>1</v>
      </c>
      <c r="J105" s="497">
        <v>1</v>
      </c>
      <c r="K105" s="497">
        <v>1</v>
      </c>
      <c r="L105" s="497">
        <v>1</v>
      </c>
      <c r="M105" s="502">
        <v>1</v>
      </c>
    </row>
    <row r="106" spans="1:13">
      <c r="A106" s="498">
        <v>2.1</v>
      </c>
      <c r="B106" s="497">
        <v>1.0913</v>
      </c>
      <c r="C106" s="497">
        <v>1.0913</v>
      </c>
      <c r="D106" s="497">
        <v>1.0397</v>
      </c>
      <c r="E106" s="497">
        <v>1.0397</v>
      </c>
      <c r="F106" s="497">
        <v>1.0397</v>
      </c>
      <c r="G106" s="497">
        <v>1.0397</v>
      </c>
      <c r="H106" s="497">
        <v>1.0397</v>
      </c>
      <c r="I106" s="497">
        <v>0.9836</v>
      </c>
      <c r="J106" s="497">
        <v>0.9836</v>
      </c>
      <c r="K106" s="497">
        <v>0.9836</v>
      </c>
      <c r="L106" s="497">
        <v>0.9836</v>
      </c>
      <c r="M106" s="502">
        <v>0.9836</v>
      </c>
    </row>
    <row r="107" spans="1:13">
      <c r="A107" s="498">
        <v>2.2</v>
      </c>
      <c r="B107" s="497">
        <v>1.0815</v>
      </c>
      <c r="C107" s="497">
        <v>1.0815</v>
      </c>
      <c r="D107" s="497">
        <v>1.0288</v>
      </c>
      <c r="E107" s="497">
        <v>1.0288</v>
      </c>
      <c r="F107" s="497">
        <v>1.0288</v>
      </c>
      <c r="G107" s="497">
        <v>1.0288</v>
      </c>
      <c r="H107" s="497">
        <v>1.0288</v>
      </c>
      <c r="I107" s="497">
        <v>0.9682</v>
      </c>
      <c r="J107" s="497">
        <v>0.9682</v>
      </c>
      <c r="K107" s="497">
        <v>0.9682</v>
      </c>
      <c r="L107" s="497">
        <v>0.9682</v>
      </c>
      <c r="M107" s="502">
        <v>0.9682</v>
      </c>
    </row>
    <row r="108" spans="1:13">
      <c r="A108" s="498">
        <v>2.3</v>
      </c>
      <c r="B108" s="497">
        <v>1.0724</v>
      </c>
      <c r="C108" s="497">
        <v>1.0724</v>
      </c>
      <c r="D108" s="497">
        <v>1.0186</v>
      </c>
      <c r="E108" s="497">
        <v>1.0186</v>
      </c>
      <c r="F108" s="497">
        <v>1.0186</v>
      </c>
      <c r="G108" s="497">
        <v>1.0186</v>
      </c>
      <c r="H108" s="497">
        <v>1.0186</v>
      </c>
      <c r="I108" s="497">
        <v>0.9537</v>
      </c>
      <c r="J108" s="497">
        <v>0.9537</v>
      </c>
      <c r="K108" s="497">
        <v>0.9537</v>
      </c>
      <c r="L108" s="497">
        <v>0.9537</v>
      </c>
      <c r="M108" s="502">
        <v>0.9537</v>
      </c>
    </row>
    <row r="109" spans="1:13">
      <c r="A109" s="498">
        <v>2.4</v>
      </c>
      <c r="B109" s="497">
        <v>1.0638</v>
      </c>
      <c r="C109" s="497">
        <v>1.0638</v>
      </c>
      <c r="D109" s="497">
        <v>1.009</v>
      </c>
      <c r="E109" s="497">
        <v>1.009</v>
      </c>
      <c r="F109" s="497">
        <v>1.009</v>
      </c>
      <c r="G109" s="497">
        <v>1.009</v>
      </c>
      <c r="H109" s="497">
        <v>1.009</v>
      </c>
      <c r="I109" s="497">
        <v>0.9401</v>
      </c>
      <c r="J109" s="497">
        <v>0.9401</v>
      </c>
      <c r="K109" s="497">
        <v>0.9401</v>
      </c>
      <c r="L109" s="497">
        <v>0.9401</v>
      </c>
      <c r="M109" s="502">
        <v>0.9401</v>
      </c>
    </row>
    <row r="110" spans="1:13">
      <c r="A110" s="498">
        <v>2.5</v>
      </c>
      <c r="B110" s="497">
        <v>1.0558</v>
      </c>
      <c r="C110" s="497">
        <v>1.0558</v>
      </c>
      <c r="D110" s="497">
        <v>1</v>
      </c>
      <c r="E110" s="497">
        <v>1</v>
      </c>
      <c r="F110" s="497">
        <v>1</v>
      </c>
      <c r="G110" s="497">
        <v>1</v>
      </c>
      <c r="H110" s="497">
        <v>1</v>
      </c>
      <c r="I110" s="497">
        <v>0.9274</v>
      </c>
      <c r="J110" s="497">
        <v>0.9274</v>
      </c>
      <c r="K110" s="497">
        <v>0.9274</v>
      </c>
      <c r="L110" s="497">
        <v>0.9274</v>
      </c>
      <c r="M110" s="502">
        <v>0.9274</v>
      </c>
    </row>
    <row r="111" spans="1:13">
      <c r="A111" s="498">
        <v>2.6</v>
      </c>
      <c r="B111" s="497">
        <v>1.0483</v>
      </c>
      <c r="C111" s="497">
        <v>1.0483</v>
      </c>
      <c r="D111" s="497">
        <v>0.9916</v>
      </c>
      <c r="E111" s="497">
        <v>0.9916</v>
      </c>
      <c r="F111" s="497">
        <v>0.9916</v>
      </c>
      <c r="G111" s="497">
        <v>0.9916</v>
      </c>
      <c r="H111" s="497">
        <v>0.9916</v>
      </c>
      <c r="I111" s="497">
        <v>0.9154</v>
      </c>
      <c r="J111" s="497">
        <v>0.9154</v>
      </c>
      <c r="K111" s="497">
        <v>0.9154</v>
      </c>
      <c r="L111" s="497">
        <v>0.9154</v>
      </c>
      <c r="M111" s="502">
        <v>0.9154</v>
      </c>
    </row>
    <row r="112" spans="1:13">
      <c r="A112" s="498">
        <v>2.7</v>
      </c>
      <c r="B112" s="497">
        <v>1.0413</v>
      </c>
      <c r="C112" s="497">
        <v>1.0413</v>
      </c>
      <c r="D112" s="497">
        <v>0.9837</v>
      </c>
      <c r="E112" s="497">
        <v>0.9837</v>
      </c>
      <c r="F112" s="497">
        <v>0.9837</v>
      </c>
      <c r="G112" s="497">
        <v>0.9837</v>
      </c>
      <c r="H112" s="497">
        <v>0.9837</v>
      </c>
      <c r="I112" s="497">
        <v>0.9043</v>
      </c>
      <c r="J112" s="497">
        <v>0.9043</v>
      </c>
      <c r="K112" s="497">
        <v>0.9043</v>
      </c>
      <c r="L112" s="497">
        <v>0.9043</v>
      </c>
      <c r="M112" s="502">
        <v>0.9043</v>
      </c>
    </row>
    <row r="113" spans="1:13">
      <c r="A113" s="498">
        <v>2.8</v>
      </c>
      <c r="B113" s="497">
        <v>1.0348</v>
      </c>
      <c r="C113" s="497">
        <v>1.0348</v>
      </c>
      <c r="D113" s="497">
        <v>0.9764</v>
      </c>
      <c r="E113" s="497">
        <v>0.9764</v>
      </c>
      <c r="F113" s="497">
        <v>0.9764</v>
      </c>
      <c r="G113" s="497">
        <v>0.9764</v>
      </c>
      <c r="H113" s="497">
        <v>0.9764</v>
      </c>
      <c r="I113" s="497">
        <v>0.8937</v>
      </c>
      <c r="J113" s="497">
        <v>0.8937</v>
      </c>
      <c r="K113" s="497">
        <v>0.8937</v>
      </c>
      <c r="L113" s="497">
        <v>0.8937</v>
      </c>
      <c r="M113" s="502">
        <v>0.8937</v>
      </c>
    </row>
    <row r="114" spans="1:13">
      <c r="A114" s="498">
        <v>2.9</v>
      </c>
      <c r="B114" s="497">
        <v>1.0287</v>
      </c>
      <c r="C114" s="497">
        <v>1.0287</v>
      </c>
      <c r="D114" s="497">
        <v>0.9695</v>
      </c>
      <c r="E114" s="497">
        <v>0.9695</v>
      </c>
      <c r="F114" s="497">
        <v>0.9695</v>
      </c>
      <c r="G114" s="497">
        <v>0.9695</v>
      </c>
      <c r="H114" s="497">
        <v>0.9695</v>
      </c>
      <c r="I114" s="497">
        <v>0.8839</v>
      </c>
      <c r="J114" s="497">
        <v>0.8839</v>
      </c>
      <c r="K114" s="497">
        <v>0.8839</v>
      </c>
      <c r="L114" s="497">
        <v>0.8839</v>
      </c>
      <c r="M114" s="502">
        <v>0.8839</v>
      </c>
    </row>
    <row r="115" spans="1:13">
      <c r="A115" s="498">
        <v>3</v>
      </c>
      <c r="B115" s="497">
        <v>1.023</v>
      </c>
      <c r="C115" s="497">
        <v>1.023</v>
      </c>
      <c r="D115" s="497">
        <v>0.9631</v>
      </c>
      <c r="E115" s="497">
        <v>0.9631</v>
      </c>
      <c r="F115" s="497">
        <v>0.9631</v>
      </c>
      <c r="G115" s="497">
        <v>0.9631</v>
      </c>
      <c r="H115" s="497">
        <v>0.9631</v>
      </c>
      <c r="I115" s="497">
        <v>0.8746</v>
      </c>
      <c r="J115" s="497">
        <v>0.8746</v>
      </c>
      <c r="K115" s="497">
        <v>0.8746</v>
      </c>
      <c r="L115" s="497">
        <v>0.8746</v>
      </c>
      <c r="M115" s="502">
        <v>0.8746</v>
      </c>
    </row>
    <row r="116" spans="1:13">
      <c r="A116" s="498">
        <v>3.1</v>
      </c>
      <c r="B116" s="497">
        <v>1.0177</v>
      </c>
      <c r="C116" s="497">
        <v>1.0177</v>
      </c>
      <c r="D116" s="497">
        <v>0.9571</v>
      </c>
      <c r="E116" s="497">
        <v>0.9571</v>
      </c>
      <c r="F116" s="497">
        <v>0.9571</v>
      </c>
      <c r="G116" s="497">
        <v>0.9571</v>
      </c>
      <c r="H116" s="497">
        <v>0.9571</v>
      </c>
      <c r="I116" s="497">
        <v>0.8659</v>
      </c>
      <c r="J116" s="497">
        <v>0.8659</v>
      </c>
      <c r="K116" s="497">
        <v>0.8659</v>
      </c>
      <c r="L116" s="497">
        <v>0.8659</v>
      </c>
      <c r="M116" s="502">
        <v>0.8659</v>
      </c>
    </row>
    <row r="117" spans="1:13">
      <c r="A117" s="498">
        <v>3.2</v>
      </c>
      <c r="B117" s="497">
        <v>1.0128</v>
      </c>
      <c r="C117" s="497">
        <v>1.0128</v>
      </c>
      <c r="D117" s="497">
        <v>0.9516</v>
      </c>
      <c r="E117" s="497">
        <v>0.9516</v>
      </c>
      <c r="F117" s="497">
        <v>0.9516</v>
      </c>
      <c r="G117" s="497">
        <v>0.9516</v>
      </c>
      <c r="H117" s="497">
        <v>0.9516</v>
      </c>
      <c r="I117" s="497">
        <v>0.8578</v>
      </c>
      <c r="J117" s="497">
        <v>0.8578</v>
      </c>
      <c r="K117" s="497">
        <v>0.8578</v>
      </c>
      <c r="L117" s="497">
        <v>0.8578</v>
      </c>
      <c r="M117" s="502">
        <v>0.8578</v>
      </c>
    </row>
    <row r="118" spans="1:13">
      <c r="A118" s="498">
        <v>3.3</v>
      </c>
      <c r="B118" s="497">
        <v>1.0082</v>
      </c>
      <c r="C118" s="497">
        <v>1.0082</v>
      </c>
      <c r="D118" s="497">
        <v>0.9464</v>
      </c>
      <c r="E118" s="497">
        <v>0.9464</v>
      </c>
      <c r="F118" s="497">
        <v>0.9464</v>
      </c>
      <c r="G118" s="497">
        <v>0.9464</v>
      </c>
      <c r="H118" s="497">
        <v>0.9464</v>
      </c>
      <c r="I118" s="497">
        <v>0.8503</v>
      </c>
      <c r="J118" s="497">
        <v>0.8503</v>
      </c>
      <c r="K118" s="497">
        <v>0.8503</v>
      </c>
      <c r="L118" s="497">
        <v>0.8503</v>
      </c>
      <c r="M118" s="502">
        <v>0.8503</v>
      </c>
    </row>
    <row r="119" spans="1:13">
      <c r="A119" s="498">
        <v>3.4</v>
      </c>
      <c r="B119" s="497">
        <v>1.004</v>
      </c>
      <c r="C119" s="497">
        <v>1.004</v>
      </c>
      <c r="D119" s="497">
        <v>0.9415</v>
      </c>
      <c r="E119" s="497">
        <v>0.9415</v>
      </c>
      <c r="F119" s="497">
        <v>0.9415</v>
      </c>
      <c r="G119" s="497">
        <v>0.9415</v>
      </c>
      <c r="H119" s="497">
        <v>0.9415</v>
      </c>
      <c r="I119" s="497">
        <v>0.8432</v>
      </c>
      <c r="J119" s="497">
        <v>0.8432</v>
      </c>
      <c r="K119" s="497">
        <v>0.8432</v>
      </c>
      <c r="L119" s="497">
        <v>0.8432</v>
      </c>
      <c r="M119" s="502">
        <v>0.8432</v>
      </c>
    </row>
    <row r="120" spans="1:13">
      <c r="A120" s="498">
        <v>3.5</v>
      </c>
      <c r="B120" s="497">
        <v>1</v>
      </c>
      <c r="C120" s="497">
        <v>1</v>
      </c>
      <c r="D120" s="497">
        <v>0.937</v>
      </c>
      <c r="E120" s="497">
        <v>0.937</v>
      </c>
      <c r="F120" s="497">
        <v>0.937</v>
      </c>
      <c r="G120" s="497">
        <v>0.937</v>
      </c>
      <c r="H120" s="497">
        <v>0.937</v>
      </c>
      <c r="I120" s="497">
        <v>0.8366</v>
      </c>
      <c r="J120" s="497">
        <v>0.8366</v>
      </c>
      <c r="K120" s="497">
        <v>0.8366</v>
      </c>
      <c r="L120" s="497">
        <v>0.8366</v>
      </c>
      <c r="M120" s="502">
        <v>0.8366</v>
      </c>
    </row>
    <row r="121" spans="1:13">
      <c r="A121" s="498">
        <v>3.6</v>
      </c>
      <c r="B121" s="497">
        <v>0.9963</v>
      </c>
      <c r="C121" s="497">
        <v>0.9963</v>
      </c>
      <c r="D121" s="497">
        <v>0.9328</v>
      </c>
      <c r="E121" s="497">
        <v>0.9328</v>
      </c>
      <c r="F121" s="497">
        <v>0.9328</v>
      </c>
      <c r="G121" s="497">
        <v>0.9328</v>
      </c>
      <c r="H121" s="497">
        <v>0.9328</v>
      </c>
      <c r="I121" s="497">
        <v>0.8304</v>
      </c>
      <c r="J121" s="497">
        <v>0.8304</v>
      </c>
      <c r="K121" s="497">
        <v>0.8304</v>
      </c>
      <c r="L121" s="497">
        <v>0.8304</v>
      </c>
      <c r="M121" s="502">
        <v>0.8304</v>
      </c>
    </row>
    <row r="122" spans="1:13">
      <c r="A122" s="498">
        <v>3.7</v>
      </c>
      <c r="B122" s="497">
        <v>0.9929</v>
      </c>
      <c r="C122" s="497">
        <v>0.9929</v>
      </c>
      <c r="D122" s="497">
        <v>0.9288</v>
      </c>
      <c r="E122" s="497">
        <v>0.9288</v>
      </c>
      <c r="F122" s="497">
        <v>0.9288</v>
      </c>
      <c r="G122" s="497">
        <v>0.9288</v>
      </c>
      <c r="H122" s="497">
        <v>0.9288</v>
      </c>
      <c r="I122" s="497">
        <v>0.8246</v>
      </c>
      <c r="J122" s="497">
        <v>0.8246</v>
      </c>
      <c r="K122" s="497">
        <v>0.8246</v>
      </c>
      <c r="L122" s="497">
        <v>0.8246</v>
      </c>
      <c r="M122" s="502">
        <v>0.8246</v>
      </c>
    </row>
    <row r="123" spans="1:13">
      <c r="A123" s="498">
        <v>3.8</v>
      </c>
      <c r="B123" s="497">
        <v>0.9897</v>
      </c>
      <c r="C123" s="497">
        <v>0.9897</v>
      </c>
      <c r="D123" s="497">
        <v>0.9252</v>
      </c>
      <c r="E123" s="497">
        <v>0.9252</v>
      </c>
      <c r="F123" s="497">
        <v>0.9252</v>
      </c>
      <c r="G123" s="497">
        <v>0.9252</v>
      </c>
      <c r="H123" s="497">
        <v>0.9252</v>
      </c>
      <c r="I123" s="497">
        <v>0.8192</v>
      </c>
      <c r="J123" s="497">
        <v>0.8192</v>
      </c>
      <c r="K123" s="497">
        <v>0.8192</v>
      </c>
      <c r="L123" s="497">
        <v>0.8192</v>
      </c>
      <c r="M123" s="502">
        <v>0.8192</v>
      </c>
    </row>
    <row r="124" spans="1:13">
      <c r="A124" s="498">
        <v>3.9</v>
      </c>
      <c r="B124" s="497">
        <v>0.9867</v>
      </c>
      <c r="C124" s="497">
        <v>0.9867</v>
      </c>
      <c r="D124" s="497">
        <v>0.9218</v>
      </c>
      <c r="E124" s="497">
        <v>0.9218</v>
      </c>
      <c r="F124" s="497">
        <v>0.9218</v>
      </c>
      <c r="G124" s="497">
        <v>0.9218</v>
      </c>
      <c r="H124" s="497">
        <v>0.9218</v>
      </c>
      <c r="I124" s="497">
        <v>0.8141</v>
      </c>
      <c r="J124" s="497">
        <v>0.8141</v>
      </c>
      <c r="K124" s="497">
        <v>0.8141</v>
      </c>
      <c r="L124" s="497">
        <v>0.8141</v>
      </c>
      <c r="M124" s="502">
        <v>0.8141</v>
      </c>
    </row>
    <row r="125" spans="1:13">
      <c r="A125" s="498">
        <v>4</v>
      </c>
      <c r="B125" s="497">
        <v>0.9838</v>
      </c>
      <c r="C125" s="497">
        <v>0.9838</v>
      </c>
      <c r="D125" s="497">
        <v>0.9186</v>
      </c>
      <c r="E125" s="497">
        <v>0.9186</v>
      </c>
      <c r="F125" s="497">
        <v>0.9186</v>
      </c>
      <c r="G125" s="497">
        <v>0.9186</v>
      </c>
      <c r="H125" s="497">
        <v>0.9186</v>
      </c>
      <c r="I125" s="497">
        <v>0.8094</v>
      </c>
      <c r="J125" s="497">
        <v>0.8094</v>
      </c>
      <c r="K125" s="497">
        <v>0.8094</v>
      </c>
      <c r="L125" s="497">
        <v>0.8094</v>
      </c>
      <c r="M125" s="502">
        <v>0.8094</v>
      </c>
    </row>
    <row r="126" spans="1:13">
      <c r="A126" s="498">
        <v>4.1</v>
      </c>
      <c r="B126" s="497">
        <v>0.981</v>
      </c>
      <c r="C126" s="497">
        <v>0.981</v>
      </c>
      <c r="D126" s="497">
        <v>0.9156</v>
      </c>
      <c r="E126" s="497">
        <v>0.9156</v>
      </c>
      <c r="F126" s="497">
        <v>0.9156</v>
      </c>
      <c r="G126" s="497">
        <v>0.9156</v>
      </c>
      <c r="H126" s="497">
        <v>0.9156</v>
      </c>
      <c r="I126" s="497">
        <v>0.8049</v>
      </c>
      <c r="J126" s="497">
        <v>0.8049</v>
      </c>
      <c r="K126" s="497">
        <v>0.8049</v>
      </c>
      <c r="L126" s="497">
        <v>0.8049</v>
      </c>
      <c r="M126" s="502">
        <v>0.8049</v>
      </c>
    </row>
    <row r="127" spans="1:13">
      <c r="A127" s="498">
        <v>4.2</v>
      </c>
      <c r="B127" s="497">
        <v>0.9783</v>
      </c>
      <c r="C127" s="497">
        <v>0.9783</v>
      </c>
      <c r="D127" s="497">
        <v>0.9127</v>
      </c>
      <c r="E127" s="497">
        <v>0.9127</v>
      </c>
      <c r="F127" s="497">
        <v>0.9127</v>
      </c>
      <c r="G127" s="497">
        <v>0.9127</v>
      </c>
      <c r="H127" s="497">
        <v>0.9127</v>
      </c>
      <c r="I127" s="497">
        <v>0.8006</v>
      </c>
      <c r="J127" s="497">
        <v>0.8006</v>
      </c>
      <c r="K127" s="497">
        <v>0.8006</v>
      </c>
      <c r="L127" s="497">
        <v>0.8006</v>
      </c>
      <c r="M127" s="502">
        <v>0.8006</v>
      </c>
    </row>
    <row r="128" spans="1:13">
      <c r="A128" s="498">
        <v>4.3</v>
      </c>
      <c r="B128" s="497">
        <v>0.9757</v>
      </c>
      <c r="C128" s="497">
        <v>0.9757</v>
      </c>
      <c r="D128" s="497">
        <v>0.9099</v>
      </c>
      <c r="E128" s="497">
        <v>0.9099</v>
      </c>
      <c r="F128" s="497">
        <v>0.9099</v>
      </c>
      <c r="G128" s="497">
        <v>0.9099</v>
      </c>
      <c r="H128" s="497">
        <v>0.9099</v>
      </c>
      <c r="I128" s="497">
        <v>0.7965</v>
      </c>
      <c r="J128" s="497">
        <v>0.7965</v>
      </c>
      <c r="K128" s="497">
        <v>0.7965</v>
      </c>
      <c r="L128" s="497">
        <v>0.7965</v>
      </c>
      <c r="M128" s="502">
        <v>0.7965</v>
      </c>
    </row>
    <row r="129" spans="1:13">
      <c r="A129" s="498">
        <v>4.4</v>
      </c>
      <c r="B129" s="497">
        <v>0.9732</v>
      </c>
      <c r="C129" s="497">
        <v>0.9732</v>
      </c>
      <c r="D129" s="497">
        <v>0.9072</v>
      </c>
      <c r="E129" s="497">
        <v>0.9072</v>
      </c>
      <c r="F129" s="497">
        <v>0.9072</v>
      </c>
      <c r="G129" s="497">
        <v>0.9072</v>
      </c>
      <c r="H129" s="497">
        <v>0.9072</v>
      </c>
      <c r="I129" s="497">
        <v>0.7926</v>
      </c>
      <c r="J129" s="497">
        <v>0.7926</v>
      </c>
      <c r="K129" s="497">
        <v>0.7926</v>
      </c>
      <c r="L129" s="497">
        <v>0.7926</v>
      </c>
      <c r="M129" s="502">
        <v>0.7926</v>
      </c>
    </row>
    <row r="130" spans="1:13">
      <c r="A130" s="498">
        <v>4.5</v>
      </c>
      <c r="B130" s="497">
        <v>0.9708</v>
      </c>
      <c r="C130" s="497">
        <v>0.9708</v>
      </c>
      <c r="D130" s="497">
        <v>0.9046</v>
      </c>
      <c r="E130" s="497">
        <v>0.9046</v>
      </c>
      <c r="F130" s="497">
        <v>0.9046</v>
      </c>
      <c r="G130" s="497">
        <v>0.9046</v>
      </c>
      <c r="H130" s="497">
        <v>0.9046</v>
      </c>
      <c r="I130" s="497">
        <v>0.7889</v>
      </c>
      <c r="J130" s="497">
        <v>0.7889</v>
      </c>
      <c r="K130" s="497">
        <v>0.7889</v>
      </c>
      <c r="L130" s="497">
        <v>0.7889</v>
      </c>
      <c r="M130" s="502">
        <v>0.7889</v>
      </c>
    </row>
    <row r="131" spans="1:13">
      <c r="A131" s="498">
        <v>4.6</v>
      </c>
      <c r="B131" s="497">
        <v>0.9685</v>
      </c>
      <c r="C131" s="497">
        <v>0.9685</v>
      </c>
      <c r="D131" s="497">
        <v>0.9021</v>
      </c>
      <c r="E131" s="497">
        <v>0.9021</v>
      </c>
      <c r="F131" s="497">
        <v>0.9021</v>
      </c>
      <c r="G131" s="497">
        <v>0.9021</v>
      </c>
      <c r="H131" s="497">
        <v>0.9021</v>
      </c>
      <c r="I131" s="497">
        <v>0.7854</v>
      </c>
      <c r="J131" s="497">
        <v>0.7854</v>
      </c>
      <c r="K131" s="497">
        <v>0.7854</v>
      </c>
      <c r="L131" s="497">
        <v>0.7854</v>
      </c>
      <c r="M131" s="502">
        <v>0.7854</v>
      </c>
    </row>
    <row r="132" spans="1:13">
      <c r="A132" s="498">
        <v>4.7</v>
      </c>
      <c r="B132" s="497">
        <v>0.9663</v>
      </c>
      <c r="C132" s="497">
        <v>0.9663</v>
      </c>
      <c r="D132" s="497">
        <v>0.8996</v>
      </c>
      <c r="E132" s="497">
        <v>0.8996</v>
      </c>
      <c r="F132" s="497">
        <v>0.8996</v>
      </c>
      <c r="G132" s="497">
        <v>0.8996</v>
      </c>
      <c r="H132" s="497">
        <v>0.8996</v>
      </c>
      <c r="I132" s="497">
        <v>0.7821</v>
      </c>
      <c r="J132" s="497">
        <v>0.7821</v>
      </c>
      <c r="K132" s="497">
        <v>0.7821</v>
      </c>
      <c r="L132" s="497">
        <v>0.7821</v>
      </c>
      <c r="M132" s="502">
        <v>0.7821</v>
      </c>
    </row>
    <row r="133" spans="1:13">
      <c r="A133" s="498">
        <v>4.8</v>
      </c>
      <c r="B133" s="497">
        <v>0.9641</v>
      </c>
      <c r="C133" s="497">
        <v>0.9641</v>
      </c>
      <c r="D133" s="497">
        <v>0.8972</v>
      </c>
      <c r="E133" s="497">
        <v>0.8972</v>
      </c>
      <c r="F133" s="497">
        <v>0.8972</v>
      </c>
      <c r="G133" s="497">
        <v>0.8972</v>
      </c>
      <c r="H133" s="497">
        <v>0.8972</v>
      </c>
      <c r="I133" s="497">
        <v>0.7789</v>
      </c>
      <c r="J133" s="497">
        <v>0.7789</v>
      </c>
      <c r="K133" s="497">
        <v>0.7789</v>
      </c>
      <c r="L133" s="497">
        <v>0.7789</v>
      </c>
      <c r="M133" s="502">
        <v>0.7789</v>
      </c>
    </row>
    <row r="134" spans="1:13">
      <c r="A134" s="498">
        <v>4.9</v>
      </c>
      <c r="B134" s="497">
        <v>0.962</v>
      </c>
      <c r="C134" s="497">
        <v>0.962</v>
      </c>
      <c r="D134" s="497">
        <v>0.8948</v>
      </c>
      <c r="E134" s="497">
        <v>0.8948</v>
      </c>
      <c r="F134" s="497">
        <v>0.8948</v>
      </c>
      <c r="G134" s="497">
        <v>0.8948</v>
      </c>
      <c r="H134" s="497">
        <v>0.8948</v>
      </c>
      <c r="I134" s="497">
        <v>0.7758</v>
      </c>
      <c r="J134" s="497">
        <v>0.7758</v>
      </c>
      <c r="K134" s="497">
        <v>0.7758</v>
      </c>
      <c r="L134" s="497">
        <v>0.7758</v>
      </c>
      <c r="M134" s="502">
        <v>0.7758</v>
      </c>
    </row>
    <row r="135" spans="1:13">
      <c r="A135" s="498">
        <v>5</v>
      </c>
      <c r="B135" s="497">
        <v>0.9599</v>
      </c>
      <c r="C135" s="497">
        <v>0.9599</v>
      </c>
      <c r="D135" s="497">
        <v>0.8924</v>
      </c>
      <c r="E135" s="497">
        <v>0.8924</v>
      </c>
      <c r="F135" s="497">
        <v>0.8924</v>
      </c>
      <c r="G135" s="497">
        <v>0.8924</v>
      </c>
      <c r="H135" s="497">
        <v>0.8924</v>
      </c>
      <c r="I135" s="497">
        <v>0.7728</v>
      </c>
      <c r="J135" s="497">
        <v>0.7728</v>
      </c>
      <c r="K135" s="497">
        <v>0.7728</v>
      </c>
      <c r="L135" s="497">
        <v>0.7728</v>
      </c>
      <c r="M135" s="502">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502">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502">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502">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502">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502">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502">
        <v>0.7559</v>
      </c>
    </row>
    <row r="142" spans="1:13">
      <c r="A142" s="498">
        <v>5.7</v>
      </c>
      <c r="B142" s="497">
        <v>0.946</v>
      </c>
      <c r="C142" s="497">
        <v>0.946</v>
      </c>
      <c r="D142" s="497">
        <v>0.8767</v>
      </c>
      <c r="E142" s="497">
        <v>0.8767</v>
      </c>
      <c r="F142" s="497">
        <v>0.8767</v>
      </c>
      <c r="G142" s="497">
        <v>0.8767</v>
      </c>
      <c r="H142" s="497">
        <v>0.8767</v>
      </c>
      <c r="I142" s="497">
        <v>0.7532</v>
      </c>
      <c r="J142" s="497">
        <v>0.7532</v>
      </c>
      <c r="K142" s="497">
        <v>0.7532</v>
      </c>
      <c r="L142" s="497">
        <v>0.7532</v>
      </c>
      <c r="M142" s="502">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502">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502">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502">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502">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502">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502">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502">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502">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502">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502">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502">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502">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502">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502">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502">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502">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502">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502">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502">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502">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502">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502">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502">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502">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502">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502">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502">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502">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502">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502">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502">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502">
        <v>0.6774</v>
      </c>
    </row>
    <row r="175" spans="1:13">
      <c r="A175" s="498">
        <v>9</v>
      </c>
      <c r="B175" s="497">
        <v>0.8934</v>
      </c>
      <c r="C175" s="497">
        <v>0.8934</v>
      </c>
      <c r="D175" s="497">
        <v>0.8149</v>
      </c>
      <c r="E175" s="497">
        <v>0.8149</v>
      </c>
      <c r="F175" s="497">
        <v>0.8149</v>
      </c>
      <c r="G175" s="497">
        <v>0.8149</v>
      </c>
      <c r="H175" s="497">
        <v>0.8149</v>
      </c>
      <c r="I175" s="497">
        <v>0.6754</v>
      </c>
      <c r="J175" s="497">
        <v>0.6754</v>
      </c>
      <c r="K175" s="497">
        <v>0.6754</v>
      </c>
      <c r="L175" s="497">
        <v>0.6754</v>
      </c>
      <c r="M175" s="502">
        <v>0.6754</v>
      </c>
    </row>
    <row r="176" spans="1:13">
      <c r="A176" s="498">
        <v>9.1</v>
      </c>
      <c r="B176" s="497">
        <v>0.8921</v>
      </c>
      <c r="C176" s="497">
        <v>0.8921</v>
      </c>
      <c r="D176" s="497">
        <v>0.8133</v>
      </c>
      <c r="E176" s="497">
        <v>0.8133</v>
      </c>
      <c r="F176" s="497">
        <v>0.8133</v>
      </c>
      <c r="G176" s="497">
        <v>0.8133</v>
      </c>
      <c r="H176" s="497">
        <v>0.8133</v>
      </c>
      <c r="I176" s="497">
        <v>0.6734</v>
      </c>
      <c r="J176" s="497">
        <v>0.6734</v>
      </c>
      <c r="K176" s="497">
        <v>0.6734</v>
      </c>
      <c r="L176" s="497">
        <v>0.6734</v>
      </c>
      <c r="M176" s="502">
        <v>0.6734</v>
      </c>
    </row>
    <row r="177" spans="1:13">
      <c r="A177" s="498">
        <v>9.2</v>
      </c>
      <c r="B177" s="497">
        <v>0.8908</v>
      </c>
      <c r="C177" s="497">
        <v>0.8908</v>
      </c>
      <c r="D177" s="497">
        <v>0.8117</v>
      </c>
      <c r="E177" s="497">
        <v>0.8117</v>
      </c>
      <c r="F177" s="497">
        <v>0.8117</v>
      </c>
      <c r="G177" s="497">
        <v>0.8117</v>
      </c>
      <c r="H177" s="497">
        <v>0.8117</v>
      </c>
      <c r="I177" s="497">
        <v>0.6714</v>
      </c>
      <c r="J177" s="497">
        <v>0.6714</v>
      </c>
      <c r="K177" s="497">
        <v>0.6714</v>
      </c>
      <c r="L177" s="497">
        <v>0.6714</v>
      </c>
      <c r="M177" s="502">
        <v>0.6714</v>
      </c>
    </row>
    <row r="178" spans="1:13">
      <c r="A178" s="498">
        <v>9.3</v>
      </c>
      <c r="B178" s="497">
        <v>0.8895</v>
      </c>
      <c r="C178" s="497">
        <v>0.8895</v>
      </c>
      <c r="D178" s="497">
        <v>0.8101</v>
      </c>
      <c r="E178" s="497">
        <v>0.8101</v>
      </c>
      <c r="F178" s="497">
        <v>0.8101</v>
      </c>
      <c r="G178" s="497">
        <v>0.8101</v>
      </c>
      <c r="H178" s="497">
        <v>0.8101</v>
      </c>
      <c r="I178" s="497">
        <v>0.6694</v>
      </c>
      <c r="J178" s="497">
        <v>0.6694</v>
      </c>
      <c r="K178" s="497">
        <v>0.6694</v>
      </c>
      <c r="L178" s="497">
        <v>0.6694</v>
      </c>
      <c r="M178" s="502">
        <v>0.6694</v>
      </c>
    </row>
    <row r="179" spans="1:13">
      <c r="A179" s="498">
        <v>9.4</v>
      </c>
      <c r="B179" s="497">
        <v>0.8882</v>
      </c>
      <c r="C179" s="497">
        <v>0.8882</v>
      </c>
      <c r="D179" s="497">
        <v>0.8085</v>
      </c>
      <c r="E179" s="497">
        <v>0.8085</v>
      </c>
      <c r="F179" s="497">
        <v>0.8085</v>
      </c>
      <c r="G179" s="497">
        <v>0.8085</v>
      </c>
      <c r="H179" s="497">
        <v>0.8085</v>
      </c>
      <c r="I179" s="497">
        <v>0.6674</v>
      </c>
      <c r="J179" s="497">
        <v>0.6674</v>
      </c>
      <c r="K179" s="497">
        <v>0.6674</v>
      </c>
      <c r="L179" s="497">
        <v>0.6674</v>
      </c>
      <c r="M179" s="502">
        <v>0.6674</v>
      </c>
    </row>
    <row r="180" spans="1:13">
      <c r="A180" s="498">
        <v>9.5</v>
      </c>
      <c r="B180" s="497">
        <v>0.887</v>
      </c>
      <c r="C180" s="497">
        <v>0.887</v>
      </c>
      <c r="D180" s="497">
        <v>0.807</v>
      </c>
      <c r="E180" s="497">
        <v>0.807</v>
      </c>
      <c r="F180" s="497">
        <v>0.807</v>
      </c>
      <c r="G180" s="497">
        <v>0.807</v>
      </c>
      <c r="H180" s="497">
        <v>0.807</v>
      </c>
      <c r="I180" s="497">
        <v>0.6655</v>
      </c>
      <c r="J180" s="497">
        <v>0.6655</v>
      </c>
      <c r="K180" s="497">
        <v>0.6655</v>
      </c>
      <c r="L180" s="497">
        <v>0.6655</v>
      </c>
      <c r="M180" s="502">
        <v>0.6655</v>
      </c>
    </row>
    <row r="181" spans="1:13">
      <c r="A181" s="498">
        <v>9.6</v>
      </c>
      <c r="B181" s="497">
        <v>0.8858</v>
      </c>
      <c r="C181" s="497">
        <v>0.8858</v>
      </c>
      <c r="D181" s="497">
        <v>0.8055</v>
      </c>
      <c r="E181" s="497">
        <v>0.8055</v>
      </c>
      <c r="F181" s="497">
        <v>0.8055</v>
      </c>
      <c r="G181" s="497">
        <v>0.8055</v>
      </c>
      <c r="H181" s="497">
        <v>0.8055</v>
      </c>
      <c r="I181" s="497">
        <v>0.6636</v>
      </c>
      <c r="J181" s="497">
        <v>0.6636</v>
      </c>
      <c r="K181" s="497">
        <v>0.6636</v>
      </c>
      <c r="L181" s="497">
        <v>0.6636</v>
      </c>
      <c r="M181" s="502">
        <v>0.6636</v>
      </c>
    </row>
    <row r="182" spans="1:13">
      <c r="A182" s="498">
        <v>9.7</v>
      </c>
      <c r="B182" s="497">
        <v>0.8846</v>
      </c>
      <c r="C182" s="497">
        <v>0.8846</v>
      </c>
      <c r="D182" s="497">
        <v>0.804</v>
      </c>
      <c r="E182" s="497">
        <v>0.804</v>
      </c>
      <c r="F182" s="497">
        <v>0.804</v>
      </c>
      <c r="G182" s="497">
        <v>0.804</v>
      </c>
      <c r="H182" s="497">
        <v>0.804</v>
      </c>
      <c r="I182" s="497">
        <v>0.6617</v>
      </c>
      <c r="J182" s="497">
        <v>0.6617</v>
      </c>
      <c r="K182" s="497">
        <v>0.6617</v>
      </c>
      <c r="L182" s="497">
        <v>0.6617</v>
      </c>
      <c r="M182" s="502">
        <v>0.6617</v>
      </c>
    </row>
    <row r="183" spans="1:13">
      <c r="A183" s="498">
        <v>9.8</v>
      </c>
      <c r="B183" s="497">
        <v>0.8834</v>
      </c>
      <c r="C183" s="497">
        <v>0.8834</v>
      </c>
      <c r="D183" s="497">
        <v>0.8025</v>
      </c>
      <c r="E183" s="497">
        <v>0.8025</v>
      </c>
      <c r="F183" s="497">
        <v>0.8025</v>
      </c>
      <c r="G183" s="497">
        <v>0.8025</v>
      </c>
      <c r="H183" s="497">
        <v>0.8025</v>
      </c>
      <c r="I183" s="497">
        <v>0.6598</v>
      </c>
      <c r="J183" s="497">
        <v>0.6598</v>
      </c>
      <c r="K183" s="497">
        <v>0.6598</v>
      </c>
      <c r="L183" s="497">
        <v>0.6598</v>
      </c>
      <c r="M183" s="502">
        <v>0.6598</v>
      </c>
    </row>
    <row r="184" ht="14.75" spans="1:13">
      <c r="A184" s="505">
        <v>9.9</v>
      </c>
      <c r="B184" s="506">
        <v>0.8822</v>
      </c>
      <c r="C184" s="506">
        <v>0.8822</v>
      </c>
      <c r="D184" s="506">
        <v>0.801</v>
      </c>
      <c r="E184" s="506">
        <v>0.801</v>
      </c>
      <c r="F184" s="506">
        <v>0.801</v>
      </c>
      <c r="G184" s="506">
        <v>0.801</v>
      </c>
      <c r="H184" s="506">
        <v>0.801</v>
      </c>
      <c r="I184" s="506">
        <v>0.6579</v>
      </c>
      <c r="J184" s="506">
        <v>0.6579</v>
      </c>
      <c r="K184" s="506">
        <v>0.6579</v>
      </c>
      <c r="L184" s="506">
        <v>0.6579</v>
      </c>
      <c r="M184" s="507">
        <v>0.6579</v>
      </c>
    </row>
    <row r="185" ht="15.75" spans="1:13">
      <c r="A185" s="492" t="s">
        <v>2162</v>
      </c>
      <c r="B185" s="492"/>
      <c r="C185" s="492"/>
      <c r="D185" s="492"/>
      <c r="E185" s="492"/>
      <c r="F185" s="492"/>
      <c r="G185" s="492"/>
      <c r="H185" s="492"/>
      <c r="I185" s="492"/>
      <c r="J185" s="492"/>
      <c r="K185" s="492"/>
      <c r="L185" s="492"/>
      <c r="M185" s="492"/>
    </row>
    <row r="186" spans="1:20">
      <c r="A186" s="493" t="s">
        <v>2156</v>
      </c>
      <c r="B186" s="494" t="s">
        <v>230</v>
      </c>
      <c r="C186" s="494" t="s">
        <v>241</v>
      </c>
      <c r="D186" s="494" t="s">
        <v>251</v>
      </c>
      <c r="E186" s="494" t="s">
        <v>259</v>
      </c>
      <c r="F186" s="494" t="s">
        <v>267</v>
      </c>
      <c r="G186" s="494" t="s">
        <v>273</v>
      </c>
      <c r="H186" s="495" t="s">
        <v>278</v>
      </c>
      <c r="I186" s="495" t="s">
        <v>284</v>
      </c>
      <c r="J186" s="500" t="s">
        <v>288</v>
      </c>
      <c r="K186" s="500" t="s">
        <v>292</v>
      </c>
      <c r="L186" s="500" t="s">
        <v>296</v>
      </c>
      <c r="M186" s="501" t="s">
        <v>300</v>
      </c>
      <c r="Q186" s="504" t="s">
        <v>2157</v>
      </c>
      <c r="R186" s="504" t="s">
        <v>2158</v>
      </c>
      <c r="S186" s="504" t="s">
        <v>2159</v>
      </c>
      <c r="T186" s="504" t="s">
        <v>2160</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502">
        <v>1.1055</v>
      </c>
      <c r="Q187" s="504">
        <v>10</v>
      </c>
      <c r="R187" s="504">
        <f>ROUND(0.9448-0.0115*Q187,4)</f>
        <v>0.8298</v>
      </c>
      <c r="S187" s="504">
        <f>ROUND(0.937-0.0145*Q187,4)</f>
        <v>0.792</v>
      </c>
      <c r="T187" s="504">
        <f>ROUND(0.7965-0.0185*Q187,4)</f>
        <v>0.6115</v>
      </c>
    </row>
    <row r="188" spans="1:13">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502">
        <v>1.0819</v>
      </c>
    </row>
    <row r="189" spans="1:13">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502">
        <v>1.0597</v>
      </c>
    </row>
    <row r="190" spans="1:13">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502">
        <v>1.0386</v>
      </c>
    </row>
    <row r="191" spans="1:13">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502">
        <v>1.0188</v>
      </c>
    </row>
    <row r="192" spans="1:13">
      <c r="A192" s="496">
        <v>1.5</v>
      </c>
      <c r="B192" s="497">
        <v>1.1069</v>
      </c>
      <c r="C192" s="497">
        <v>1.1069</v>
      </c>
      <c r="D192" s="497">
        <v>1.125</v>
      </c>
      <c r="E192" s="497">
        <v>1.125</v>
      </c>
      <c r="F192" s="497">
        <v>1.125</v>
      </c>
      <c r="G192" s="497">
        <v>1.125</v>
      </c>
      <c r="H192" s="497">
        <v>1.125</v>
      </c>
      <c r="I192" s="497">
        <v>1</v>
      </c>
      <c r="J192" s="497">
        <v>1</v>
      </c>
      <c r="K192" s="497">
        <v>1</v>
      </c>
      <c r="L192" s="497">
        <v>1</v>
      </c>
      <c r="M192" s="502">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502">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502">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502">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502">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502">
        <v>0.9213</v>
      </c>
    </row>
    <row r="198" spans="1:13">
      <c r="A198" s="498">
        <v>2.1</v>
      </c>
      <c r="B198" s="497">
        <v>1.0348</v>
      </c>
      <c r="C198" s="497">
        <v>1.0348</v>
      </c>
      <c r="D198" s="497">
        <v>1.0408</v>
      </c>
      <c r="E198" s="497">
        <v>1.0408</v>
      </c>
      <c r="F198" s="497">
        <v>1.0408</v>
      </c>
      <c r="G198" s="497">
        <v>1.0408</v>
      </c>
      <c r="H198" s="497">
        <v>1.0408</v>
      </c>
      <c r="I198" s="497">
        <v>0.9082</v>
      </c>
      <c r="J198" s="497">
        <v>0.9082</v>
      </c>
      <c r="K198" s="497">
        <v>0.9082</v>
      </c>
      <c r="L198" s="497">
        <v>0.9082</v>
      </c>
      <c r="M198" s="502">
        <v>0.9082</v>
      </c>
    </row>
    <row r="199" spans="1:13">
      <c r="A199" s="498">
        <v>2.2</v>
      </c>
      <c r="B199" s="497">
        <v>1.0252</v>
      </c>
      <c r="C199" s="497">
        <v>1.0252</v>
      </c>
      <c r="D199" s="497">
        <v>1.0296</v>
      </c>
      <c r="E199" s="497">
        <v>1.0296</v>
      </c>
      <c r="F199" s="497">
        <v>1.0296</v>
      </c>
      <c r="G199" s="497">
        <v>1.0296</v>
      </c>
      <c r="H199" s="497">
        <v>1.0296</v>
      </c>
      <c r="I199" s="497">
        <v>0.8957</v>
      </c>
      <c r="J199" s="497">
        <v>0.8957</v>
      </c>
      <c r="K199" s="497">
        <v>0.8957</v>
      </c>
      <c r="L199" s="497">
        <v>0.8957</v>
      </c>
      <c r="M199" s="502">
        <v>0.8957</v>
      </c>
    </row>
    <row r="200" spans="1:13">
      <c r="A200" s="498">
        <v>2.3</v>
      </c>
      <c r="B200" s="497">
        <v>1.0162</v>
      </c>
      <c r="C200" s="497">
        <v>1.0162</v>
      </c>
      <c r="D200" s="497">
        <v>1.0191</v>
      </c>
      <c r="E200" s="497">
        <v>1.0191</v>
      </c>
      <c r="F200" s="497">
        <v>1.0191</v>
      </c>
      <c r="G200" s="497">
        <v>1.0191</v>
      </c>
      <c r="H200" s="497">
        <v>1.0191</v>
      </c>
      <c r="I200" s="497">
        <v>0.8842</v>
      </c>
      <c r="J200" s="497">
        <v>0.8842</v>
      </c>
      <c r="K200" s="497">
        <v>0.8842</v>
      </c>
      <c r="L200" s="497">
        <v>0.8842</v>
      </c>
      <c r="M200" s="502">
        <v>0.8842</v>
      </c>
    </row>
    <row r="201" spans="1:13">
      <c r="A201" s="498">
        <v>2.4</v>
      </c>
      <c r="B201" s="497">
        <v>1.0078</v>
      </c>
      <c r="C201" s="497">
        <v>1.0078</v>
      </c>
      <c r="D201" s="497">
        <v>1.0092</v>
      </c>
      <c r="E201" s="497">
        <v>1.0092</v>
      </c>
      <c r="F201" s="497">
        <v>1.0092</v>
      </c>
      <c r="G201" s="497">
        <v>1.0092</v>
      </c>
      <c r="H201" s="497">
        <v>1.0092</v>
      </c>
      <c r="I201" s="497">
        <v>0.8733</v>
      </c>
      <c r="J201" s="497">
        <v>0.8733</v>
      </c>
      <c r="K201" s="497">
        <v>0.8733</v>
      </c>
      <c r="L201" s="497">
        <v>0.8733</v>
      </c>
      <c r="M201" s="502">
        <v>0.8733</v>
      </c>
    </row>
    <row r="202" spans="1:13">
      <c r="A202" s="498">
        <v>2.5</v>
      </c>
      <c r="B202" s="497">
        <v>1</v>
      </c>
      <c r="C202" s="497">
        <v>1</v>
      </c>
      <c r="D202" s="497">
        <v>1</v>
      </c>
      <c r="E202" s="497">
        <v>1</v>
      </c>
      <c r="F202" s="497">
        <v>1</v>
      </c>
      <c r="G202" s="497">
        <v>1</v>
      </c>
      <c r="H202" s="497">
        <v>1</v>
      </c>
      <c r="I202" s="497">
        <v>0.863</v>
      </c>
      <c r="J202" s="497">
        <v>0.863</v>
      </c>
      <c r="K202" s="497">
        <v>0.863</v>
      </c>
      <c r="L202" s="497">
        <v>0.863</v>
      </c>
      <c r="M202" s="502">
        <v>0.863</v>
      </c>
    </row>
    <row r="203" spans="1:13">
      <c r="A203" s="498">
        <v>2.6</v>
      </c>
      <c r="B203" s="497">
        <v>0.9927</v>
      </c>
      <c r="C203" s="497">
        <v>0.9927</v>
      </c>
      <c r="D203" s="497">
        <v>0.9914</v>
      </c>
      <c r="E203" s="497">
        <v>0.9914</v>
      </c>
      <c r="F203" s="497">
        <v>0.9914</v>
      </c>
      <c r="G203" s="497">
        <v>0.9914</v>
      </c>
      <c r="H203" s="497">
        <v>0.9914</v>
      </c>
      <c r="I203" s="497">
        <v>0.8534</v>
      </c>
      <c r="J203" s="497">
        <v>0.8534</v>
      </c>
      <c r="K203" s="497">
        <v>0.8534</v>
      </c>
      <c r="L203" s="497">
        <v>0.8534</v>
      </c>
      <c r="M203" s="502">
        <v>0.8534</v>
      </c>
    </row>
    <row r="204" spans="1:13">
      <c r="A204" s="498">
        <v>2.7</v>
      </c>
      <c r="B204" s="497">
        <v>0.9858</v>
      </c>
      <c r="C204" s="497">
        <v>0.9858</v>
      </c>
      <c r="D204" s="497">
        <v>0.9833</v>
      </c>
      <c r="E204" s="497">
        <v>0.9833</v>
      </c>
      <c r="F204" s="497">
        <v>0.9833</v>
      </c>
      <c r="G204" s="497">
        <v>0.9833</v>
      </c>
      <c r="H204" s="497">
        <v>0.9833</v>
      </c>
      <c r="I204" s="497">
        <v>0.8444</v>
      </c>
      <c r="J204" s="497">
        <v>0.8444</v>
      </c>
      <c r="K204" s="497">
        <v>0.8444</v>
      </c>
      <c r="L204" s="497">
        <v>0.8444</v>
      </c>
      <c r="M204" s="502">
        <v>0.8444</v>
      </c>
    </row>
    <row r="205" spans="1:13">
      <c r="A205" s="498">
        <v>2.8</v>
      </c>
      <c r="B205" s="497">
        <v>0.9794</v>
      </c>
      <c r="C205" s="497">
        <v>0.9794</v>
      </c>
      <c r="D205" s="497">
        <v>0.9757</v>
      </c>
      <c r="E205" s="497">
        <v>0.9757</v>
      </c>
      <c r="F205" s="497">
        <v>0.9757</v>
      </c>
      <c r="G205" s="497">
        <v>0.9757</v>
      </c>
      <c r="H205" s="497">
        <v>0.9757</v>
      </c>
      <c r="I205" s="497">
        <v>0.836</v>
      </c>
      <c r="J205" s="497">
        <v>0.836</v>
      </c>
      <c r="K205" s="497">
        <v>0.836</v>
      </c>
      <c r="L205" s="497">
        <v>0.836</v>
      </c>
      <c r="M205" s="502">
        <v>0.836</v>
      </c>
    </row>
    <row r="206" spans="1:13">
      <c r="A206" s="498">
        <v>2.9</v>
      </c>
      <c r="B206" s="497">
        <v>0.9735</v>
      </c>
      <c r="C206" s="497">
        <v>0.9735</v>
      </c>
      <c r="D206" s="497">
        <v>0.9687</v>
      </c>
      <c r="E206" s="497">
        <v>0.9687</v>
      </c>
      <c r="F206" s="497">
        <v>0.9687</v>
      </c>
      <c r="G206" s="497">
        <v>0.9687</v>
      </c>
      <c r="H206" s="497">
        <v>0.9687</v>
      </c>
      <c r="I206" s="497">
        <v>0.8282</v>
      </c>
      <c r="J206" s="497">
        <v>0.8282</v>
      </c>
      <c r="K206" s="497">
        <v>0.8282</v>
      </c>
      <c r="L206" s="497">
        <v>0.8282</v>
      </c>
      <c r="M206" s="502">
        <v>0.8282</v>
      </c>
    </row>
    <row r="207" spans="1:13">
      <c r="A207" s="498">
        <v>3</v>
      </c>
      <c r="B207" s="497">
        <v>0.9679</v>
      </c>
      <c r="C207" s="497">
        <v>0.9679</v>
      </c>
      <c r="D207" s="497">
        <v>0.9621</v>
      </c>
      <c r="E207" s="497">
        <v>0.9621</v>
      </c>
      <c r="F207" s="497">
        <v>0.9621</v>
      </c>
      <c r="G207" s="497">
        <v>0.9621</v>
      </c>
      <c r="H207" s="497">
        <v>0.9621</v>
      </c>
      <c r="I207" s="497">
        <v>0.8208</v>
      </c>
      <c r="J207" s="497">
        <v>0.8208</v>
      </c>
      <c r="K207" s="497">
        <v>0.8208</v>
      </c>
      <c r="L207" s="497">
        <v>0.8208</v>
      </c>
      <c r="M207" s="502">
        <v>0.8208</v>
      </c>
    </row>
    <row r="208" spans="1:13">
      <c r="A208" s="498">
        <v>3.1</v>
      </c>
      <c r="B208" s="497">
        <v>0.9627</v>
      </c>
      <c r="C208" s="497">
        <v>0.9627</v>
      </c>
      <c r="D208" s="497">
        <v>0.9559</v>
      </c>
      <c r="E208" s="497">
        <v>0.9559</v>
      </c>
      <c r="F208" s="497">
        <v>0.9559</v>
      </c>
      <c r="G208" s="497">
        <v>0.9559</v>
      </c>
      <c r="H208" s="497">
        <v>0.9559</v>
      </c>
      <c r="I208" s="497">
        <v>0.8139</v>
      </c>
      <c r="J208" s="497">
        <v>0.8139</v>
      </c>
      <c r="K208" s="497">
        <v>0.8139</v>
      </c>
      <c r="L208" s="497">
        <v>0.8139</v>
      </c>
      <c r="M208" s="502">
        <v>0.8139</v>
      </c>
    </row>
    <row r="209" spans="1:13">
      <c r="A209" s="498">
        <v>3.2</v>
      </c>
      <c r="B209" s="497">
        <v>0.9579</v>
      </c>
      <c r="C209" s="497">
        <v>0.9579</v>
      </c>
      <c r="D209" s="497">
        <v>0.9502</v>
      </c>
      <c r="E209" s="497">
        <v>0.9502</v>
      </c>
      <c r="F209" s="497">
        <v>0.9502</v>
      </c>
      <c r="G209" s="497">
        <v>0.9502</v>
      </c>
      <c r="H209" s="497">
        <v>0.9502</v>
      </c>
      <c r="I209" s="497">
        <v>0.8075</v>
      </c>
      <c r="J209" s="497">
        <v>0.8075</v>
      </c>
      <c r="K209" s="497">
        <v>0.8075</v>
      </c>
      <c r="L209" s="497">
        <v>0.8075</v>
      </c>
      <c r="M209" s="502">
        <v>0.8075</v>
      </c>
    </row>
    <row r="210" spans="1:13">
      <c r="A210" s="498">
        <v>3.3</v>
      </c>
      <c r="B210" s="497">
        <v>0.9534</v>
      </c>
      <c r="C210" s="497">
        <v>0.9534</v>
      </c>
      <c r="D210" s="497">
        <v>0.9448</v>
      </c>
      <c r="E210" s="497">
        <v>0.9448</v>
      </c>
      <c r="F210" s="497">
        <v>0.9448</v>
      </c>
      <c r="G210" s="497">
        <v>0.9448</v>
      </c>
      <c r="H210" s="497">
        <v>0.9448</v>
      </c>
      <c r="I210" s="497">
        <v>0.8015</v>
      </c>
      <c r="J210" s="497">
        <v>0.8015</v>
      </c>
      <c r="K210" s="497">
        <v>0.8015</v>
      </c>
      <c r="L210" s="497">
        <v>0.8015</v>
      </c>
      <c r="M210" s="502">
        <v>0.8015</v>
      </c>
    </row>
    <row r="211" spans="1:13">
      <c r="A211" s="498">
        <v>3.4</v>
      </c>
      <c r="B211" s="497">
        <v>0.9492</v>
      </c>
      <c r="C211" s="497">
        <v>0.9492</v>
      </c>
      <c r="D211" s="497">
        <v>0.9399</v>
      </c>
      <c r="E211" s="497">
        <v>0.9399</v>
      </c>
      <c r="F211" s="497">
        <v>0.9399</v>
      </c>
      <c r="G211" s="497">
        <v>0.9399</v>
      </c>
      <c r="H211" s="497">
        <v>0.9399</v>
      </c>
      <c r="I211" s="497">
        <v>0.7959</v>
      </c>
      <c r="J211" s="497">
        <v>0.7959</v>
      </c>
      <c r="K211" s="497">
        <v>0.7959</v>
      </c>
      <c r="L211" s="497">
        <v>0.7959</v>
      </c>
      <c r="M211" s="502">
        <v>0.7959</v>
      </c>
    </row>
    <row r="212" spans="1:13">
      <c r="A212" s="498">
        <v>3.5</v>
      </c>
      <c r="B212" s="497">
        <v>0.9454</v>
      </c>
      <c r="C212" s="497">
        <v>0.9454</v>
      </c>
      <c r="D212" s="497">
        <v>0.9352</v>
      </c>
      <c r="E212" s="497">
        <v>0.9352</v>
      </c>
      <c r="F212" s="497">
        <v>0.9352</v>
      </c>
      <c r="G212" s="497">
        <v>0.9352</v>
      </c>
      <c r="H212" s="497">
        <v>0.9352</v>
      </c>
      <c r="I212" s="497">
        <v>0.7906</v>
      </c>
      <c r="J212" s="497">
        <v>0.7906</v>
      </c>
      <c r="K212" s="497">
        <v>0.7906</v>
      </c>
      <c r="L212" s="497">
        <v>0.7906</v>
      </c>
      <c r="M212" s="502">
        <v>0.7906</v>
      </c>
    </row>
    <row r="213" spans="1:13">
      <c r="A213" s="498">
        <v>3.6</v>
      </c>
      <c r="B213" s="497">
        <v>0.9418</v>
      </c>
      <c r="C213" s="497">
        <v>0.9418</v>
      </c>
      <c r="D213" s="497">
        <v>0.9309</v>
      </c>
      <c r="E213" s="497">
        <v>0.9309</v>
      </c>
      <c r="F213" s="497">
        <v>0.9309</v>
      </c>
      <c r="G213" s="497">
        <v>0.9309</v>
      </c>
      <c r="H213" s="497">
        <v>0.9309</v>
      </c>
      <c r="I213" s="497">
        <v>0.7857</v>
      </c>
      <c r="J213" s="497">
        <v>0.7857</v>
      </c>
      <c r="K213" s="497">
        <v>0.7857</v>
      </c>
      <c r="L213" s="497">
        <v>0.7857</v>
      </c>
      <c r="M213" s="502">
        <v>0.7857</v>
      </c>
    </row>
    <row r="214" spans="1:13">
      <c r="A214" s="498">
        <v>3.7</v>
      </c>
      <c r="B214" s="497">
        <v>0.9384</v>
      </c>
      <c r="C214" s="497">
        <v>0.9384</v>
      </c>
      <c r="D214" s="497">
        <v>0.9269</v>
      </c>
      <c r="E214" s="497">
        <v>0.9269</v>
      </c>
      <c r="F214" s="497">
        <v>0.9269</v>
      </c>
      <c r="G214" s="497">
        <v>0.9269</v>
      </c>
      <c r="H214" s="497">
        <v>0.9269</v>
      </c>
      <c r="I214" s="497">
        <v>0.7811</v>
      </c>
      <c r="J214" s="497">
        <v>0.7811</v>
      </c>
      <c r="K214" s="497">
        <v>0.7811</v>
      </c>
      <c r="L214" s="497">
        <v>0.7811</v>
      </c>
      <c r="M214" s="502">
        <v>0.7811</v>
      </c>
    </row>
    <row r="215" spans="1:13">
      <c r="A215" s="498">
        <v>3.8</v>
      </c>
      <c r="B215" s="497">
        <v>0.9353</v>
      </c>
      <c r="C215" s="497">
        <v>0.9353</v>
      </c>
      <c r="D215" s="497">
        <v>0.9231</v>
      </c>
      <c r="E215" s="497">
        <v>0.9231</v>
      </c>
      <c r="F215" s="497">
        <v>0.9231</v>
      </c>
      <c r="G215" s="497">
        <v>0.9231</v>
      </c>
      <c r="H215" s="497">
        <v>0.9231</v>
      </c>
      <c r="I215" s="497">
        <v>0.7768</v>
      </c>
      <c r="J215" s="497">
        <v>0.7768</v>
      </c>
      <c r="K215" s="497">
        <v>0.7768</v>
      </c>
      <c r="L215" s="497">
        <v>0.7768</v>
      </c>
      <c r="M215" s="502">
        <v>0.7768</v>
      </c>
    </row>
    <row r="216" spans="1:13">
      <c r="A216" s="498">
        <v>3.9</v>
      </c>
      <c r="B216" s="497">
        <v>0.9324</v>
      </c>
      <c r="C216" s="497">
        <v>0.9324</v>
      </c>
      <c r="D216" s="497">
        <v>0.9196</v>
      </c>
      <c r="E216" s="497">
        <v>0.9196</v>
      </c>
      <c r="F216" s="497">
        <v>0.9196</v>
      </c>
      <c r="G216" s="497">
        <v>0.9196</v>
      </c>
      <c r="H216" s="497">
        <v>0.9196</v>
      </c>
      <c r="I216" s="497">
        <v>0.7727</v>
      </c>
      <c r="J216" s="497">
        <v>0.7727</v>
      </c>
      <c r="K216" s="497">
        <v>0.7727</v>
      </c>
      <c r="L216" s="497">
        <v>0.7727</v>
      </c>
      <c r="M216" s="502">
        <v>0.7727</v>
      </c>
    </row>
    <row r="217" spans="1:13">
      <c r="A217" s="498">
        <v>4</v>
      </c>
      <c r="B217" s="497">
        <v>0.9297</v>
      </c>
      <c r="C217" s="497">
        <v>0.9297</v>
      </c>
      <c r="D217" s="497">
        <v>0.9163</v>
      </c>
      <c r="E217" s="497">
        <v>0.9163</v>
      </c>
      <c r="F217" s="497">
        <v>0.9163</v>
      </c>
      <c r="G217" s="497">
        <v>0.9163</v>
      </c>
      <c r="H217" s="497">
        <v>0.9163</v>
      </c>
      <c r="I217" s="497">
        <v>0.7688</v>
      </c>
      <c r="J217" s="497">
        <v>0.7688</v>
      </c>
      <c r="K217" s="497">
        <v>0.7688</v>
      </c>
      <c r="L217" s="497">
        <v>0.7688</v>
      </c>
      <c r="M217" s="502">
        <v>0.7688</v>
      </c>
    </row>
    <row r="218" spans="1:13">
      <c r="A218" s="498">
        <v>4.1</v>
      </c>
      <c r="B218" s="497">
        <v>0.9272</v>
      </c>
      <c r="C218" s="497">
        <v>0.9272</v>
      </c>
      <c r="D218" s="497">
        <v>0.9132</v>
      </c>
      <c r="E218" s="497">
        <v>0.9132</v>
      </c>
      <c r="F218" s="497">
        <v>0.9132</v>
      </c>
      <c r="G218" s="497">
        <v>0.9132</v>
      </c>
      <c r="H218" s="497">
        <v>0.9132</v>
      </c>
      <c r="I218" s="497">
        <v>0.7651</v>
      </c>
      <c r="J218" s="497">
        <v>0.7651</v>
      </c>
      <c r="K218" s="497">
        <v>0.7651</v>
      </c>
      <c r="L218" s="497">
        <v>0.7651</v>
      </c>
      <c r="M218" s="502">
        <v>0.7651</v>
      </c>
    </row>
    <row r="219" spans="1:13">
      <c r="A219" s="498">
        <v>4.2</v>
      </c>
      <c r="B219" s="497">
        <v>0.9248</v>
      </c>
      <c r="C219" s="497">
        <v>0.9248</v>
      </c>
      <c r="D219" s="497">
        <v>0.9102</v>
      </c>
      <c r="E219" s="497">
        <v>0.9102</v>
      </c>
      <c r="F219" s="497">
        <v>0.9102</v>
      </c>
      <c r="G219" s="497">
        <v>0.9102</v>
      </c>
      <c r="H219" s="497">
        <v>0.9102</v>
      </c>
      <c r="I219" s="497">
        <v>0.7615</v>
      </c>
      <c r="J219" s="497">
        <v>0.7615</v>
      </c>
      <c r="K219" s="497">
        <v>0.7615</v>
      </c>
      <c r="L219" s="497">
        <v>0.7615</v>
      </c>
      <c r="M219" s="502">
        <v>0.7615</v>
      </c>
    </row>
    <row r="220" spans="1:13">
      <c r="A220" s="498">
        <v>4.3</v>
      </c>
      <c r="B220" s="497">
        <v>0.9225</v>
      </c>
      <c r="C220" s="497">
        <v>0.9225</v>
      </c>
      <c r="D220" s="497">
        <v>0.9073</v>
      </c>
      <c r="E220" s="497">
        <v>0.9073</v>
      </c>
      <c r="F220" s="497">
        <v>0.9073</v>
      </c>
      <c r="G220" s="497">
        <v>0.9073</v>
      </c>
      <c r="H220" s="497">
        <v>0.9073</v>
      </c>
      <c r="I220" s="497">
        <v>0.758</v>
      </c>
      <c r="J220" s="497">
        <v>0.758</v>
      </c>
      <c r="K220" s="497">
        <v>0.758</v>
      </c>
      <c r="L220" s="497">
        <v>0.758</v>
      </c>
      <c r="M220" s="502">
        <v>0.758</v>
      </c>
    </row>
    <row r="221" spans="1:13">
      <c r="A221" s="498">
        <v>4.4</v>
      </c>
      <c r="B221" s="497">
        <v>0.9203</v>
      </c>
      <c r="C221" s="497">
        <v>0.9203</v>
      </c>
      <c r="D221" s="497">
        <v>0.9045</v>
      </c>
      <c r="E221" s="497">
        <v>0.9045</v>
      </c>
      <c r="F221" s="497">
        <v>0.9045</v>
      </c>
      <c r="G221" s="497">
        <v>0.9045</v>
      </c>
      <c r="H221" s="497">
        <v>0.9045</v>
      </c>
      <c r="I221" s="497">
        <v>0.7546</v>
      </c>
      <c r="J221" s="497">
        <v>0.7546</v>
      </c>
      <c r="K221" s="497">
        <v>0.7546</v>
      </c>
      <c r="L221" s="497">
        <v>0.7546</v>
      </c>
      <c r="M221" s="502">
        <v>0.7546</v>
      </c>
    </row>
    <row r="222" spans="1:13">
      <c r="A222" s="498">
        <v>4.5</v>
      </c>
      <c r="B222" s="497">
        <v>0.9181</v>
      </c>
      <c r="C222" s="497">
        <v>0.9181</v>
      </c>
      <c r="D222" s="497">
        <v>0.9018</v>
      </c>
      <c r="E222" s="497">
        <v>0.9018</v>
      </c>
      <c r="F222" s="497">
        <v>0.9018</v>
      </c>
      <c r="G222" s="497">
        <v>0.9018</v>
      </c>
      <c r="H222" s="497">
        <v>0.9018</v>
      </c>
      <c r="I222" s="497">
        <v>0.7513</v>
      </c>
      <c r="J222" s="497">
        <v>0.7513</v>
      </c>
      <c r="K222" s="497">
        <v>0.7513</v>
      </c>
      <c r="L222" s="497">
        <v>0.7513</v>
      </c>
      <c r="M222" s="502">
        <v>0.7513</v>
      </c>
    </row>
    <row r="223" spans="1:13">
      <c r="A223" s="498">
        <v>4.6</v>
      </c>
      <c r="B223" s="497">
        <v>0.916</v>
      </c>
      <c r="C223" s="497">
        <v>0.916</v>
      </c>
      <c r="D223" s="497">
        <v>0.8992</v>
      </c>
      <c r="E223" s="497">
        <v>0.8992</v>
      </c>
      <c r="F223" s="497">
        <v>0.8992</v>
      </c>
      <c r="G223" s="497">
        <v>0.8992</v>
      </c>
      <c r="H223" s="497">
        <v>0.8992</v>
      </c>
      <c r="I223" s="497">
        <v>0.748</v>
      </c>
      <c r="J223" s="497">
        <v>0.748</v>
      </c>
      <c r="K223" s="497">
        <v>0.748</v>
      </c>
      <c r="L223" s="497">
        <v>0.748</v>
      </c>
      <c r="M223" s="502">
        <v>0.748</v>
      </c>
    </row>
    <row r="224" spans="1:13">
      <c r="A224" s="498">
        <v>4.7</v>
      </c>
      <c r="B224" s="497">
        <v>0.9139</v>
      </c>
      <c r="C224" s="497">
        <v>0.9139</v>
      </c>
      <c r="D224" s="497">
        <v>0.8966</v>
      </c>
      <c r="E224" s="497">
        <v>0.8966</v>
      </c>
      <c r="F224" s="497">
        <v>0.8966</v>
      </c>
      <c r="G224" s="497">
        <v>0.8966</v>
      </c>
      <c r="H224" s="497">
        <v>0.8966</v>
      </c>
      <c r="I224" s="497">
        <v>0.7448</v>
      </c>
      <c r="J224" s="497">
        <v>0.7448</v>
      </c>
      <c r="K224" s="497">
        <v>0.7448</v>
      </c>
      <c r="L224" s="497">
        <v>0.7448</v>
      </c>
      <c r="M224" s="502">
        <v>0.7448</v>
      </c>
    </row>
    <row r="225" spans="1:13">
      <c r="A225" s="498">
        <v>4.8</v>
      </c>
      <c r="B225" s="497">
        <v>0.9118</v>
      </c>
      <c r="C225" s="497">
        <v>0.9118</v>
      </c>
      <c r="D225" s="497">
        <v>0.8941</v>
      </c>
      <c r="E225" s="497">
        <v>0.8941</v>
      </c>
      <c r="F225" s="497">
        <v>0.8941</v>
      </c>
      <c r="G225" s="497">
        <v>0.8941</v>
      </c>
      <c r="H225" s="497">
        <v>0.8941</v>
      </c>
      <c r="I225" s="497">
        <v>0.7416</v>
      </c>
      <c r="J225" s="497">
        <v>0.7416</v>
      </c>
      <c r="K225" s="497">
        <v>0.7416</v>
      </c>
      <c r="L225" s="497">
        <v>0.7416</v>
      </c>
      <c r="M225" s="502">
        <v>0.7416</v>
      </c>
    </row>
    <row r="226" spans="1:13">
      <c r="A226" s="498">
        <v>4.9</v>
      </c>
      <c r="B226" s="497">
        <v>0.9098</v>
      </c>
      <c r="C226" s="497">
        <v>0.9098</v>
      </c>
      <c r="D226" s="497">
        <v>0.8916</v>
      </c>
      <c r="E226" s="497">
        <v>0.8916</v>
      </c>
      <c r="F226" s="497">
        <v>0.8916</v>
      </c>
      <c r="G226" s="497">
        <v>0.8916</v>
      </c>
      <c r="H226" s="497">
        <v>0.8916</v>
      </c>
      <c r="I226" s="497">
        <v>0.7384</v>
      </c>
      <c r="J226" s="497">
        <v>0.7384</v>
      </c>
      <c r="K226" s="497">
        <v>0.7384</v>
      </c>
      <c r="L226" s="497">
        <v>0.7384</v>
      </c>
      <c r="M226" s="502">
        <v>0.7384</v>
      </c>
    </row>
    <row r="227" spans="1:13">
      <c r="A227" s="498">
        <v>5</v>
      </c>
      <c r="B227" s="497">
        <v>0.9078</v>
      </c>
      <c r="C227" s="497">
        <v>0.9078</v>
      </c>
      <c r="D227" s="497">
        <v>0.8891</v>
      </c>
      <c r="E227" s="497">
        <v>0.8891</v>
      </c>
      <c r="F227" s="497">
        <v>0.8891</v>
      </c>
      <c r="G227" s="497">
        <v>0.8891</v>
      </c>
      <c r="H227" s="497">
        <v>0.8891</v>
      </c>
      <c r="I227" s="497">
        <v>0.7353</v>
      </c>
      <c r="J227" s="497">
        <v>0.7353</v>
      </c>
      <c r="K227" s="497">
        <v>0.7353</v>
      </c>
      <c r="L227" s="497">
        <v>0.7353</v>
      </c>
      <c r="M227" s="502">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502">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502">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502">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502">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502">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502">
        <v>0.7171</v>
      </c>
    </row>
    <row r="234" spans="1:13">
      <c r="A234" s="498">
        <v>5.7</v>
      </c>
      <c r="B234" s="497">
        <v>0.8943</v>
      </c>
      <c r="C234" s="497">
        <v>0.8943</v>
      </c>
      <c r="D234" s="497">
        <v>0.8726</v>
      </c>
      <c r="E234" s="497">
        <v>0.8726</v>
      </c>
      <c r="F234" s="497">
        <v>0.8726</v>
      </c>
      <c r="G234" s="497">
        <v>0.8726</v>
      </c>
      <c r="H234" s="497">
        <v>0.8726</v>
      </c>
      <c r="I234" s="497">
        <v>0.7142</v>
      </c>
      <c r="J234" s="497">
        <v>0.7142</v>
      </c>
      <c r="K234" s="497">
        <v>0.7142</v>
      </c>
      <c r="L234" s="497">
        <v>0.7142</v>
      </c>
      <c r="M234" s="502">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502">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502">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502">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502">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502">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502">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502">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502">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502">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502">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502">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502">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502">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502">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502">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502">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502">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502">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502">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502">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502">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502">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502">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502">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502">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502">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502">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502">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502">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502">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502">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502">
        <v>0.6334</v>
      </c>
    </row>
    <row r="267" spans="1:13">
      <c r="A267" s="498">
        <v>9</v>
      </c>
      <c r="B267" s="497">
        <v>0.8423</v>
      </c>
      <c r="C267" s="497">
        <v>0.8423</v>
      </c>
      <c r="D267" s="497">
        <v>0.8076</v>
      </c>
      <c r="E267" s="497">
        <v>0.8076</v>
      </c>
      <c r="F267" s="497">
        <v>0.8076</v>
      </c>
      <c r="G267" s="497">
        <v>0.8076</v>
      </c>
      <c r="H267" s="497">
        <v>0.8076</v>
      </c>
      <c r="I267" s="497">
        <v>0.6313</v>
      </c>
      <c r="J267" s="497">
        <v>0.6313</v>
      </c>
      <c r="K267" s="497">
        <v>0.6313</v>
      </c>
      <c r="L267" s="497">
        <v>0.6313</v>
      </c>
      <c r="M267" s="502">
        <v>0.6313</v>
      </c>
    </row>
    <row r="268" spans="1:13">
      <c r="A268" s="498">
        <v>9.1</v>
      </c>
      <c r="B268" s="497">
        <v>0.841</v>
      </c>
      <c r="C268" s="497">
        <v>0.841</v>
      </c>
      <c r="D268" s="497">
        <v>0.806</v>
      </c>
      <c r="E268" s="497">
        <v>0.806</v>
      </c>
      <c r="F268" s="497">
        <v>0.806</v>
      </c>
      <c r="G268" s="497">
        <v>0.806</v>
      </c>
      <c r="H268" s="497">
        <v>0.806</v>
      </c>
      <c r="I268" s="497">
        <v>0.6292</v>
      </c>
      <c r="J268" s="497">
        <v>0.6292</v>
      </c>
      <c r="K268" s="497">
        <v>0.6292</v>
      </c>
      <c r="L268" s="497">
        <v>0.6292</v>
      </c>
      <c r="M268" s="502">
        <v>0.6292</v>
      </c>
    </row>
    <row r="269" spans="1:13">
      <c r="A269" s="498">
        <v>9.2</v>
      </c>
      <c r="B269" s="497">
        <v>0.8397</v>
      </c>
      <c r="C269" s="497">
        <v>0.8397</v>
      </c>
      <c r="D269" s="497">
        <v>0.8044</v>
      </c>
      <c r="E269" s="497">
        <v>0.8044</v>
      </c>
      <c r="F269" s="497">
        <v>0.8044</v>
      </c>
      <c r="G269" s="497">
        <v>0.8044</v>
      </c>
      <c r="H269" s="497">
        <v>0.8044</v>
      </c>
      <c r="I269" s="497">
        <v>0.6271</v>
      </c>
      <c r="J269" s="497">
        <v>0.6271</v>
      </c>
      <c r="K269" s="497">
        <v>0.6271</v>
      </c>
      <c r="L269" s="497">
        <v>0.6271</v>
      </c>
      <c r="M269" s="502">
        <v>0.6271</v>
      </c>
    </row>
    <row r="270" spans="1:13">
      <c r="A270" s="498">
        <v>9.3</v>
      </c>
      <c r="B270" s="497">
        <v>0.8384</v>
      </c>
      <c r="C270" s="497">
        <v>0.8384</v>
      </c>
      <c r="D270" s="497">
        <v>0.8028</v>
      </c>
      <c r="E270" s="497">
        <v>0.8028</v>
      </c>
      <c r="F270" s="497">
        <v>0.8028</v>
      </c>
      <c r="G270" s="497">
        <v>0.8028</v>
      </c>
      <c r="H270" s="497">
        <v>0.8028</v>
      </c>
      <c r="I270" s="497">
        <v>0.6251</v>
      </c>
      <c r="J270" s="497">
        <v>0.6251</v>
      </c>
      <c r="K270" s="497">
        <v>0.6251</v>
      </c>
      <c r="L270" s="497">
        <v>0.6251</v>
      </c>
      <c r="M270" s="502">
        <v>0.6251</v>
      </c>
    </row>
    <row r="271" spans="1:13">
      <c r="A271" s="498">
        <v>9.4</v>
      </c>
      <c r="B271" s="497">
        <v>0.8371</v>
      </c>
      <c r="C271" s="497">
        <v>0.8371</v>
      </c>
      <c r="D271" s="497">
        <v>0.8012</v>
      </c>
      <c r="E271" s="497">
        <v>0.8012</v>
      </c>
      <c r="F271" s="497">
        <v>0.8012</v>
      </c>
      <c r="G271" s="497">
        <v>0.8012</v>
      </c>
      <c r="H271" s="497">
        <v>0.8012</v>
      </c>
      <c r="I271" s="497">
        <v>0.6231</v>
      </c>
      <c r="J271" s="497">
        <v>0.6231</v>
      </c>
      <c r="K271" s="497">
        <v>0.6231</v>
      </c>
      <c r="L271" s="497">
        <v>0.6231</v>
      </c>
      <c r="M271" s="502">
        <v>0.6231</v>
      </c>
    </row>
    <row r="272" spans="1:13">
      <c r="A272" s="498">
        <v>9.5</v>
      </c>
      <c r="B272" s="497">
        <v>0.8358</v>
      </c>
      <c r="C272" s="497">
        <v>0.8358</v>
      </c>
      <c r="D272" s="497">
        <v>0.7996</v>
      </c>
      <c r="E272" s="497">
        <v>0.7996</v>
      </c>
      <c r="F272" s="497">
        <v>0.7996</v>
      </c>
      <c r="G272" s="497">
        <v>0.7996</v>
      </c>
      <c r="H272" s="497">
        <v>0.7996</v>
      </c>
      <c r="I272" s="497">
        <v>0.6211</v>
      </c>
      <c r="J272" s="497">
        <v>0.6211</v>
      </c>
      <c r="K272" s="497">
        <v>0.6211</v>
      </c>
      <c r="L272" s="497">
        <v>0.6211</v>
      </c>
      <c r="M272" s="502">
        <v>0.6211</v>
      </c>
    </row>
    <row r="273" spans="1:13">
      <c r="A273" s="498">
        <v>9.6</v>
      </c>
      <c r="B273" s="497">
        <v>0.8346</v>
      </c>
      <c r="C273" s="497">
        <v>0.8346</v>
      </c>
      <c r="D273" s="497">
        <v>0.798</v>
      </c>
      <c r="E273" s="497">
        <v>0.798</v>
      </c>
      <c r="F273" s="497">
        <v>0.798</v>
      </c>
      <c r="G273" s="497">
        <v>0.798</v>
      </c>
      <c r="H273" s="497">
        <v>0.798</v>
      </c>
      <c r="I273" s="497">
        <v>0.6191</v>
      </c>
      <c r="J273" s="497">
        <v>0.6191</v>
      </c>
      <c r="K273" s="497">
        <v>0.6191</v>
      </c>
      <c r="L273" s="497">
        <v>0.6191</v>
      </c>
      <c r="M273" s="502">
        <v>0.6191</v>
      </c>
    </row>
    <row r="274" spans="1:13">
      <c r="A274" s="498">
        <v>9.7</v>
      </c>
      <c r="B274" s="497">
        <v>0.8334</v>
      </c>
      <c r="C274" s="497">
        <v>0.8334</v>
      </c>
      <c r="D274" s="497">
        <v>0.7965</v>
      </c>
      <c r="E274" s="497">
        <v>0.7965</v>
      </c>
      <c r="F274" s="497">
        <v>0.7965</v>
      </c>
      <c r="G274" s="497">
        <v>0.7965</v>
      </c>
      <c r="H274" s="497">
        <v>0.7965</v>
      </c>
      <c r="I274" s="497">
        <v>0.6172</v>
      </c>
      <c r="J274" s="497">
        <v>0.6172</v>
      </c>
      <c r="K274" s="497">
        <v>0.6172</v>
      </c>
      <c r="L274" s="497">
        <v>0.6172</v>
      </c>
      <c r="M274" s="502">
        <v>0.6172</v>
      </c>
    </row>
    <row r="275" spans="1:13">
      <c r="A275" s="498">
        <v>9.8</v>
      </c>
      <c r="B275" s="497">
        <v>0.8322</v>
      </c>
      <c r="C275" s="497">
        <v>0.8322</v>
      </c>
      <c r="D275" s="497">
        <v>0.795</v>
      </c>
      <c r="E275" s="497">
        <v>0.795</v>
      </c>
      <c r="F275" s="497">
        <v>0.795</v>
      </c>
      <c r="G275" s="497">
        <v>0.795</v>
      </c>
      <c r="H275" s="497">
        <v>0.795</v>
      </c>
      <c r="I275" s="497">
        <v>0.6153</v>
      </c>
      <c r="J275" s="497">
        <v>0.6153</v>
      </c>
      <c r="K275" s="497">
        <v>0.6153</v>
      </c>
      <c r="L275" s="497">
        <v>0.6153</v>
      </c>
      <c r="M275" s="502">
        <v>0.6153</v>
      </c>
    </row>
    <row r="276" ht="14.75" spans="1:13">
      <c r="A276" s="505">
        <v>9.9</v>
      </c>
      <c r="B276" s="506">
        <v>0.831</v>
      </c>
      <c r="C276" s="506">
        <v>0.831</v>
      </c>
      <c r="D276" s="506">
        <v>0.7935</v>
      </c>
      <c r="E276" s="506">
        <v>0.7935</v>
      </c>
      <c r="F276" s="506">
        <v>0.7935</v>
      </c>
      <c r="G276" s="506">
        <v>0.7935</v>
      </c>
      <c r="H276" s="506">
        <v>0.7935</v>
      </c>
      <c r="I276" s="506">
        <v>0.6134</v>
      </c>
      <c r="J276" s="506">
        <v>0.6134</v>
      </c>
      <c r="K276" s="506">
        <v>0.6134</v>
      </c>
      <c r="L276" s="506">
        <v>0.6134</v>
      </c>
      <c r="M276" s="507">
        <v>0.6134</v>
      </c>
    </row>
    <row r="277" ht="15.75" spans="1:13">
      <c r="A277" s="492" t="s">
        <v>2163</v>
      </c>
      <c r="B277" s="492"/>
      <c r="C277" s="492"/>
      <c r="D277" s="492"/>
      <c r="E277" s="492"/>
      <c r="F277" s="492"/>
      <c r="G277" s="492"/>
      <c r="H277" s="492"/>
      <c r="I277" s="492"/>
      <c r="J277" s="492"/>
      <c r="K277" s="492"/>
      <c r="L277" s="492"/>
      <c r="M277" s="492"/>
    </row>
    <row r="278" spans="1:21">
      <c r="A278" s="493" t="s">
        <v>2156</v>
      </c>
      <c r="B278" s="494" t="s">
        <v>230</v>
      </c>
      <c r="C278" s="494" t="s">
        <v>241</v>
      </c>
      <c r="D278" s="494" t="s">
        <v>251</v>
      </c>
      <c r="E278" s="494" t="s">
        <v>259</v>
      </c>
      <c r="F278" s="494" t="s">
        <v>267</v>
      </c>
      <c r="G278" s="494" t="s">
        <v>273</v>
      </c>
      <c r="H278" s="495" t="s">
        <v>278</v>
      </c>
      <c r="I278" s="495" t="s">
        <v>284</v>
      </c>
      <c r="J278" s="500" t="s">
        <v>288</v>
      </c>
      <c r="K278" s="500" t="s">
        <v>292</v>
      </c>
      <c r="L278" s="500" t="s">
        <v>296</v>
      </c>
      <c r="M278" s="501" t="s">
        <v>300</v>
      </c>
      <c r="Q278" s="504" t="s">
        <v>2157</v>
      </c>
      <c r="R278" s="504" t="s">
        <v>2158</v>
      </c>
      <c r="S278" s="504" t="s">
        <v>2164</v>
      </c>
      <c r="T278" s="504" t="s">
        <v>2165</v>
      </c>
      <c r="U278" s="504" t="s">
        <v>2160</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502">
        <v>1</v>
      </c>
      <c r="Q279" s="504">
        <v>10</v>
      </c>
      <c r="R279" s="504">
        <f>ROUND(0.7836-0.012*Q279,4)</f>
        <v>0.6636</v>
      </c>
      <c r="S279" s="504">
        <f>ROUND(0.753-0.015*Q279,4)</f>
        <v>0.603</v>
      </c>
      <c r="T279" s="504">
        <f>ROUND(0.6612-0.018*Q279,4)</f>
        <v>0.4812</v>
      </c>
      <c r="U279" s="504">
        <f>ROUND(0.5905-0.019*R279,4)</f>
        <v>0.5779</v>
      </c>
    </row>
    <row r="280" spans="1:13">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502">
        <v>0.9686</v>
      </c>
    </row>
    <row r="281" spans="1:13">
      <c r="A281" s="496">
        <v>1.2</v>
      </c>
      <c r="B281" s="497">
        <v>1.0598</v>
      </c>
      <c r="C281" s="497">
        <v>1.0598</v>
      </c>
      <c r="D281" s="497">
        <v>1.0691</v>
      </c>
      <c r="E281" s="497">
        <v>1.0691</v>
      </c>
      <c r="F281" s="497">
        <v>1.0691</v>
      </c>
      <c r="G281" s="497">
        <v>1</v>
      </c>
      <c r="H281" s="497">
        <v>1</v>
      </c>
      <c r="I281" s="497">
        <v>0.9388</v>
      </c>
      <c r="J281" s="497">
        <v>0.9388</v>
      </c>
      <c r="K281" s="497">
        <v>0.9388</v>
      </c>
      <c r="L281" s="497">
        <v>0.9388</v>
      </c>
      <c r="M281" s="502">
        <v>0.9388</v>
      </c>
    </row>
    <row r="282" spans="1:13">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502">
        <v>0.9107</v>
      </c>
    </row>
    <row r="283" spans="1:13">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502">
        <v>0.8841</v>
      </c>
    </row>
    <row r="284" spans="1:13">
      <c r="A284" s="496">
        <v>1.5</v>
      </c>
      <c r="B284" s="497">
        <v>1</v>
      </c>
      <c r="C284" s="497">
        <v>1</v>
      </c>
      <c r="D284" s="497">
        <v>1</v>
      </c>
      <c r="E284" s="497">
        <v>1</v>
      </c>
      <c r="F284" s="497">
        <v>1</v>
      </c>
      <c r="G284" s="497">
        <v>0.9238</v>
      </c>
      <c r="H284" s="497">
        <v>0.9238</v>
      </c>
      <c r="I284" s="497">
        <v>0.8589</v>
      </c>
      <c r="J284" s="497">
        <v>0.8589</v>
      </c>
      <c r="K284" s="497">
        <v>0.8589</v>
      </c>
      <c r="L284" s="497">
        <v>0.8589</v>
      </c>
      <c r="M284" s="502">
        <v>0.8589</v>
      </c>
    </row>
    <row r="285" spans="1:13">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502">
        <v>0.8351</v>
      </c>
    </row>
    <row r="286" spans="1:13">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502">
        <v>0.8127</v>
      </c>
    </row>
    <row r="287" spans="1:13">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502">
        <v>0.7915</v>
      </c>
    </row>
    <row r="288" spans="1:13">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502">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502">
        <v>0.7527</v>
      </c>
    </row>
    <row r="290" spans="1:13">
      <c r="A290" s="498">
        <v>2.1</v>
      </c>
      <c r="B290" s="497">
        <v>0.9076</v>
      </c>
      <c r="C290" s="497">
        <v>0.9076</v>
      </c>
      <c r="D290" s="497">
        <v>0.8932</v>
      </c>
      <c r="E290" s="497">
        <v>0.8932</v>
      </c>
      <c r="F290" s="497">
        <v>0.8932</v>
      </c>
      <c r="G290" s="497">
        <v>0.8059</v>
      </c>
      <c r="H290" s="497">
        <v>0.8059</v>
      </c>
      <c r="I290" s="497">
        <v>0.735</v>
      </c>
      <c r="J290" s="497">
        <v>0.735</v>
      </c>
      <c r="K290" s="497">
        <v>0.735</v>
      </c>
      <c r="L290" s="497">
        <v>0.735</v>
      </c>
      <c r="M290" s="502">
        <v>0.735</v>
      </c>
    </row>
    <row r="291" spans="1:13">
      <c r="A291" s="498">
        <v>2.2</v>
      </c>
      <c r="B291" s="497">
        <v>0.8952</v>
      </c>
      <c r="C291" s="497">
        <v>0.8952</v>
      </c>
      <c r="D291" s="497">
        <v>0.8788</v>
      </c>
      <c r="E291" s="497">
        <v>0.8788</v>
      </c>
      <c r="F291" s="497">
        <v>0.8788</v>
      </c>
      <c r="G291" s="497">
        <v>0.79</v>
      </c>
      <c r="H291" s="497">
        <v>0.79</v>
      </c>
      <c r="I291" s="497">
        <v>0.7184</v>
      </c>
      <c r="J291" s="497">
        <v>0.7184</v>
      </c>
      <c r="K291" s="497">
        <v>0.7184</v>
      </c>
      <c r="L291" s="497">
        <v>0.7184</v>
      </c>
      <c r="M291" s="502">
        <v>0.7184</v>
      </c>
    </row>
    <row r="292" spans="1:13">
      <c r="A292" s="498">
        <v>2.3</v>
      </c>
      <c r="B292" s="497">
        <v>0.8836</v>
      </c>
      <c r="C292" s="497">
        <v>0.8836</v>
      </c>
      <c r="D292" s="497">
        <v>0.8653</v>
      </c>
      <c r="E292" s="497">
        <v>0.8653</v>
      </c>
      <c r="F292" s="497">
        <v>0.8653</v>
      </c>
      <c r="G292" s="497">
        <v>0.7751</v>
      </c>
      <c r="H292" s="497">
        <v>0.7751</v>
      </c>
      <c r="I292" s="497">
        <v>0.7027</v>
      </c>
      <c r="J292" s="497">
        <v>0.7027</v>
      </c>
      <c r="K292" s="497">
        <v>0.7027</v>
      </c>
      <c r="L292" s="497">
        <v>0.7027</v>
      </c>
      <c r="M292" s="502">
        <v>0.7027</v>
      </c>
    </row>
    <row r="293" spans="1:13">
      <c r="A293" s="498">
        <v>2.4</v>
      </c>
      <c r="B293" s="497">
        <v>0.8726</v>
      </c>
      <c r="C293" s="497">
        <v>0.8726</v>
      </c>
      <c r="D293" s="497">
        <v>0.8526</v>
      </c>
      <c r="E293" s="497">
        <v>0.8526</v>
      </c>
      <c r="F293" s="497">
        <v>0.8526</v>
      </c>
      <c r="G293" s="497">
        <v>0.761</v>
      </c>
      <c r="H293" s="497">
        <v>0.761</v>
      </c>
      <c r="I293" s="497">
        <v>0.688</v>
      </c>
      <c r="J293" s="497">
        <v>0.688</v>
      </c>
      <c r="K293" s="497">
        <v>0.688</v>
      </c>
      <c r="L293" s="497">
        <v>0.688</v>
      </c>
      <c r="M293" s="502">
        <v>0.688</v>
      </c>
    </row>
    <row r="294" spans="1:13">
      <c r="A294" s="498">
        <v>2.5</v>
      </c>
      <c r="B294" s="497">
        <v>0.8623</v>
      </c>
      <c r="C294" s="497">
        <v>0.8623</v>
      </c>
      <c r="D294" s="497">
        <v>0.8407</v>
      </c>
      <c r="E294" s="497">
        <v>0.8407</v>
      </c>
      <c r="F294" s="497">
        <v>0.8407</v>
      </c>
      <c r="G294" s="497">
        <v>0.7478</v>
      </c>
      <c r="H294" s="497">
        <v>0.7478</v>
      </c>
      <c r="I294" s="497">
        <v>0.6741</v>
      </c>
      <c r="J294" s="497">
        <v>0.6741</v>
      </c>
      <c r="K294" s="497">
        <v>0.6741</v>
      </c>
      <c r="L294" s="497">
        <v>0.6741</v>
      </c>
      <c r="M294" s="502">
        <v>0.6741</v>
      </c>
    </row>
    <row r="295" spans="1:13">
      <c r="A295" s="498">
        <v>2.6</v>
      </c>
      <c r="B295" s="497">
        <v>0.8527</v>
      </c>
      <c r="C295" s="497">
        <v>0.8527</v>
      </c>
      <c r="D295" s="497">
        <v>0.8295</v>
      </c>
      <c r="E295" s="497">
        <v>0.8295</v>
      </c>
      <c r="F295" s="497">
        <v>0.8295</v>
      </c>
      <c r="G295" s="497">
        <v>0.7354</v>
      </c>
      <c r="H295" s="497">
        <v>0.7354</v>
      </c>
      <c r="I295" s="497">
        <v>0.6611</v>
      </c>
      <c r="J295" s="497">
        <v>0.6611</v>
      </c>
      <c r="K295" s="497">
        <v>0.6611</v>
      </c>
      <c r="L295" s="497">
        <v>0.6611</v>
      </c>
      <c r="M295" s="502">
        <v>0.6611</v>
      </c>
    </row>
    <row r="296" spans="1:13">
      <c r="A296" s="498">
        <v>2.7</v>
      </c>
      <c r="B296" s="497">
        <v>0.8436</v>
      </c>
      <c r="C296" s="497">
        <v>0.8436</v>
      </c>
      <c r="D296" s="497">
        <v>0.819</v>
      </c>
      <c r="E296" s="497">
        <v>0.819</v>
      </c>
      <c r="F296" s="497">
        <v>0.819</v>
      </c>
      <c r="G296" s="497">
        <v>0.7238</v>
      </c>
      <c r="H296" s="497">
        <v>0.7238</v>
      </c>
      <c r="I296" s="497">
        <v>0.6488</v>
      </c>
      <c r="J296" s="497">
        <v>0.6488</v>
      </c>
      <c r="K296" s="497">
        <v>0.6488</v>
      </c>
      <c r="L296" s="497">
        <v>0.6488</v>
      </c>
      <c r="M296" s="502">
        <v>0.6488</v>
      </c>
    </row>
    <row r="297" spans="1:13">
      <c r="A297" s="498">
        <v>2.8</v>
      </c>
      <c r="B297" s="497">
        <v>0.8351</v>
      </c>
      <c r="C297" s="497">
        <v>0.8351</v>
      </c>
      <c r="D297" s="497">
        <v>0.8091</v>
      </c>
      <c r="E297" s="497">
        <v>0.8091</v>
      </c>
      <c r="F297" s="497">
        <v>0.8091</v>
      </c>
      <c r="G297" s="497">
        <v>0.7129</v>
      </c>
      <c r="H297" s="497">
        <v>0.7129</v>
      </c>
      <c r="I297" s="497">
        <v>0.6374</v>
      </c>
      <c r="J297" s="497">
        <v>0.6374</v>
      </c>
      <c r="K297" s="497">
        <v>0.6374</v>
      </c>
      <c r="L297" s="497">
        <v>0.6374</v>
      </c>
      <c r="M297" s="502">
        <v>0.6374</v>
      </c>
    </row>
    <row r="298" spans="1:13">
      <c r="A298" s="498">
        <v>2.9</v>
      </c>
      <c r="B298" s="497">
        <v>0.8272</v>
      </c>
      <c r="C298" s="497">
        <v>0.8272</v>
      </c>
      <c r="D298" s="497">
        <v>0.7999</v>
      </c>
      <c r="E298" s="497">
        <v>0.7999</v>
      </c>
      <c r="F298" s="497">
        <v>0.7999</v>
      </c>
      <c r="G298" s="497">
        <v>0.7026</v>
      </c>
      <c r="H298" s="497">
        <v>0.7026</v>
      </c>
      <c r="I298" s="497">
        <v>0.6266</v>
      </c>
      <c r="J298" s="497">
        <v>0.6266</v>
      </c>
      <c r="K298" s="497">
        <v>0.6266</v>
      </c>
      <c r="L298" s="497">
        <v>0.6266</v>
      </c>
      <c r="M298" s="502">
        <v>0.6266</v>
      </c>
    </row>
    <row r="299" spans="1:13">
      <c r="A299" s="498">
        <v>3</v>
      </c>
      <c r="B299" s="497">
        <v>0.8197</v>
      </c>
      <c r="C299" s="497">
        <v>0.8197</v>
      </c>
      <c r="D299" s="497">
        <v>0.7912</v>
      </c>
      <c r="E299" s="497">
        <v>0.7912</v>
      </c>
      <c r="F299" s="497">
        <v>0.7912</v>
      </c>
      <c r="G299" s="497">
        <v>0.693</v>
      </c>
      <c r="H299" s="497">
        <v>0.693</v>
      </c>
      <c r="I299" s="497">
        <v>0.6165</v>
      </c>
      <c r="J299" s="497">
        <v>0.6165</v>
      </c>
      <c r="K299" s="497">
        <v>0.6165</v>
      </c>
      <c r="L299" s="497">
        <v>0.6165</v>
      </c>
      <c r="M299" s="502">
        <v>0.6165</v>
      </c>
    </row>
    <row r="300" spans="1:13">
      <c r="A300" s="498">
        <v>3.1</v>
      </c>
      <c r="B300" s="497">
        <v>0.8128</v>
      </c>
      <c r="C300" s="497">
        <v>0.8128</v>
      </c>
      <c r="D300" s="497">
        <v>0.7831</v>
      </c>
      <c r="E300" s="497">
        <v>0.7831</v>
      </c>
      <c r="F300" s="497">
        <v>0.7831</v>
      </c>
      <c r="G300" s="497">
        <v>0.684</v>
      </c>
      <c r="H300" s="497">
        <v>0.684</v>
      </c>
      <c r="I300" s="497">
        <v>0.6071</v>
      </c>
      <c r="J300" s="497">
        <v>0.6071</v>
      </c>
      <c r="K300" s="497">
        <v>0.6071</v>
      </c>
      <c r="L300" s="497">
        <v>0.6071</v>
      </c>
      <c r="M300" s="502">
        <v>0.6071</v>
      </c>
    </row>
    <row r="301" spans="1:13">
      <c r="A301" s="498">
        <v>3.2</v>
      </c>
      <c r="B301" s="497">
        <v>0.8062</v>
      </c>
      <c r="C301" s="497">
        <v>0.8062</v>
      </c>
      <c r="D301" s="497">
        <v>0.7755</v>
      </c>
      <c r="E301" s="497">
        <v>0.7755</v>
      </c>
      <c r="F301" s="497">
        <v>0.7755</v>
      </c>
      <c r="G301" s="497">
        <v>0.6756</v>
      </c>
      <c r="H301" s="497">
        <v>0.6756</v>
      </c>
      <c r="I301" s="497">
        <v>0.5981</v>
      </c>
      <c r="J301" s="497">
        <v>0.5981</v>
      </c>
      <c r="K301" s="497">
        <v>0.5981</v>
      </c>
      <c r="L301" s="497">
        <v>0.5981</v>
      </c>
      <c r="M301" s="502">
        <v>0.5981</v>
      </c>
    </row>
    <row r="302" spans="1:13">
      <c r="A302" s="498">
        <v>3.3</v>
      </c>
      <c r="B302" s="497">
        <v>0.8001</v>
      </c>
      <c r="C302" s="497">
        <v>0.8001</v>
      </c>
      <c r="D302" s="497">
        <v>0.7684</v>
      </c>
      <c r="E302" s="497">
        <v>0.7684</v>
      </c>
      <c r="F302" s="497">
        <v>0.7684</v>
      </c>
      <c r="G302" s="497">
        <v>0.6677</v>
      </c>
      <c r="H302" s="497">
        <v>0.6677</v>
      </c>
      <c r="I302" s="497">
        <v>0.5898</v>
      </c>
      <c r="J302" s="497">
        <v>0.5898</v>
      </c>
      <c r="K302" s="497">
        <v>0.5898</v>
      </c>
      <c r="L302" s="497">
        <v>0.5898</v>
      </c>
      <c r="M302" s="502">
        <v>0.5898</v>
      </c>
    </row>
    <row r="303" spans="1:13">
      <c r="A303" s="498">
        <v>3.4</v>
      </c>
      <c r="B303" s="497">
        <v>0.7944</v>
      </c>
      <c r="C303" s="497">
        <v>0.7944</v>
      </c>
      <c r="D303" s="497">
        <v>0.7617</v>
      </c>
      <c r="E303" s="497">
        <v>0.7617</v>
      </c>
      <c r="F303" s="497">
        <v>0.7617</v>
      </c>
      <c r="G303" s="497">
        <v>0.6602</v>
      </c>
      <c r="H303" s="497">
        <v>0.6602</v>
      </c>
      <c r="I303" s="497">
        <v>0.5821</v>
      </c>
      <c r="J303" s="497">
        <v>0.5821</v>
      </c>
      <c r="K303" s="497">
        <v>0.5821</v>
      </c>
      <c r="L303" s="497">
        <v>0.5821</v>
      </c>
      <c r="M303" s="502">
        <v>0.5821</v>
      </c>
    </row>
    <row r="304" spans="1:13">
      <c r="A304" s="498">
        <v>3.5</v>
      </c>
      <c r="B304" s="497">
        <v>0.7891</v>
      </c>
      <c r="C304" s="497">
        <v>0.7891</v>
      </c>
      <c r="D304" s="497">
        <v>0.7555</v>
      </c>
      <c r="E304" s="497">
        <v>0.7555</v>
      </c>
      <c r="F304" s="497">
        <v>0.7555</v>
      </c>
      <c r="G304" s="497">
        <v>0.6533</v>
      </c>
      <c r="H304" s="497">
        <v>0.6533</v>
      </c>
      <c r="I304" s="497">
        <v>0.5748</v>
      </c>
      <c r="J304" s="497">
        <v>0.5748</v>
      </c>
      <c r="K304" s="497">
        <v>0.5748</v>
      </c>
      <c r="L304" s="497">
        <v>0.5748</v>
      </c>
      <c r="M304" s="502">
        <v>0.5748</v>
      </c>
    </row>
    <row r="305" spans="1:13">
      <c r="A305" s="498">
        <v>3.6</v>
      </c>
      <c r="B305" s="497">
        <v>0.7841</v>
      </c>
      <c r="C305" s="497">
        <v>0.7841</v>
      </c>
      <c r="D305" s="497">
        <v>0.7496</v>
      </c>
      <c r="E305" s="497">
        <v>0.7496</v>
      </c>
      <c r="F305" s="497">
        <v>0.7496</v>
      </c>
      <c r="G305" s="497">
        <v>0.6468</v>
      </c>
      <c r="H305" s="497">
        <v>0.6468</v>
      </c>
      <c r="I305" s="497">
        <v>0.5679</v>
      </c>
      <c r="J305" s="497">
        <v>0.5679</v>
      </c>
      <c r="K305" s="497">
        <v>0.5679</v>
      </c>
      <c r="L305" s="497">
        <v>0.5679</v>
      </c>
      <c r="M305" s="502">
        <v>0.5679</v>
      </c>
    </row>
    <row r="306" spans="1:13">
      <c r="A306" s="498">
        <v>3.7</v>
      </c>
      <c r="B306" s="497">
        <v>0.7794</v>
      </c>
      <c r="C306" s="497">
        <v>0.7794</v>
      </c>
      <c r="D306" s="497">
        <v>0.7441</v>
      </c>
      <c r="E306" s="497">
        <v>0.7441</v>
      </c>
      <c r="F306" s="497">
        <v>0.7441</v>
      </c>
      <c r="G306" s="497">
        <v>0.6407</v>
      </c>
      <c r="H306" s="497">
        <v>0.6407</v>
      </c>
      <c r="I306" s="497">
        <v>0.5615</v>
      </c>
      <c r="J306" s="497">
        <v>0.5615</v>
      </c>
      <c r="K306" s="497">
        <v>0.5615</v>
      </c>
      <c r="L306" s="497">
        <v>0.5615</v>
      </c>
      <c r="M306" s="502">
        <v>0.5615</v>
      </c>
    </row>
    <row r="307" spans="1:13">
      <c r="A307" s="498">
        <v>3.8</v>
      </c>
      <c r="B307" s="497">
        <v>0.775</v>
      </c>
      <c r="C307" s="497">
        <v>0.775</v>
      </c>
      <c r="D307" s="497">
        <v>0.739</v>
      </c>
      <c r="E307" s="497">
        <v>0.739</v>
      </c>
      <c r="F307" s="497">
        <v>0.739</v>
      </c>
      <c r="G307" s="497">
        <v>0.6349</v>
      </c>
      <c r="H307" s="497">
        <v>0.6349</v>
      </c>
      <c r="I307" s="497">
        <v>0.5555</v>
      </c>
      <c r="J307" s="497">
        <v>0.5555</v>
      </c>
      <c r="K307" s="497">
        <v>0.5555</v>
      </c>
      <c r="L307" s="497">
        <v>0.5555</v>
      </c>
      <c r="M307" s="502">
        <v>0.5555</v>
      </c>
    </row>
    <row r="308" spans="1:13">
      <c r="A308" s="498">
        <v>3.9</v>
      </c>
      <c r="B308" s="497">
        <v>0.7709</v>
      </c>
      <c r="C308" s="497">
        <v>0.7709</v>
      </c>
      <c r="D308" s="497">
        <v>0.7342</v>
      </c>
      <c r="E308" s="497">
        <v>0.7342</v>
      </c>
      <c r="F308" s="497">
        <v>0.7342</v>
      </c>
      <c r="G308" s="497">
        <v>0.6295</v>
      </c>
      <c r="H308" s="497">
        <v>0.6295</v>
      </c>
      <c r="I308" s="497">
        <v>0.5499</v>
      </c>
      <c r="J308" s="497">
        <v>0.5499</v>
      </c>
      <c r="K308" s="497">
        <v>0.5499</v>
      </c>
      <c r="L308" s="497">
        <v>0.5499</v>
      </c>
      <c r="M308" s="502">
        <v>0.5499</v>
      </c>
    </row>
    <row r="309" spans="1:13">
      <c r="A309" s="498">
        <v>4</v>
      </c>
      <c r="B309" s="497">
        <v>0.7671</v>
      </c>
      <c r="C309" s="497">
        <v>0.7671</v>
      </c>
      <c r="D309" s="497">
        <v>0.7297</v>
      </c>
      <c r="E309" s="497">
        <v>0.7297</v>
      </c>
      <c r="F309" s="497">
        <v>0.7297</v>
      </c>
      <c r="G309" s="497">
        <v>0.6245</v>
      </c>
      <c r="H309" s="497">
        <v>0.6245</v>
      </c>
      <c r="I309" s="497">
        <v>0.5445</v>
      </c>
      <c r="J309" s="497">
        <v>0.5445</v>
      </c>
      <c r="K309" s="497">
        <v>0.5445</v>
      </c>
      <c r="L309" s="497">
        <v>0.5445</v>
      </c>
      <c r="M309" s="502">
        <v>0.5445</v>
      </c>
    </row>
    <row r="310" spans="1:13">
      <c r="A310" s="498">
        <v>4.1</v>
      </c>
      <c r="B310" s="497">
        <v>0.7635</v>
      </c>
      <c r="C310" s="497">
        <v>0.7635</v>
      </c>
      <c r="D310" s="497">
        <v>0.7254</v>
      </c>
      <c r="E310" s="497">
        <v>0.7254</v>
      </c>
      <c r="F310" s="497">
        <v>0.7254</v>
      </c>
      <c r="G310" s="497">
        <v>0.6197</v>
      </c>
      <c r="H310" s="497">
        <v>0.6197</v>
      </c>
      <c r="I310" s="497">
        <v>0.5396</v>
      </c>
      <c r="J310" s="497">
        <v>0.5396</v>
      </c>
      <c r="K310" s="497">
        <v>0.5396</v>
      </c>
      <c r="L310" s="497">
        <v>0.5396</v>
      </c>
      <c r="M310" s="502">
        <v>0.5396</v>
      </c>
    </row>
    <row r="311" spans="1:13">
      <c r="A311" s="498">
        <v>4.2</v>
      </c>
      <c r="B311" s="497">
        <v>0.7601</v>
      </c>
      <c r="C311" s="497">
        <v>0.7601</v>
      </c>
      <c r="D311" s="497">
        <v>0.7214</v>
      </c>
      <c r="E311" s="497">
        <v>0.7214</v>
      </c>
      <c r="F311" s="497">
        <v>0.7214</v>
      </c>
      <c r="G311" s="497">
        <v>0.6153</v>
      </c>
      <c r="H311" s="497">
        <v>0.6153</v>
      </c>
      <c r="I311" s="497">
        <v>0.5349</v>
      </c>
      <c r="J311" s="497">
        <v>0.5349</v>
      </c>
      <c r="K311" s="497">
        <v>0.5349</v>
      </c>
      <c r="L311" s="497">
        <v>0.5349</v>
      </c>
      <c r="M311" s="502">
        <v>0.5349</v>
      </c>
    </row>
    <row r="312" spans="1:13">
      <c r="A312" s="498">
        <v>4.3</v>
      </c>
      <c r="B312" s="497">
        <v>0.757</v>
      </c>
      <c r="C312" s="497">
        <v>0.757</v>
      </c>
      <c r="D312" s="497">
        <v>0.7177</v>
      </c>
      <c r="E312" s="497">
        <v>0.7177</v>
      </c>
      <c r="F312" s="497">
        <v>0.7177</v>
      </c>
      <c r="G312" s="497">
        <v>0.6111</v>
      </c>
      <c r="H312" s="497">
        <v>0.6111</v>
      </c>
      <c r="I312" s="497">
        <v>0.5305</v>
      </c>
      <c r="J312" s="497">
        <v>0.5305</v>
      </c>
      <c r="K312" s="497">
        <v>0.5305</v>
      </c>
      <c r="L312" s="497">
        <v>0.5305</v>
      </c>
      <c r="M312" s="502">
        <v>0.5305</v>
      </c>
    </row>
    <row r="313" spans="1:13">
      <c r="A313" s="498">
        <v>4.4</v>
      </c>
      <c r="B313" s="497">
        <v>0.754</v>
      </c>
      <c r="C313" s="497">
        <v>0.754</v>
      </c>
      <c r="D313" s="497">
        <v>0.7141</v>
      </c>
      <c r="E313" s="497">
        <v>0.7141</v>
      </c>
      <c r="F313" s="497">
        <v>0.7141</v>
      </c>
      <c r="G313" s="497">
        <v>0.6071</v>
      </c>
      <c r="H313" s="497">
        <v>0.6071</v>
      </c>
      <c r="I313" s="497">
        <v>0.5264</v>
      </c>
      <c r="J313" s="497">
        <v>0.5264</v>
      </c>
      <c r="K313" s="497">
        <v>0.5264</v>
      </c>
      <c r="L313" s="497">
        <v>0.5264</v>
      </c>
      <c r="M313" s="502">
        <v>0.5264</v>
      </c>
    </row>
    <row r="314" spans="1:13">
      <c r="A314" s="498">
        <v>4.5</v>
      </c>
      <c r="B314" s="497">
        <v>0.7512</v>
      </c>
      <c r="C314" s="497">
        <v>0.7512</v>
      </c>
      <c r="D314" s="497">
        <v>0.7108</v>
      </c>
      <c r="E314" s="497">
        <v>0.7108</v>
      </c>
      <c r="F314" s="497">
        <v>0.7108</v>
      </c>
      <c r="G314" s="497">
        <v>0.6033</v>
      </c>
      <c r="H314" s="497">
        <v>0.6033</v>
      </c>
      <c r="I314" s="497">
        <v>0.5225</v>
      </c>
      <c r="J314" s="497">
        <v>0.5225</v>
      </c>
      <c r="K314" s="497">
        <v>0.5225</v>
      </c>
      <c r="L314" s="497">
        <v>0.5225</v>
      </c>
      <c r="M314" s="502">
        <v>0.5225</v>
      </c>
    </row>
    <row r="315" spans="1:13">
      <c r="A315" s="498">
        <v>4.6</v>
      </c>
      <c r="B315" s="497">
        <v>0.7486</v>
      </c>
      <c r="C315" s="497">
        <v>0.7486</v>
      </c>
      <c r="D315" s="497">
        <v>0.7076</v>
      </c>
      <c r="E315" s="497">
        <v>0.7076</v>
      </c>
      <c r="F315" s="497">
        <v>0.7076</v>
      </c>
      <c r="G315" s="497">
        <v>0.5997</v>
      </c>
      <c r="H315" s="497">
        <v>0.5997</v>
      </c>
      <c r="I315" s="497">
        <v>0.5189</v>
      </c>
      <c r="J315" s="497">
        <v>0.5189</v>
      </c>
      <c r="K315" s="497">
        <v>0.5189</v>
      </c>
      <c r="L315" s="497">
        <v>0.5189</v>
      </c>
      <c r="M315" s="502">
        <v>0.5189</v>
      </c>
    </row>
    <row r="316" spans="1:13">
      <c r="A316" s="498">
        <v>4.7</v>
      </c>
      <c r="B316" s="497">
        <v>0.7461</v>
      </c>
      <c r="C316" s="497">
        <v>0.7461</v>
      </c>
      <c r="D316" s="497">
        <v>0.7046</v>
      </c>
      <c r="E316" s="497">
        <v>0.7046</v>
      </c>
      <c r="F316" s="497">
        <v>0.7046</v>
      </c>
      <c r="G316" s="497">
        <v>0.5963</v>
      </c>
      <c r="H316" s="497">
        <v>0.5963</v>
      </c>
      <c r="I316" s="497">
        <v>0.5153</v>
      </c>
      <c r="J316" s="497">
        <v>0.5153</v>
      </c>
      <c r="K316" s="497">
        <v>0.5153</v>
      </c>
      <c r="L316" s="497">
        <v>0.5153</v>
      </c>
      <c r="M316" s="502">
        <v>0.5153</v>
      </c>
    </row>
    <row r="317" spans="1:13">
      <c r="A317" s="498">
        <v>4.8</v>
      </c>
      <c r="B317" s="497">
        <v>0.7438</v>
      </c>
      <c r="C317" s="497">
        <v>0.7438</v>
      </c>
      <c r="D317" s="497">
        <v>0.7017</v>
      </c>
      <c r="E317" s="497">
        <v>0.7017</v>
      </c>
      <c r="F317" s="497">
        <v>0.7017</v>
      </c>
      <c r="G317" s="497">
        <v>0.5931</v>
      </c>
      <c r="H317" s="497">
        <v>0.5931</v>
      </c>
      <c r="I317" s="497">
        <v>0.5121</v>
      </c>
      <c r="J317" s="497">
        <v>0.5121</v>
      </c>
      <c r="K317" s="497">
        <v>0.5121</v>
      </c>
      <c r="L317" s="497">
        <v>0.5121</v>
      </c>
      <c r="M317" s="502">
        <v>0.5121</v>
      </c>
    </row>
    <row r="318" spans="1:13">
      <c r="A318" s="498">
        <v>4.9</v>
      </c>
      <c r="B318" s="497">
        <v>0.7416</v>
      </c>
      <c r="C318" s="497">
        <v>0.7416</v>
      </c>
      <c r="D318" s="497">
        <v>0.6989</v>
      </c>
      <c r="E318" s="497">
        <v>0.6989</v>
      </c>
      <c r="F318" s="497">
        <v>0.6989</v>
      </c>
      <c r="G318" s="497">
        <v>0.5901</v>
      </c>
      <c r="H318" s="497">
        <v>0.5901</v>
      </c>
      <c r="I318" s="497">
        <v>0.509</v>
      </c>
      <c r="J318" s="497">
        <v>0.509</v>
      </c>
      <c r="K318" s="497">
        <v>0.509</v>
      </c>
      <c r="L318" s="497">
        <v>0.509</v>
      </c>
      <c r="M318" s="502">
        <v>0.509</v>
      </c>
    </row>
    <row r="319" spans="1:13">
      <c r="A319" s="498">
        <v>5</v>
      </c>
      <c r="B319" s="497">
        <v>0.7395</v>
      </c>
      <c r="C319" s="497">
        <v>0.7395</v>
      </c>
      <c r="D319" s="497">
        <v>0.6962</v>
      </c>
      <c r="E319" s="497">
        <v>0.6962</v>
      </c>
      <c r="F319" s="497">
        <v>0.6962</v>
      </c>
      <c r="G319" s="497">
        <v>0.5872</v>
      </c>
      <c r="H319" s="497">
        <v>0.5872</v>
      </c>
      <c r="I319" s="497">
        <v>0.5061</v>
      </c>
      <c r="J319" s="497">
        <v>0.5061</v>
      </c>
      <c r="K319" s="497">
        <v>0.5061</v>
      </c>
      <c r="L319" s="497">
        <v>0.5061</v>
      </c>
      <c r="M319" s="502">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502">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502">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502">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502">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502">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502">
        <v>0.4908</v>
      </c>
    </row>
    <row r="326" spans="1:13">
      <c r="A326" s="498">
        <v>5.7</v>
      </c>
      <c r="B326" s="497">
        <v>0.7264</v>
      </c>
      <c r="C326" s="497">
        <v>0.7264</v>
      </c>
      <c r="D326" s="497">
        <v>0.6799</v>
      </c>
      <c r="E326" s="497">
        <v>0.6799</v>
      </c>
      <c r="F326" s="497">
        <v>0.6799</v>
      </c>
      <c r="G326" s="497">
        <v>0.569</v>
      </c>
      <c r="H326" s="497">
        <v>0.569</v>
      </c>
      <c r="I326" s="497">
        <v>0.4884</v>
      </c>
      <c r="J326" s="497">
        <v>0.4884</v>
      </c>
      <c r="K326" s="497">
        <v>0.4884</v>
      </c>
      <c r="L326" s="497">
        <v>0.4884</v>
      </c>
      <c r="M326" s="502">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502">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502">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502">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502">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502">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502">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502">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502">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502">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502">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502">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502">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502">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502">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502">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502">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502">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502">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502">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502">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502">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502">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502">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502">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502">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502">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502">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502">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502">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502">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502">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502">
        <v>0.4215</v>
      </c>
    </row>
    <row r="359" spans="1:13">
      <c r="A359" s="498">
        <v>9</v>
      </c>
      <c r="B359" s="497">
        <v>0.676</v>
      </c>
      <c r="C359" s="497">
        <v>0.676</v>
      </c>
      <c r="D359" s="497">
        <v>0.6187</v>
      </c>
      <c r="E359" s="497">
        <v>0.6187</v>
      </c>
      <c r="F359" s="497">
        <v>0.6187</v>
      </c>
      <c r="G359" s="497">
        <v>0.4993</v>
      </c>
      <c r="H359" s="497">
        <v>0.4993</v>
      </c>
      <c r="I359" s="497">
        <v>0.4195</v>
      </c>
      <c r="J359" s="497">
        <v>0.4195</v>
      </c>
      <c r="K359" s="497">
        <v>0.4195</v>
      </c>
      <c r="L359" s="497">
        <v>0.4195</v>
      </c>
      <c r="M359" s="502">
        <v>0.4195</v>
      </c>
    </row>
    <row r="360" spans="1:13">
      <c r="A360" s="498">
        <v>9.1</v>
      </c>
      <c r="B360" s="497">
        <v>0.6747</v>
      </c>
      <c r="C360" s="497">
        <v>0.6747</v>
      </c>
      <c r="D360" s="497">
        <v>0.6171</v>
      </c>
      <c r="E360" s="497">
        <v>0.6171</v>
      </c>
      <c r="F360" s="497">
        <v>0.6171</v>
      </c>
      <c r="G360" s="497">
        <v>0.4974</v>
      </c>
      <c r="H360" s="497">
        <v>0.4974</v>
      </c>
      <c r="I360" s="497">
        <v>0.4176</v>
      </c>
      <c r="J360" s="497">
        <v>0.4176</v>
      </c>
      <c r="K360" s="497">
        <v>0.4176</v>
      </c>
      <c r="L360" s="497">
        <v>0.4176</v>
      </c>
      <c r="M360" s="502">
        <v>0.4176</v>
      </c>
    </row>
    <row r="361" spans="1:13">
      <c r="A361" s="498">
        <v>9.2</v>
      </c>
      <c r="B361" s="497">
        <v>0.6734</v>
      </c>
      <c r="C361" s="497">
        <v>0.6734</v>
      </c>
      <c r="D361" s="497">
        <v>0.6155</v>
      </c>
      <c r="E361" s="497">
        <v>0.6155</v>
      </c>
      <c r="F361" s="497">
        <v>0.6155</v>
      </c>
      <c r="G361" s="497">
        <v>0.4956</v>
      </c>
      <c r="H361" s="497">
        <v>0.4956</v>
      </c>
      <c r="I361" s="497">
        <v>0.4157</v>
      </c>
      <c r="J361" s="497">
        <v>0.4157</v>
      </c>
      <c r="K361" s="497">
        <v>0.4157</v>
      </c>
      <c r="L361" s="497">
        <v>0.4157</v>
      </c>
      <c r="M361" s="502">
        <v>0.4157</v>
      </c>
    </row>
    <row r="362" spans="1:13">
      <c r="A362" s="498">
        <v>9.3</v>
      </c>
      <c r="B362" s="497">
        <v>0.6721</v>
      </c>
      <c r="C362" s="497">
        <v>0.6721</v>
      </c>
      <c r="D362" s="497">
        <v>0.6139</v>
      </c>
      <c r="E362" s="497">
        <v>0.6139</v>
      </c>
      <c r="F362" s="497">
        <v>0.6139</v>
      </c>
      <c r="G362" s="497">
        <v>0.4938</v>
      </c>
      <c r="H362" s="497">
        <v>0.4938</v>
      </c>
      <c r="I362" s="497">
        <v>0.4138</v>
      </c>
      <c r="J362" s="497">
        <v>0.4138</v>
      </c>
      <c r="K362" s="497">
        <v>0.4138</v>
      </c>
      <c r="L362" s="497">
        <v>0.4138</v>
      </c>
      <c r="M362" s="502">
        <v>0.4138</v>
      </c>
    </row>
    <row r="363" spans="1:13">
      <c r="A363" s="498">
        <v>9.4</v>
      </c>
      <c r="B363" s="497">
        <v>0.6708</v>
      </c>
      <c r="C363" s="497">
        <v>0.6708</v>
      </c>
      <c r="D363" s="497">
        <v>0.6123</v>
      </c>
      <c r="E363" s="497">
        <v>0.6123</v>
      </c>
      <c r="F363" s="497">
        <v>0.6123</v>
      </c>
      <c r="G363" s="497">
        <v>0.492</v>
      </c>
      <c r="H363" s="497">
        <v>0.492</v>
      </c>
      <c r="I363" s="497">
        <v>0.4119</v>
      </c>
      <c r="J363" s="497">
        <v>0.4119</v>
      </c>
      <c r="K363" s="497">
        <v>0.4119</v>
      </c>
      <c r="L363" s="497">
        <v>0.4119</v>
      </c>
      <c r="M363" s="502">
        <v>0.4119</v>
      </c>
    </row>
    <row r="364" spans="1:13">
      <c r="A364" s="498">
        <v>9.5</v>
      </c>
      <c r="B364" s="497">
        <v>0.6696</v>
      </c>
      <c r="C364" s="497">
        <v>0.6696</v>
      </c>
      <c r="D364" s="497">
        <v>0.6107</v>
      </c>
      <c r="E364" s="497">
        <v>0.6107</v>
      </c>
      <c r="F364" s="497">
        <v>0.6107</v>
      </c>
      <c r="G364" s="497">
        <v>0.4902</v>
      </c>
      <c r="H364" s="497">
        <v>0.4902</v>
      </c>
      <c r="I364" s="497">
        <v>0.41</v>
      </c>
      <c r="J364" s="497">
        <v>0.41</v>
      </c>
      <c r="K364" s="497">
        <v>0.41</v>
      </c>
      <c r="L364" s="497">
        <v>0.41</v>
      </c>
      <c r="M364" s="502">
        <v>0.41</v>
      </c>
    </row>
    <row r="365" spans="1:13">
      <c r="A365" s="498">
        <v>9.6</v>
      </c>
      <c r="B365" s="497">
        <v>0.6684</v>
      </c>
      <c r="C365" s="497">
        <v>0.6684</v>
      </c>
      <c r="D365" s="497">
        <v>0.6091</v>
      </c>
      <c r="E365" s="497">
        <v>0.6091</v>
      </c>
      <c r="F365" s="497">
        <v>0.6091</v>
      </c>
      <c r="G365" s="497">
        <v>0.4884</v>
      </c>
      <c r="H365" s="497">
        <v>0.4884</v>
      </c>
      <c r="I365" s="497">
        <v>0.4081</v>
      </c>
      <c r="J365" s="497">
        <v>0.4081</v>
      </c>
      <c r="K365" s="497">
        <v>0.4081</v>
      </c>
      <c r="L365" s="497">
        <v>0.4081</v>
      </c>
      <c r="M365" s="502">
        <v>0.4081</v>
      </c>
    </row>
    <row r="366" spans="1:13">
      <c r="A366" s="498">
        <v>9.7</v>
      </c>
      <c r="B366" s="497">
        <v>0.6672</v>
      </c>
      <c r="C366" s="497">
        <v>0.6672</v>
      </c>
      <c r="D366" s="497">
        <v>0.6075</v>
      </c>
      <c r="E366" s="497">
        <v>0.6075</v>
      </c>
      <c r="F366" s="497">
        <v>0.6075</v>
      </c>
      <c r="G366" s="497">
        <v>0.4866</v>
      </c>
      <c r="H366" s="497">
        <v>0.4866</v>
      </c>
      <c r="I366" s="497">
        <v>0.4062</v>
      </c>
      <c r="J366" s="497">
        <v>0.4062</v>
      </c>
      <c r="K366" s="497">
        <v>0.4062</v>
      </c>
      <c r="L366" s="497">
        <v>0.4062</v>
      </c>
      <c r="M366" s="502">
        <v>0.4062</v>
      </c>
    </row>
    <row r="367" spans="1:13">
      <c r="A367" s="498">
        <v>9.8</v>
      </c>
      <c r="B367" s="497">
        <v>0.666</v>
      </c>
      <c r="C367" s="497">
        <v>0.666</v>
      </c>
      <c r="D367" s="497">
        <v>0.606</v>
      </c>
      <c r="E367" s="497">
        <v>0.606</v>
      </c>
      <c r="F367" s="497">
        <v>0.606</v>
      </c>
      <c r="G367" s="497">
        <v>0.4848</v>
      </c>
      <c r="H367" s="497">
        <v>0.4848</v>
      </c>
      <c r="I367" s="497">
        <v>0.4043</v>
      </c>
      <c r="J367" s="497">
        <v>0.4043</v>
      </c>
      <c r="K367" s="497">
        <v>0.4043</v>
      </c>
      <c r="L367" s="497">
        <v>0.4043</v>
      </c>
      <c r="M367" s="502">
        <v>0.4043</v>
      </c>
    </row>
    <row r="368" ht="14.75" spans="1:13">
      <c r="A368" s="505">
        <v>9.9</v>
      </c>
      <c r="B368" s="506">
        <v>0.6648</v>
      </c>
      <c r="C368" s="506">
        <v>0.6648</v>
      </c>
      <c r="D368" s="506">
        <v>0.6045</v>
      </c>
      <c r="E368" s="506">
        <v>0.6045</v>
      </c>
      <c r="F368" s="506">
        <v>0.6045</v>
      </c>
      <c r="G368" s="506">
        <v>0.483</v>
      </c>
      <c r="H368" s="506">
        <v>0.483</v>
      </c>
      <c r="I368" s="506">
        <v>0.4024</v>
      </c>
      <c r="J368" s="506">
        <v>0.4024</v>
      </c>
      <c r="K368" s="506">
        <v>0.4024</v>
      </c>
      <c r="L368" s="506">
        <v>0.4024</v>
      </c>
      <c r="M368" s="507">
        <v>0.4024</v>
      </c>
    </row>
    <row r="369" ht="15.75" spans="1:13">
      <c r="A369" s="492" t="s">
        <v>2166</v>
      </c>
      <c r="B369" s="508"/>
      <c r="C369" s="508"/>
      <c r="D369" s="508"/>
      <c r="E369" s="508"/>
      <c r="F369" s="508"/>
      <c r="G369" s="508"/>
      <c r="H369" s="508"/>
      <c r="I369" s="508"/>
      <c r="J369" s="508"/>
      <c r="K369" s="508"/>
      <c r="L369" s="508"/>
      <c r="M369" s="508"/>
    </row>
    <row r="370" spans="1:20">
      <c r="A370" s="493" t="s">
        <v>2156</v>
      </c>
      <c r="B370" s="494" t="s">
        <v>230</v>
      </c>
      <c r="C370" s="494" t="s">
        <v>241</v>
      </c>
      <c r="D370" s="494" t="s">
        <v>251</v>
      </c>
      <c r="E370" s="494" t="s">
        <v>259</v>
      </c>
      <c r="F370" s="494" t="s">
        <v>267</v>
      </c>
      <c r="G370" s="494" t="s">
        <v>273</v>
      </c>
      <c r="H370" s="495" t="s">
        <v>278</v>
      </c>
      <c r="I370" s="495" t="s">
        <v>284</v>
      </c>
      <c r="J370" s="500" t="s">
        <v>288</v>
      </c>
      <c r="K370" s="500" t="s">
        <v>292</v>
      </c>
      <c r="L370" s="500" t="s">
        <v>296</v>
      </c>
      <c r="M370" s="501" t="s">
        <v>300</v>
      </c>
      <c r="N370" s="491">
        <f>SUMPRODUCT((A371:A460=ROUNDDOWN(基准地价修正!G3,1))*(B370:M370=基准地价修正!G2)*(B371:M460))</f>
        <v>0</v>
      </c>
      <c r="Q370" s="504" t="s">
        <v>2157</v>
      </c>
      <c r="R370" s="504" t="s">
        <v>2158</v>
      </c>
      <c r="S370" s="504" t="s">
        <v>2159</v>
      </c>
      <c r="T370" s="504" t="s">
        <v>2160</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502">
        <v>1.1199</v>
      </c>
      <c r="Q371" s="504">
        <v>10</v>
      </c>
      <c r="R371" s="504">
        <f>ROUND(0.9404-0.0106*Q371,4)</f>
        <v>0.8344</v>
      </c>
      <c r="S371" s="504">
        <f>ROUND(0.8955-0.0135*Q371,4)</f>
        <v>0.7605</v>
      </c>
      <c r="T371" s="504">
        <f>ROUND(0.7632-0.0166*Q371,4)</f>
        <v>0.5972</v>
      </c>
    </row>
    <row r="372" spans="1:13">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502">
        <v>1.0931</v>
      </c>
    </row>
    <row r="373" spans="1:13">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502">
        <v>1.0678</v>
      </c>
    </row>
    <row r="374" spans="1:13">
      <c r="A374" s="496">
        <v>1.3</v>
      </c>
      <c r="B374" s="497">
        <v>1.1328</v>
      </c>
      <c r="C374" s="497">
        <v>1.1328</v>
      </c>
      <c r="D374" s="497">
        <v>1.0996</v>
      </c>
      <c r="E374" s="497">
        <v>1.0996</v>
      </c>
      <c r="F374" s="497">
        <v>1.0996</v>
      </c>
      <c r="G374" s="497">
        <v>1.0996</v>
      </c>
      <c r="H374" s="497">
        <v>1.0996</v>
      </c>
      <c r="I374" s="497">
        <v>1.044</v>
      </c>
      <c r="J374" s="497">
        <v>1.044</v>
      </c>
      <c r="K374" s="497">
        <v>1.044</v>
      </c>
      <c r="L374" s="497">
        <v>1.044</v>
      </c>
      <c r="M374" s="502">
        <v>1.044</v>
      </c>
    </row>
    <row r="375" spans="1:13">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502">
        <v>1.0214</v>
      </c>
    </row>
    <row r="376" spans="1:13">
      <c r="A376" s="496">
        <v>1.5</v>
      </c>
      <c r="B376" s="497">
        <v>1.1033</v>
      </c>
      <c r="C376" s="497">
        <v>1.1033</v>
      </c>
      <c r="D376" s="497">
        <v>1.0668</v>
      </c>
      <c r="E376" s="497">
        <v>1.0668</v>
      </c>
      <c r="F376" s="497">
        <v>1.0668</v>
      </c>
      <c r="G376" s="497">
        <v>1.0668</v>
      </c>
      <c r="H376" s="497">
        <v>1.0668</v>
      </c>
      <c r="I376" s="497">
        <v>1</v>
      </c>
      <c r="J376" s="497">
        <v>1</v>
      </c>
      <c r="K376" s="497">
        <v>1</v>
      </c>
      <c r="L376" s="497">
        <v>1</v>
      </c>
      <c r="M376" s="502">
        <v>1</v>
      </c>
    </row>
    <row r="377" spans="1:13">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502">
        <v>0.9799</v>
      </c>
    </row>
    <row r="378" spans="1:13">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502">
        <v>0.9609</v>
      </c>
    </row>
    <row r="379" spans="1:13">
      <c r="A379" s="496">
        <v>1.8</v>
      </c>
      <c r="B379" s="497">
        <v>1.0653</v>
      </c>
      <c r="C379" s="497">
        <v>1.0653</v>
      </c>
      <c r="D379" s="497">
        <v>1.0243</v>
      </c>
      <c r="E379" s="497">
        <v>1.0243</v>
      </c>
      <c r="F379" s="497">
        <v>1.0243</v>
      </c>
      <c r="G379" s="497">
        <v>1.0243</v>
      </c>
      <c r="H379" s="497">
        <v>1.0243</v>
      </c>
      <c r="I379" s="497">
        <v>0.943</v>
      </c>
      <c r="J379" s="497">
        <v>0.943</v>
      </c>
      <c r="K379" s="497">
        <v>0.943</v>
      </c>
      <c r="L379" s="497">
        <v>0.943</v>
      </c>
      <c r="M379" s="502">
        <v>0.943</v>
      </c>
    </row>
    <row r="380" spans="1:13">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502">
        <v>0.9262</v>
      </c>
    </row>
    <row r="381" spans="1:13">
      <c r="A381" s="496">
        <v>2</v>
      </c>
      <c r="B381" s="497">
        <v>1.0435</v>
      </c>
      <c r="C381" s="497">
        <v>1.0435</v>
      </c>
      <c r="D381" s="497">
        <v>1</v>
      </c>
      <c r="E381" s="497">
        <v>1</v>
      </c>
      <c r="F381" s="497">
        <v>1</v>
      </c>
      <c r="G381" s="497">
        <v>1</v>
      </c>
      <c r="H381" s="497">
        <v>1</v>
      </c>
      <c r="I381" s="497">
        <v>0.9103</v>
      </c>
      <c r="J381" s="497">
        <v>0.9103</v>
      </c>
      <c r="K381" s="497">
        <v>0.9103</v>
      </c>
      <c r="L381" s="497">
        <v>0.9103</v>
      </c>
      <c r="M381" s="502">
        <v>0.9103</v>
      </c>
    </row>
    <row r="382" spans="1:13">
      <c r="A382" s="498">
        <v>2.1</v>
      </c>
      <c r="B382" s="497">
        <v>1.0336</v>
      </c>
      <c r="C382" s="497">
        <v>1.0336</v>
      </c>
      <c r="D382" s="497">
        <v>0.989</v>
      </c>
      <c r="E382" s="497">
        <v>0.989</v>
      </c>
      <c r="F382" s="497">
        <v>0.989</v>
      </c>
      <c r="G382" s="497">
        <v>0.989</v>
      </c>
      <c r="H382" s="497">
        <v>0.989</v>
      </c>
      <c r="I382" s="497">
        <v>0.8954</v>
      </c>
      <c r="J382" s="497">
        <v>0.8954</v>
      </c>
      <c r="K382" s="497">
        <v>0.8954</v>
      </c>
      <c r="L382" s="497">
        <v>0.8954</v>
      </c>
      <c r="M382" s="502">
        <v>0.8954</v>
      </c>
    </row>
    <row r="383" spans="1:13">
      <c r="A383" s="498">
        <v>2.2</v>
      </c>
      <c r="B383" s="497">
        <v>1.0243</v>
      </c>
      <c r="C383" s="497">
        <v>1.0243</v>
      </c>
      <c r="D383" s="497">
        <v>0.9786</v>
      </c>
      <c r="E383" s="497">
        <v>0.9786</v>
      </c>
      <c r="F383" s="497">
        <v>0.9786</v>
      </c>
      <c r="G383" s="497">
        <v>0.9786</v>
      </c>
      <c r="H383" s="497">
        <v>0.9786</v>
      </c>
      <c r="I383" s="497">
        <v>0.8814</v>
      </c>
      <c r="J383" s="497">
        <v>0.8814</v>
      </c>
      <c r="K383" s="497">
        <v>0.8814</v>
      </c>
      <c r="L383" s="497">
        <v>0.8814</v>
      </c>
      <c r="M383" s="502">
        <v>0.8814</v>
      </c>
    </row>
    <row r="384" spans="1:13">
      <c r="A384" s="498">
        <v>2.3</v>
      </c>
      <c r="B384" s="497">
        <v>1.0157</v>
      </c>
      <c r="C384" s="497">
        <v>1.0157</v>
      </c>
      <c r="D384" s="497">
        <v>0.9689</v>
      </c>
      <c r="E384" s="497">
        <v>0.9689</v>
      </c>
      <c r="F384" s="497">
        <v>0.9689</v>
      </c>
      <c r="G384" s="497">
        <v>0.9689</v>
      </c>
      <c r="H384" s="497">
        <v>0.9689</v>
      </c>
      <c r="I384" s="497">
        <v>0.8682</v>
      </c>
      <c r="J384" s="497">
        <v>0.8682</v>
      </c>
      <c r="K384" s="497">
        <v>0.8682</v>
      </c>
      <c r="L384" s="497">
        <v>0.8682</v>
      </c>
      <c r="M384" s="502">
        <v>0.8682</v>
      </c>
    </row>
    <row r="385" spans="1:13">
      <c r="A385" s="498">
        <v>2.4</v>
      </c>
      <c r="B385" s="497">
        <v>1.0076</v>
      </c>
      <c r="C385" s="497">
        <v>1.0076</v>
      </c>
      <c r="D385" s="497">
        <v>0.9598</v>
      </c>
      <c r="E385" s="497">
        <v>0.9598</v>
      </c>
      <c r="F385" s="497">
        <v>0.9598</v>
      </c>
      <c r="G385" s="497">
        <v>0.9598</v>
      </c>
      <c r="H385" s="497">
        <v>0.9598</v>
      </c>
      <c r="I385" s="497">
        <v>0.8558</v>
      </c>
      <c r="J385" s="497">
        <v>0.8558</v>
      </c>
      <c r="K385" s="497">
        <v>0.8558</v>
      </c>
      <c r="L385" s="497">
        <v>0.8558</v>
      </c>
      <c r="M385" s="502">
        <v>0.8558</v>
      </c>
    </row>
    <row r="386" spans="1:13">
      <c r="A386" s="498">
        <v>2.5</v>
      </c>
      <c r="B386" s="497">
        <v>1</v>
      </c>
      <c r="C386" s="497">
        <v>1</v>
      </c>
      <c r="D386" s="497">
        <v>0.9512</v>
      </c>
      <c r="E386" s="497">
        <v>0.9512</v>
      </c>
      <c r="F386" s="497">
        <v>0.9512</v>
      </c>
      <c r="G386" s="497">
        <v>0.9512</v>
      </c>
      <c r="H386" s="497">
        <v>0.9512</v>
      </c>
      <c r="I386" s="497">
        <v>0.8442</v>
      </c>
      <c r="J386" s="497">
        <v>0.8442</v>
      </c>
      <c r="K386" s="497">
        <v>0.8442</v>
      </c>
      <c r="L386" s="497">
        <v>0.8442</v>
      </c>
      <c r="M386" s="502">
        <v>0.8442</v>
      </c>
    </row>
    <row r="387" spans="1:13">
      <c r="A387" s="498">
        <v>2.6</v>
      </c>
      <c r="B387" s="497">
        <v>0.9929</v>
      </c>
      <c r="C387" s="497">
        <v>0.9929</v>
      </c>
      <c r="D387" s="497">
        <v>0.9432</v>
      </c>
      <c r="E387" s="497">
        <v>0.9432</v>
      </c>
      <c r="F387" s="497">
        <v>0.9432</v>
      </c>
      <c r="G387" s="497">
        <v>0.9432</v>
      </c>
      <c r="H387" s="497">
        <v>0.9432</v>
      </c>
      <c r="I387" s="497">
        <v>0.8333</v>
      </c>
      <c r="J387" s="497">
        <v>0.8333</v>
      </c>
      <c r="K387" s="497">
        <v>0.8333</v>
      </c>
      <c r="L387" s="497">
        <v>0.8333</v>
      </c>
      <c r="M387" s="502">
        <v>0.8333</v>
      </c>
    </row>
    <row r="388" spans="1:13">
      <c r="A388" s="498">
        <v>2.7</v>
      </c>
      <c r="B388" s="497">
        <v>0.9863</v>
      </c>
      <c r="C388" s="497">
        <v>0.9863</v>
      </c>
      <c r="D388" s="497">
        <v>0.9357</v>
      </c>
      <c r="E388" s="497">
        <v>0.9357</v>
      </c>
      <c r="F388" s="497">
        <v>0.9357</v>
      </c>
      <c r="G388" s="497">
        <v>0.9357</v>
      </c>
      <c r="H388" s="497">
        <v>0.9357</v>
      </c>
      <c r="I388" s="497">
        <v>0.8232</v>
      </c>
      <c r="J388" s="497">
        <v>0.8232</v>
      </c>
      <c r="K388" s="497">
        <v>0.8232</v>
      </c>
      <c r="L388" s="497">
        <v>0.8232</v>
      </c>
      <c r="M388" s="502">
        <v>0.8232</v>
      </c>
    </row>
    <row r="389" spans="1:13">
      <c r="A389" s="498">
        <v>2.8</v>
      </c>
      <c r="B389" s="497">
        <v>0.9801</v>
      </c>
      <c r="C389" s="497">
        <v>0.9801</v>
      </c>
      <c r="D389" s="497">
        <v>0.9288</v>
      </c>
      <c r="E389" s="497">
        <v>0.9288</v>
      </c>
      <c r="F389" s="497">
        <v>0.9288</v>
      </c>
      <c r="G389" s="497">
        <v>0.9288</v>
      </c>
      <c r="H389" s="497">
        <v>0.9288</v>
      </c>
      <c r="I389" s="497">
        <v>0.8136</v>
      </c>
      <c r="J389" s="497">
        <v>0.8136</v>
      </c>
      <c r="K389" s="497">
        <v>0.8136</v>
      </c>
      <c r="L389" s="497">
        <v>0.8136</v>
      </c>
      <c r="M389" s="502">
        <v>0.8136</v>
      </c>
    </row>
    <row r="390" spans="1:13">
      <c r="A390" s="498">
        <v>2.9</v>
      </c>
      <c r="B390" s="497">
        <v>0.9743</v>
      </c>
      <c r="C390" s="497">
        <v>0.9743</v>
      </c>
      <c r="D390" s="497">
        <v>0.9222</v>
      </c>
      <c r="E390" s="497">
        <v>0.9222</v>
      </c>
      <c r="F390" s="497">
        <v>0.9222</v>
      </c>
      <c r="G390" s="497">
        <v>0.9222</v>
      </c>
      <c r="H390" s="497">
        <v>0.9222</v>
      </c>
      <c r="I390" s="497">
        <v>0.8046</v>
      </c>
      <c r="J390" s="497">
        <v>0.8046</v>
      </c>
      <c r="K390" s="497">
        <v>0.8046</v>
      </c>
      <c r="L390" s="497">
        <v>0.8046</v>
      </c>
      <c r="M390" s="502">
        <v>0.8046</v>
      </c>
    </row>
    <row r="391" spans="1:13">
      <c r="A391" s="498">
        <v>3</v>
      </c>
      <c r="B391" s="497">
        <v>0.9689</v>
      </c>
      <c r="C391" s="497">
        <v>0.9689</v>
      </c>
      <c r="D391" s="497">
        <v>0.9161</v>
      </c>
      <c r="E391" s="497">
        <v>0.9161</v>
      </c>
      <c r="F391" s="497">
        <v>0.9161</v>
      </c>
      <c r="G391" s="497">
        <v>0.9161</v>
      </c>
      <c r="H391" s="497">
        <v>0.9161</v>
      </c>
      <c r="I391" s="497">
        <v>0.7962</v>
      </c>
      <c r="J391" s="497">
        <v>0.7962</v>
      </c>
      <c r="K391" s="497">
        <v>0.7962</v>
      </c>
      <c r="L391" s="497">
        <v>0.7962</v>
      </c>
      <c r="M391" s="502">
        <v>0.7962</v>
      </c>
    </row>
    <row r="392" spans="1:13">
      <c r="A392" s="498">
        <v>3.1</v>
      </c>
      <c r="B392" s="497">
        <v>0.9639</v>
      </c>
      <c r="C392" s="497">
        <v>0.9639</v>
      </c>
      <c r="D392" s="497">
        <v>0.9104</v>
      </c>
      <c r="E392" s="497">
        <v>0.9104</v>
      </c>
      <c r="F392" s="497">
        <v>0.9104</v>
      </c>
      <c r="G392" s="497">
        <v>0.9104</v>
      </c>
      <c r="H392" s="497">
        <v>0.9104</v>
      </c>
      <c r="I392" s="497">
        <v>0.7883</v>
      </c>
      <c r="J392" s="497">
        <v>0.7883</v>
      </c>
      <c r="K392" s="497">
        <v>0.7883</v>
      </c>
      <c r="L392" s="497">
        <v>0.7883</v>
      </c>
      <c r="M392" s="502">
        <v>0.7883</v>
      </c>
    </row>
    <row r="393" spans="1:13">
      <c r="A393" s="498">
        <v>3.2</v>
      </c>
      <c r="B393" s="497">
        <v>0.9593</v>
      </c>
      <c r="C393" s="497">
        <v>0.9593</v>
      </c>
      <c r="D393" s="497">
        <v>0.9052</v>
      </c>
      <c r="E393" s="497">
        <v>0.9052</v>
      </c>
      <c r="F393" s="497">
        <v>0.9052</v>
      </c>
      <c r="G393" s="497">
        <v>0.9052</v>
      </c>
      <c r="H393" s="497">
        <v>0.9052</v>
      </c>
      <c r="I393" s="497">
        <v>0.7809</v>
      </c>
      <c r="J393" s="497">
        <v>0.7809</v>
      </c>
      <c r="K393" s="497">
        <v>0.7809</v>
      </c>
      <c r="L393" s="497">
        <v>0.7809</v>
      </c>
      <c r="M393" s="502">
        <v>0.7809</v>
      </c>
    </row>
    <row r="394" spans="1:13">
      <c r="A394" s="498">
        <v>3.3</v>
      </c>
      <c r="B394" s="497">
        <v>0.9549</v>
      </c>
      <c r="C394" s="497">
        <v>0.9549</v>
      </c>
      <c r="D394" s="497">
        <v>0.9002</v>
      </c>
      <c r="E394" s="497">
        <v>0.9002</v>
      </c>
      <c r="F394" s="497">
        <v>0.9002</v>
      </c>
      <c r="G394" s="497">
        <v>0.9002</v>
      </c>
      <c r="H394" s="497">
        <v>0.9002</v>
      </c>
      <c r="I394" s="497">
        <v>0.7741</v>
      </c>
      <c r="J394" s="497">
        <v>0.7741</v>
      </c>
      <c r="K394" s="497">
        <v>0.7741</v>
      </c>
      <c r="L394" s="497">
        <v>0.7741</v>
      </c>
      <c r="M394" s="502">
        <v>0.7741</v>
      </c>
    </row>
    <row r="395" spans="1:13">
      <c r="A395" s="498">
        <v>3.4</v>
      </c>
      <c r="B395" s="497">
        <v>0.9509</v>
      </c>
      <c r="C395" s="497">
        <v>0.9509</v>
      </c>
      <c r="D395" s="497">
        <v>0.8956</v>
      </c>
      <c r="E395" s="497">
        <v>0.8956</v>
      </c>
      <c r="F395" s="497">
        <v>0.8956</v>
      </c>
      <c r="G395" s="497">
        <v>0.8956</v>
      </c>
      <c r="H395" s="497">
        <v>0.8956</v>
      </c>
      <c r="I395" s="497">
        <v>0.7676</v>
      </c>
      <c r="J395" s="497">
        <v>0.7676</v>
      </c>
      <c r="K395" s="497">
        <v>0.7676</v>
      </c>
      <c r="L395" s="497">
        <v>0.7676</v>
      </c>
      <c r="M395" s="502">
        <v>0.7676</v>
      </c>
    </row>
    <row r="396" spans="1:13">
      <c r="A396" s="498">
        <v>3.5</v>
      </c>
      <c r="B396" s="497">
        <v>0.9471</v>
      </c>
      <c r="C396" s="497">
        <v>0.9471</v>
      </c>
      <c r="D396" s="497">
        <v>0.8913</v>
      </c>
      <c r="E396" s="497">
        <v>0.8913</v>
      </c>
      <c r="F396" s="497">
        <v>0.8913</v>
      </c>
      <c r="G396" s="497">
        <v>0.8913</v>
      </c>
      <c r="H396" s="497">
        <v>0.8913</v>
      </c>
      <c r="I396" s="497">
        <v>0.7616</v>
      </c>
      <c r="J396" s="497">
        <v>0.7616</v>
      </c>
      <c r="K396" s="497">
        <v>0.7616</v>
      </c>
      <c r="L396" s="497">
        <v>0.7616</v>
      </c>
      <c r="M396" s="502">
        <v>0.7616</v>
      </c>
    </row>
    <row r="397" spans="1:13">
      <c r="A397" s="498">
        <v>3.6</v>
      </c>
      <c r="B397" s="497">
        <v>0.9436</v>
      </c>
      <c r="C397" s="497">
        <v>0.9436</v>
      </c>
      <c r="D397" s="497">
        <v>0.8873</v>
      </c>
      <c r="E397" s="497">
        <v>0.8873</v>
      </c>
      <c r="F397" s="497">
        <v>0.8873</v>
      </c>
      <c r="G397" s="497">
        <v>0.8873</v>
      </c>
      <c r="H397" s="497">
        <v>0.8873</v>
      </c>
      <c r="I397" s="497">
        <v>0.7559</v>
      </c>
      <c r="J397" s="497">
        <v>0.7559</v>
      </c>
      <c r="K397" s="497">
        <v>0.7559</v>
      </c>
      <c r="L397" s="497">
        <v>0.7559</v>
      </c>
      <c r="M397" s="502">
        <v>0.7559</v>
      </c>
    </row>
    <row r="398" spans="1:13">
      <c r="A398" s="498">
        <v>3.7</v>
      </c>
      <c r="B398" s="497">
        <v>0.9404</v>
      </c>
      <c r="C398" s="497">
        <v>0.9404</v>
      </c>
      <c r="D398" s="497">
        <v>0.8835</v>
      </c>
      <c r="E398" s="497">
        <v>0.8835</v>
      </c>
      <c r="F398" s="497">
        <v>0.8835</v>
      </c>
      <c r="G398" s="497">
        <v>0.8835</v>
      </c>
      <c r="H398" s="497">
        <v>0.8835</v>
      </c>
      <c r="I398" s="497">
        <v>0.7507</v>
      </c>
      <c r="J398" s="497">
        <v>0.7507</v>
      </c>
      <c r="K398" s="497">
        <v>0.7507</v>
      </c>
      <c r="L398" s="497">
        <v>0.7507</v>
      </c>
      <c r="M398" s="502">
        <v>0.7507</v>
      </c>
    </row>
    <row r="399" spans="1:13">
      <c r="A399" s="498">
        <v>3.8</v>
      </c>
      <c r="B399" s="497">
        <v>0.9374</v>
      </c>
      <c r="C399" s="497">
        <v>0.9374</v>
      </c>
      <c r="D399" s="497">
        <v>0.8801</v>
      </c>
      <c r="E399" s="497">
        <v>0.8801</v>
      </c>
      <c r="F399" s="497">
        <v>0.8801</v>
      </c>
      <c r="G399" s="497">
        <v>0.8801</v>
      </c>
      <c r="H399" s="497">
        <v>0.8801</v>
      </c>
      <c r="I399" s="497">
        <v>0.7457</v>
      </c>
      <c r="J399" s="497">
        <v>0.7457</v>
      </c>
      <c r="K399" s="497">
        <v>0.7457</v>
      </c>
      <c r="L399" s="497">
        <v>0.7457</v>
      </c>
      <c r="M399" s="502">
        <v>0.7457</v>
      </c>
    </row>
    <row r="400" spans="1:13">
      <c r="A400" s="498">
        <v>3.9</v>
      </c>
      <c r="B400" s="497">
        <v>0.9346</v>
      </c>
      <c r="C400" s="497">
        <v>0.9346</v>
      </c>
      <c r="D400" s="497">
        <v>0.8768</v>
      </c>
      <c r="E400" s="497">
        <v>0.8768</v>
      </c>
      <c r="F400" s="497">
        <v>0.8768</v>
      </c>
      <c r="G400" s="497">
        <v>0.8768</v>
      </c>
      <c r="H400" s="497">
        <v>0.8768</v>
      </c>
      <c r="I400" s="497">
        <v>0.7411</v>
      </c>
      <c r="J400" s="497">
        <v>0.7411</v>
      </c>
      <c r="K400" s="497">
        <v>0.7411</v>
      </c>
      <c r="L400" s="497">
        <v>0.7411</v>
      </c>
      <c r="M400" s="502">
        <v>0.7411</v>
      </c>
    </row>
    <row r="401" spans="1:13">
      <c r="A401" s="498">
        <v>4</v>
      </c>
      <c r="B401" s="497">
        <v>0.9318</v>
      </c>
      <c r="C401" s="497">
        <v>0.9318</v>
      </c>
      <c r="D401" s="497">
        <v>0.8738</v>
      </c>
      <c r="E401" s="497">
        <v>0.8738</v>
      </c>
      <c r="F401" s="497">
        <v>0.8738</v>
      </c>
      <c r="G401" s="497">
        <v>0.8738</v>
      </c>
      <c r="H401" s="497">
        <v>0.8738</v>
      </c>
      <c r="I401" s="497">
        <v>0.7368</v>
      </c>
      <c r="J401" s="497">
        <v>0.7368</v>
      </c>
      <c r="K401" s="497">
        <v>0.7368</v>
      </c>
      <c r="L401" s="497">
        <v>0.7368</v>
      </c>
      <c r="M401" s="502">
        <v>0.7368</v>
      </c>
    </row>
    <row r="402" spans="1:13">
      <c r="A402" s="498">
        <v>4.1</v>
      </c>
      <c r="B402" s="497">
        <v>0.9292</v>
      </c>
      <c r="C402" s="497">
        <v>0.9292</v>
      </c>
      <c r="D402" s="497">
        <v>0.8709</v>
      </c>
      <c r="E402" s="497">
        <v>0.8709</v>
      </c>
      <c r="F402" s="497">
        <v>0.8709</v>
      </c>
      <c r="G402" s="497">
        <v>0.8709</v>
      </c>
      <c r="H402" s="497">
        <v>0.8709</v>
      </c>
      <c r="I402" s="497">
        <v>0.7327</v>
      </c>
      <c r="J402" s="497">
        <v>0.7327</v>
      </c>
      <c r="K402" s="497">
        <v>0.7327</v>
      </c>
      <c r="L402" s="497">
        <v>0.7327</v>
      </c>
      <c r="M402" s="502">
        <v>0.7327</v>
      </c>
    </row>
    <row r="403" spans="1:13">
      <c r="A403" s="498">
        <v>4.2</v>
      </c>
      <c r="B403" s="497">
        <v>0.9266</v>
      </c>
      <c r="C403" s="497">
        <v>0.9266</v>
      </c>
      <c r="D403" s="497">
        <v>0.8682</v>
      </c>
      <c r="E403" s="497">
        <v>0.8682</v>
      </c>
      <c r="F403" s="497">
        <v>0.8682</v>
      </c>
      <c r="G403" s="497">
        <v>0.8682</v>
      </c>
      <c r="H403" s="497">
        <v>0.8682</v>
      </c>
      <c r="I403" s="497">
        <v>0.7288</v>
      </c>
      <c r="J403" s="497">
        <v>0.7288</v>
      </c>
      <c r="K403" s="497">
        <v>0.7288</v>
      </c>
      <c r="L403" s="497">
        <v>0.7288</v>
      </c>
      <c r="M403" s="502">
        <v>0.7288</v>
      </c>
    </row>
    <row r="404" spans="1:13">
      <c r="A404" s="498">
        <v>4.3</v>
      </c>
      <c r="B404" s="497">
        <v>0.9241</v>
      </c>
      <c r="C404" s="497">
        <v>0.9241</v>
      </c>
      <c r="D404" s="497">
        <v>0.8655</v>
      </c>
      <c r="E404" s="497">
        <v>0.8655</v>
      </c>
      <c r="F404" s="497">
        <v>0.8655</v>
      </c>
      <c r="G404" s="497">
        <v>0.8655</v>
      </c>
      <c r="H404" s="497">
        <v>0.8655</v>
      </c>
      <c r="I404" s="497">
        <v>0.7251</v>
      </c>
      <c r="J404" s="497">
        <v>0.7251</v>
      </c>
      <c r="K404" s="497">
        <v>0.7251</v>
      </c>
      <c r="L404" s="497">
        <v>0.7251</v>
      </c>
      <c r="M404" s="502">
        <v>0.7251</v>
      </c>
    </row>
    <row r="405" spans="1:13">
      <c r="A405" s="498">
        <v>4.4</v>
      </c>
      <c r="B405" s="497">
        <v>0.9218</v>
      </c>
      <c r="C405" s="497">
        <v>0.9218</v>
      </c>
      <c r="D405" s="497">
        <v>0.8629</v>
      </c>
      <c r="E405" s="497">
        <v>0.8629</v>
      </c>
      <c r="F405" s="497">
        <v>0.8629</v>
      </c>
      <c r="G405" s="497">
        <v>0.8629</v>
      </c>
      <c r="H405" s="497">
        <v>0.8629</v>
      </c>
      <c r="I405" s="497">
        <v>0.7215</v>
      </c>
      <c r="J405" s="497">
        <v>0.7215</v>
      </c>
      <c r="K405" s="497">
        <v>0.7215</v>
      </c>
      <c r="L405" s="497">
        <v>0.7215</v>
      </c>
      <c r="M405" s="502">
        <v>0.7215</v>
      </c>
    </row>
    <row r="406" spans="1:13">
      <c r="A406" s="498">
        <v>4.5</v>
      </c>
      <c r="B406" s="497">
        <v>0.9195</v>
      </c>
      <c r="C406" s="497">
        <v>0.9195</v>
      </c>
      <c r="D406" s="497">
        <v>0.8605</v>
      </c>
      <c r="E406" s="497">
        <v>0.8605</v>
      </c>
      <c r="F406" s="497">
        <v>0.8605</v>
      </c>
      <c r="G406" s="497">
        <v>0.8605</v>
      </c>
      <c r="H406" s="497">
        <v>0.8605</v>
      </c>
      <c r="I406" s="497">
        <v>0.7182</v>
      </c>
      <c r="J406" s="497">
        <v>0.7182</v>
      </c>
      <c r="K406" s="497">
        <v>0.7182</v>
      </c>
      <c r="L406" s="497">
        <v>0.7182</v>
      </c>
      <c r="M406" s="502">
        <v>0.7182</v>
      </c>
    </row>
    <row r="407" spans="1:13">
      <c r="A407" s="498">
        <v>4.6</v>
      </c>
      <c r="B407" s="497">
        <v>0.9173</v>
      </c>
      <c r="C407" s="497">
        <v>0.9173</v>
      </c>
      <c r="D407" s="497">
        <v>0.8581</v>
      </c>
      <c r="E407" s="497">
        <v>0.8581</v>
      </c>
      <c r="F407" s="497">
        <v>0.8581</v>
      </c>
      <c r="G407" s="497">
        <v>0.8581</v>
      </c>
      <c r="H407" s="497">
        <v>0.8581</v>
      </c>
      <c r="I407" s="497">
        <v>0.715</v>
      </c>
      <c r="J407" s="497">
        <v>0.715</v>
      </c>
      <c r="K407" s="497">
        <v>0.715</v>
      </c>
      <c r="L407" s="497">
        <v>0.715</v>
      </c>
      <c r="M407" s="502">
        <v>0.715</v>
      </c>
    </row>
    <row r="408" spans="1:13">
      <c r="A408" s="498">
        <v>4.7</v>
      </c>
      <c r="B408" s="497">
        <v>0.9152</v>
      </c>
      <c r="C408" s="497">
        <v>0.9152</v>
      </c>
      <c r="D408" s="497">
        <v>0.8557</v>
      </c>
      <c r="E408" s="497">
        <v>0.8557</v>
      </c>
      <c r="F408" s="497">
        <v>0.8557</v>
      </c>
      <c r="G408" s="497">
        <v>0.8557</v>
      </c>
      <c r="H408" s="497">
        <v>0.8557</v>
      </c>
      <c r="I408" s="497">
        <v>0.712</v>
      </c>
      <c r="J408" s="497">
        <v>0.712</v>
      </c>
      <c r="K408" s="497">
        <v>0.712</v>
      </c>
      <c r="L408" s="497">
        <v>0.712</v>
      </c>
      <c r="M408" s="502">
        <v>0.712</v>
      </c>
    </row>
    <row r="409" spans="1:13">
      <c r="A409" s="498">
        <v>4.8</v>
      </c>
      <c r="B409" s="497">
        <v>0.9131</v>
      </c>
      <c r="C409" s="497">
        <v>0.9131</v>
      </c>
      <c r="D409" s="497">
        <v>0.8534</v>
      </c>
      <c r="E409" s="497">
        <v>0.8534</v>
      </c>
      <c r="F409" s="497">
        <v>0.8534</v>
      </c>
      <c r="G409" s="497">
        <v>0.8534</v>
      </c>
      <c r="H409" s="497">
        <v>0.8534</v>
      </c>
      <c r="I409" s="497">
        <v>0.7091</v>
      </c>
      <c r="J409" s="497">
        <v>0.7091</v>
      </c>
      <c r="K409" s="497">
        <v>0.7091</v>
      </c>
      <c r="L409" s="497">
        <v>0.7091</v>
      </c>
      <c r="M409" s="502">
        <v>0.7091</v>
      </c>
    </row>
    <row r="410" spans="1:13">
      <c r="A410" s="498">
        <v>4.9</v>
      </c>
      <c r="B410" s="497">
        <v>0.9112</v>
      </c>
      <c r="C410" s="497">
        <v>0.9112</v>
      </c>
      <c r="D410" s="497">
        <v>0.8511</v>
      </c>
      <c r="E410" s="497">
        <v>0.8511</v>
      </c>
      <c r="F410" s="497">
        <v>0.8511</v>
      </c>
      <c r="G410" s="497">
        <v>0.8511</v>
      </c>
      <c r="H410" s="497">
        <v>0.8511</v>
      </c>
      <c r="I410" s="497">
        <v>0.7062</v>
      </c>
      <c r="J410" s="497">
        <v>0.7062</v>
      </c>
      <c r="K410" s="497">
        <v>0.7062</v>
      </c>
      <c r="L410" s="497">
        <v>0.7062</v>
      </c>
      <c r="M410" s="502">
        <v>0.7062</v>
      </c>
    </row>
    <row r="411" spans="1:13">
      <c r="A411" s="498">
        <v>5</v>
      </c>
      <c r="B411" s="497">
        <v>0.9092</v>
      </c>
      <c r="C411" s="497">
        <v>0.9092</v>
      </c>
      <c r="D411" s="497">
        <v>0.8489</v>
      </c>
      <c r="E411" s="497">
        <v>0.8489</v>
      </c>
      <c r="F411" s="497">
        <v>0.8489</v>
      </c>
      <c r="G411" s="497">
        <v>0.8489</v>
      </c>
      <c r="H411" s="497">
        <v>0.8489</v>
      </c>
      <c r="I411" s="497">
        <v>0.7035</v>
      </c>
      <c r="J411" s="497">
        <v>0.7035</v>
      </c>
      <c r="K411" s="497">
        <v>0.7035</v>
      </c>
      <c r="L411" s="497">
        <v>0.7035</v>
      </c>
      <c r="M411" s="502">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502">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502">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502">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502">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502">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502">
        <v>0.6881</v>
      </c>
    </row>
    <row r="418" spans="1:13">
      <c r="A418" s="498">
        <v>5.7</v>
      </c>
      <c r="B418" s="497">
        <v>0.896</v>
      </c>
      <c r="C418" s="497">
        <v>0.896</v>
      </c>
      <c r="D418" s="497">
        <v>0.8339</v>
      </c>
      <c r="E418" s="497">
        <v>0.8339</v>
      </c>
      <c r="F418" s="497">
        <v>0.8339</v>
      </c>
      <c r="G418" s="497">
        <v>0.8339</v>
      </c>
      <c r="H418" s="497">
        <v>0.8339</v>
      </c>
      <c r="I418" s="497">
        <v>0.6857</v>
      </c>
      <c r="J418" s="497">
        <v>0.6857</v>
      </c>
      <c r="K418" s="497">
        <v>0.6857</v>
      </c>
      <c r="L418" s="497">
        <v>0.6857</v>
      </c>
      <c r="M418" s="502">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502">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502">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502">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502">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502">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502">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502">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502">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502">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502">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502">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502">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502">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502">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502">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502">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502">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502">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502">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502">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502">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502">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502">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502">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502">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502">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502">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502">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502">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502">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502">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502">
        <v>0.6167</v>
      </c>
    </row>
    <row r="451" spans="1:13">
      <c r="A451" s="498">
        <v>9</v>
      </c>
      <c r="B451" s="497">
        <v>0.8462</v>
      </c>
      <c r="C451" s="497">
        <v>0.8462</v>
      </c>
      <c r="D451" s="497">
        <v>0.7751</v>
      </c>
      <c r="E451" s="497">
        <v>0.7751</v>
      </c>
      <c r="F451" s="497">
        <v>0.7751</v>
      </c>
      <c r="G451" s="497">
        <v>0.7751</v>
      </c>
      <c r="H451" s="497">
        <v>0.7751</v>
      </c>
      <c r="I451" s="497">
        <v>0.6148</v>
      </c>
      <c r="J451" s="497">
        <v>0.6148</v>
      </c>
      <c r="K451" s="497">
        <v>0.6148</v>
      </c>
      <c r="L451" s="497">
        <v>0.6148</v>
      </c>
      <c r="M451" s="502">
        <v>0.6148</v>
      </c>
    </row>
    <row r="452" spans="1:13">
      <c r="A452" s="498">
        <v>9.1</v>
      </c>
      <c r="B452" s="497">
        <v>0.845</v>
      </c>
      <c r="C452" s="497">
        <v>0.845</v>
      </c>
      <c r="D452" s="497">
        <v>0.7736</v>
      </c>
      <c r="E452" s="497">
        <v>0.7736</v>
      </c>
      <c r="F452" s="497">
        <v>0.7736</v>
      </c>
      <c r="G452" s="497">
        <v>0.7736</v>
      </c>
      <c r="H452" s="497">
        <v>0.7736</v>
      </c>
      <c r="I452" s="497">
        <v>0.613</v>
      </c>
      <c r="J452" s="497">
        <v>0.613</v>
      </c>
      <c r="K452" s="497">
        <v>0.613</v>
      </c>
      <c r="L452" s="497">
        <v>0.613</v>
      </c>
      <c r="M452" s="502">
        <v>0.613</v>
      </c>
    </row>
    <row r="453" spans="1:13">
      <c r="A453" s="498">
        <v>9.2</v>
      </c>
      <c r="B453" s="497">
        <v>0.8437</v>
      </c>
      <c r="C453" s="497">
        <v>0.8437</v>
      </c>
      <c r="D453" s="497">
        <v>0.7721</v>
      </c>
      <c r="E453" s="497">
        <v>0.7721</v>
      </c>
      <c r="F453" s="497">
        <v>0.7721</v>
      </c>
      <c r="G453" s="497">
        <v>0.7721</v>
      </c>
      <c r="H453" s="497">
        <v>0.7721</v>
      </c>
      <c r="I453" s="497">
        <v>0.6112</v>
      </c>
      <c r="J453" s="497">
        <v>0.6112</v>
      </c>
      <c r="K453" s="497">
        <v>0.6112</v>
      </c>
      <c r="L453" s="497">
        <v>0.6112</v>
      </c>
      <c r="M453" s="502">
        <v>0.6112</v>
      </c>
    </row>
    <row r="454" spans="1:13">
      <c r="A454" s="498">
        <v>9.3</v>
      </c>
      <c r="B454" s="497">
        <v>0.8425</v>
      </c>
      <c r="C454" s="497">
        <v>0.8425</v>
      </c>
      <c r="D454" s="497">
        <v>0.7706</v>
      </c>
      <c r="E454" s="497">
        <v>0.7706</v>
      </c>
      <c r="F454" s="497">
        <v>0.7706</v>
      </c>
      <c r="G454" s="497">
        <v>0.7706</v>
      </c>
      <c r="H454" s="497">
        <v>0.7706</v>
      </c>
      <c r="I454" s="497">
        <v>0.6094</v>
      </c>
      <c r="J454" s="497">
        <v>0.6094</v>
      </c>
      <c r="K454" s="497">
        <v>0.6094</v>
      </c>
      <c r="L454" s="497">
        <v>0.6094</v>
      </c>
      <c r="M454" s="502">
        <v>0.6094</v>
      </c>
    </row>
    <row r="455" spans="1:13">
      <c r="A455" s="498">
        <v>9.4</v>
      </c>
      <c r="B455" s="497">
        <v>0.8413</v>
      </c>
      <c r="C455" s="497">
        <v>0.8413</v>
      </c>
      <c r="D455" s="497">
        <v>0.769</v>
      </c>
      <c r="E455" s="497">
        <v>0.769</v>
      </c>
      <c r="F455" s="497">
        <v>0.769</v>
      </c>
      <c r="G455" s="497">
        <v>0.769</v>
      </c>
      <c r="H455" s="497">
        <v>0.769</v>
      </c>
      <c r="I455" s="497">
        <v>0.6076</v>
      </c>
      <c r="J455" s="497">
        <v>0.6076</v>
      </c>
      <c r="K455" s="497">
        <v>0.6076</v>
      </c>
      <c r="L455" s="497">
        <v>0.6076</v>
      </c>
      <c r="M455" s="502">
        <v>0.6076</v>
      </c>
    </row>
    <row r="456" spans="1:13">
      <c r="A456" s="498">
        <v>9.5</v>
      </c>
      <c r="B456" s="497">
        <v>0.8401</v>
      </c>
      <c r="C456" s="497">
        <v>0.8401</v>
      </c>
      <c r="D456" s="497">
        <v>0.7676</v>
      </c>
      <c r="E456" s="497">
        <v>0.7676</v>
      </c>
      <c r="F456" s="497">
        <v>0.7676</v>
      </c>
      <c r="G456" s="497">
        <v>0.7676</v>
      </c>
      <c r="H456" s="497">
        <v>0.7676</v>
      </c>
      <c r="I456" s="497">
        <v>0.6058</v>
      </c>
      <c r="J456" s="497">
        <v>0.6058</v>
      </c>
      <c r="K456" s="497">
        <v>0.6058</v>
      </c>
      <c r="L456" s="497">
        <v>0.6058</v>
      </c>
      <c r="M456" s="502">
        <v>0.6058</v>
      </c>
    </row>
    <row r="457" spans="1:13">
      <c r="A457" s="498">
        <v>9.6</v>
      </c>
      <c r="B457" s="497">
        <v>0.839</v>
      </c>
      <c r="C457" s="497">
        <v>0.839</v>
      </c>
      <c r="D457" s="497">
        <v>0.7662</v>
      </c>
      <c r="E457" s="497">
        <v>0.7662</v>
      </c>
      <c r="F457" s="497">
        <v>0.7662</v>
      </c>
      <c r="G457" s="497">
        <v>0.7662</v>
      </c>
      <c r="H457" s="497">
        <v>0.7662</v>
      </c>
      <c r="I457" s="497">
        <v>0.6041</v>
      </c>
      <c r="J457" s="497">
        <v>0.6041</v>
      </c>
      <c r="K457" s="497">
        <v>0.6041</v>
      </c>
      <c r="L457" s="497">
        <v>0.6041</v>
      </c>
      <c r="M457" s="502">
        <v>0.6041</v>
      </c>
    </row>
    <row r="458" spans="1:13">
      <c r="A458" s="498">
        <v>9.7</v>
      </c>
      <c r="B458" s="497">
        <v>0.8378</v>
      </c>
      <c r="C458" s="497">
        <v>0.8378</v>
      </c>
      <c r="D458" s="497">
        <v>0.7648</v>
      </c>
      <c r="E458" s="497">
        <v>0.7648</v>
      </c>
      <c r="F458" s="497">
        <v>0.7648</v>
      </c>
      <c r="G458" s="497">
        <v>0.7648</v>
      </c>
      <c r="H458" s="497">
        <v>0.7648</v>
      </c>
      <c r="I458" s="497">
        <v>0.6024</v>
      </c>
      <c r="J458" s="497">
        <v>0.6024</v>
      </c>
      <c r="K458" s="497">
        <v>0.6024</v>
      </c>
      <c r="L458" s="497">
        <v>0.6024</v>
      </c>
      <c r="M458" s="502">
        <v>0.6024</v>
      </c>
    </row>
    <row r="459" spans="1:13">
      <c r="A459" s="498">
        <v>9.8</v>
      </c>
      <c r="B459" s="497">
        <v>0.8367</v>
      </c>
      <c r="C459" s="497">
        <v>0.8367</v>
      </c>
      <c r="D459" s="497">
        <v>0.7633</v>
      </c>
      <c r="E459" s="497">
        <v>0.7633</v>
      </c>
      <c r="F459" s="497">
        <v>0.7633</v>
      </c>
      <c r="G459" s="497">
        <v>0.7633</v>
      </c>
      <c r="H459" s="497">
        <v>0.7633</v>
      </c>
      <c r="I459" s="497">
        <v>0.6006</v>
      </c>
      <c r="J459" s="497">
        <v>0.6006</v>
      </c>
      <c r="K459" s="497">
        <v>0.6006</v>
      </c>
      <c r="L459" s="497">
        <v>0.6006</v>
      </c>
      <c r="M459" s="502">
        <v>0.6006</v>
      </c>
    </row>
    <row r="460" ht="14.75" spans="1:13">
      <c r="A460" s="505">
        <v>9.9</v>
      </c>
      <c r="B460" s="506">
        <v>0.8356</v>
      </c>
      <c r="C460" s="506">
        <v>0.8356</v>
      </c>
      <c r="D460" s="506">
        <v>0.7619</v>
      </c>
      <c r="E460" s="506">
        <v>0.7619</v>
      </c>
      <c r="F460" s="506">
        <v>0.7619</v>
      </c>
      <c r="G460" s="506">
        <v>0.7619</v>
      </c>
      <c r="H460" s="506">
        <v>0.7619</v>
      </c>
      <c r="I460" s="506">
        <v>0.5989</v>
      </c>
      <c r="J460" s="506">
        <v>0.5989</v>
      </c>
      <c r="K460" s="506">
        <v>0.5989</v>
      </c>
      <c r="L460" s="506">
        <v>0.5989</v>
      </c>
      <c r="M460" s="507">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9" customWidth="1"/>
    <col min="2" max="2" width="29.2545454545455" style="400" customWidth="1"/>
    <col min="3" max="3" width="12.1272727272727" style="400" customWidth="1"/>
    <col min="4" max="5" width="11.2545454545455" style="401" customWidth="1"/>
    <col min="6" max="6" width="9.5" style="400" customWidth="1"/>
    <col min="7" max="7" width="31.8727272727273" style="400" customWidth="1"/>
    <col min="8" max="254" width="9" style="400" customWidth="1"/>
    <col min="255" max="16384" width="8.37272727272727" style="400"/>
  </cols>
  <sheetData>
    <row r="1" s="394" customFormat="1" ht="21" spans="1:7">
      <c r="A1" s="402" t="s">
        <v>2167</v>
      </c>
      <c r="B1" s="403"/>
      <c r="C1" s="404"/>
      <c r="D1" s="404"/>
      <c r="E1" s="404"/>
      <c r="F1" s="404"/>
      <c r="G1" s="405"/>
    </row>
    <row r="2" s="394" customFormat="1" ht="18" customHeight="1" spans="1:7">
      <c r="A2" s="406" t="s">
        <v>2168</v>
      </c>
      <c r="B2" s="407">
        <f ca="1">C52</f>
        <v>36055</v>
      </c>
      <c r="C2" s="408" t="s">
        <v>1458</v>
      </c>
      <c r="D2" s="405"/>
      <c r="E2" s="405"/>
      <c r="F2" s="405"/>
      <c r="G2" s="405"/>
    </row>
    <row r="3" s="394" customFormat="1" ht="18" customHeight="1" spans="1:7">
      <c r="A3" s="409" t="s">
        <v>2169</v>
      </c>
      <c r="B3" s="410">
        <f ca="1">ROUND(B2*10000/'数据-汇总表'!E3,0)</f>
        <v>6631</v>
      </c>
      <c r="C3" s="408" t="s">
        <v>1637</v>
      </c>
      <c r="D3" s="405"/>
      <c r="E3" s="405"/>
      <c r="F3" s="405"/>
      <c r="G3" s="405"/>
    </row>
    <row r="4" s="395" customFormat="1" ht="15.5" spans="1:7">
      <c r="A4" s="411" t="s">
        <v>2170</v>
      </c>
      <c r="B4" s="412"/>
      <c r="C4" s="412"/>
      <c r="D4" s="412"/>
      <c r="E4" s="412"/>
      <c r="F4" s="412"/>
      <c r="G4" s="413"/>
    </row>
    <row r="5" s="396" customFormat="1" ht="13.5" customHeight="1" spans="1:7">
      <c r="A5" s="414" t="s">
        <v>1108</v>
      </c>
      <c r="B5" s="415" t="s">
        <v>2171</v>
      </c>
      <c r="C5" s="416">
        <f>C6+C7+C8</f>
        <v>20810</v>
      </c>
      <c r="D5" s="416" t="s">
        <v>2172</v>
      </c>
      <c r="E5" s="417" t="s">
        <v>2173</v>
      </c>
      <c r="F5" s="417" t="s">
        <v>2174</v>
      </c>
      <c r="G5" s="418"/>
    </row>
    <row r="6" s="396" customFormat="1" ht="13.5" customHeight="1" spans="1:7">
      <c r="A6" s="419" t="s">
        <v>1112</v>
      </c>
      <c r="B6" s="420" t="s">
        <v>2175</v>
      </c>
      <c r="C6" s="421">
        <v>20000</v>
      </c>
      <c r="D6" s="422"/>
      <c r="E6" s="423"/>
      <c r="F6" s="423"/>
      <c r="G6" s="424"/>
    </row>
    <row r="7" s="396" customFormat="1" ht="13.5" customHeight="1" spans="1:7">
      <c r="A7" s="419" t="s">
        <v>1114</v>
      </c>
      <c r="B7" s="420" t="s">
        <v>2176</v>
      </c>
      <c r="C7" s="425">
        <f>ROUND(C6*F7,0)</f>
        <v>810</v>
      </c>
      <c r="D7" s="425"/>
      <c r="E7" s="423"/>
      <c r="F7" s="426">
        <f>'数据-取费表'!B48+'数据-取费表'!B49</f>
        <v>0.0405</v>
      </c>
      <c r="G7" s="424"/>
    </row>
    <row r="8" s="397" customFormat="1" ht="13" spans="1:7">
      <c r="A8" s="419" t="s">
        <v>1116</v>
      </c>
      <c r="B8" s="420" t="s">
        <v>2177</v>
      </c>
      <c r="C8" s="425" t="str">
        <f>IF(G8="已包含在土地购买价格中","0",'数据-取费表'!B29)</f>
        <v>0</v>
      </c>
      <c r="D8" s="427"/>
      <c r="E8" s="425"/>
      <c r="F8" s="426"/>
      <c r="G8" s="428" t="s">
        <v>2178</v>
      </c>
    </row>
    <row r="9" s="396" customFormat="1" ht="13.5" customHeight="1" spans="1:7">
      <c r="A9" s="429" t="s">
        <v>1119</v>
      </c>
      <c r="B9" s="430" t="s">
        <v>2179</v>
      </c>
      <c r="C9" s="431">
        <f>ROUND(D9*E9/10000,0)</f>
        <v>0</v>
      </c>
      <c r="D9" s="432">
        <f>'数据-汇总表'!E5</f>
        <v>0</v>
      </c>
      <c r="E9" s="431">
        <f>'数据-取费表'!B27</f>
        <v>0</v>
      </c>
      <c r="F9" s="426"/>
      <c r="G9" s="433"/>
    </row>
    <row r="10" s="396" customFormat="1" ht="13.5" customHeight="1" spans="1:7">
      <c r="A10" s="429" t="s">
        <v>1122</v>
      </c>
      <c r="B10" s="430" t="s">
        <v>2180</v>
      </c>
      <c r="C10" s="431">
        <f>ROUND(D10*E10/10000,0)</f>
        <v>979</v>
      </c>
      <c r="D10" s="432">
        <f>'数据-汇总表'!E6</f>
        <v>54377.37</v>
      </c>
      <c r="E10" s="431">
        <f>'数据-取费表'!B28</f>
        <v>180</v>
      </c>
      <c r="F10" s="426"/>
      <c r="G10" s="433"/>
    </row>
    <row r="11" s="396" customFormat="1" ht="13.5" hidden="1" customHeight="1" spans="1:7">
      <c r="A11" s="434" t="s">
        <v>1124</v>
      </c>
      <c r="B11" s="420" t="s">
        <v>2181</v>
      </c>
      <c r="C11" s="416"/>
      <c r="D11" s="435"/>
      <c r="E11" s="423"/>
      <c r="F11" s="423"/>
      <c r="G11" s="424"/>
    </row>
    <row r="12" s="396" customFormat="1" ht="13.5" hidden="1" customHeight="1" spans="1:7">
      <c r="A12" s="434" t="s">
        <v>1126</v>
      </c>
      <c r="B12" s="420" t="s">
        <v>2182</v>
      </c>
      <c r="C12" s="416">
        <v>0</v>
      </c>
      <c r="D12" s="435"/>
      <c r="E12" s="436"/>
      <c r="F12" s="426">
        <v>0.0305</v>
      </c>
      <c r="G12" s="424"/>
    </row>
    <row r="13" s="396" customFormat="1" ht="13.5" hidden="1" customHeight="1" spans="1:7">
      <c r="A13" s="434" t="s">
        <v>1127</v>
      </c>
      <c r="B13" s="420" t="s">
        <v>2183</v>
      </c>
      <c r="C13" s="416"/>
      <c r="D13" s="435"/>
      <c r="E13" s="423"/>
      <c r="F13" s="423"/>
      <c r="G13" s="424"/>
    </row>
    <row r="14" s="396" customFormat="1" ht="13.5" hidden="1" customHeight="1" spans="1:7">
      <c r="A14" s="434" t="s">
        <v>1129</v>
      </c>
      <c r="B14" s="420" t="s">
        <v>2177</v>
      </c>
      <c r="C14" s="416"/>
      <c r="D14" s="435"/>
      <c r="E14" s="423"/>
      <c r="F14" s="423"/>
      <c r="G14" s="424" t="s">
        <v>2184</v>
      </c>
    </row>
    <row r="15" s="396" customFormat="1" ht="13.5" hidden="1" customHeight="1" spans="1:7">
      <c r="A15" s="434" t="s">
        <v>1131</v>
      </c>
      <c r="B15" s="420" t="s">
        <v>2185</v>
      </c>
      <c r="C15" s="425"/>
      <c r="D15" s="435"/>
      <c r="E15" s="423"/>
      <c r="F15" s="423"/>
      <c r="G15" s="424" t="s">
        <v>2186</v>
      </c>
    </row>
    <row r="16" s="396" customFormat="1" ht="13.5" hidden="1" customHeight="1" spans="1:7">
      <c r="A16" s="434" t="s">
        <v>1134</v>
      </c>
      <c r="B16" s="420" t="s">
        <v>2177</v>
      </c>
      <c r="C16" s="425"/>
      <c r="D16" s="435"/>
      <c r="E16" s="423"/>
      <c r="F16" s="423"/>
      <c r="G16" s="424"/>
    </row>
    <row r="17" s="396" customFormat="1" ht="13.5" hidden="1" customHeight="1" spans="1:7">
      <c r="A17" s="434" t="s">
        <v>1135</v>
      </c>
      <c r="B17" s="420" t="s">
        <v>2187</v>
      </c>
      <c r="C17" s="437"/>
      <c r="D17" s="438"/>
      <c r="E17" s="437"/>
      <c r="F17" s="437"/>
      <c r="G17" s="424" t="s">
        <v>2186</v>
      </c>
    </row>
    <row r="18" s="396" customFormat="1" ht="13.5" hidden="1" customHeight="1" spans="1:7">
      <c r="A18" s="434" t="s">
        <v>1137</v>
      </c>
      <c r="B18" s="420" t="s">
        <v>2188</v>
      </c>
      <c r="C18" s="425">
        <v>0</v>
      </c>
      <c r="D18" s="435"/>
      <c r="E18" s="423"/>
      <c r="F18" s="426">
        <v>0.0305</v>
      </c>
      <c r="G18" s="424" t="s">
        <v>2189</v>
      </c>
    </row>
    <row r="19" s="397" customFormat="1" ht="13.5" customHeight="1" spans="1:7">
      <c r="A19" s="439" t="s">
        <v>1742</v>
      </c>
      <c r="B19" s="415" t="s">
        <v>2190</v>
      </c>
      <c r="C19" s="416">
        <f>IF(G19="已包含在土地取得成本中","0",ROUND(D19*E19/10000,0))</f>
        <v>1088</v>
      </c>
      <c r="D19" s="440">
        <f>'数据-汇总表'!E3</f>
        <v>54377.37</v>
      </c>
      <c r="E19" s="416">
        <f>'数据-取费表'!B31</f>
        <v>200</v>
      </c>
      <c r="F19" s="441"/>
      <c r="G19" s="428" t="s">
        <v>2191</v>
      </c>
    </row>
    <row r="20" s="396" customFormat="1" ht="13.5" customHeight="1" spans="1:7">
      <c r="A20" s="439" t="s">
        <v>1779</v>
      </c>
      <c r="B20" s="415" t="s">
        <v>2192</v>
      </c>
      <c r="C20" s="442">
        <f>ROUND((C5+C19)*F20,0)</f>
        <v>438</v>
      </c>
      <c r="D20" s="442"/>
      <c r="E20" s="442"/>
      <c r="F20" s="443">
        <f>'数据-取费表'!B37</f>
        <v>0.02</v>
      </c>
      <c r="G20" s="444" t="s">
        <v>2193</v>
      </c>
    </row>
    <row r="21" s="396" customFormat="1" ht="13.5" customHeight="1" spans="1:7">
      <c r="A21" s="439" t="s">
        <v>1784</v>
      </c>
      <c r="B21" s="415" t="s">
        <v>2194</v>
      </c>
      <c r="C21" s="445">
        <f>F21</f>
        <v>0.02</v>
      </c>
      <c r="D21" s="446" t="s">
        <v>2195</v>
      </c>
      <c r="E21" s="442"/>
      <c r="F21" s="443">
        <f>'数据-取费表'!B38</f>
        <v>0.02</v>
      </c>
      <c r="G21" s="447" t="s">
        <v>2196</v>
      </c>
    </row>
    <row r="22" s="396" customFormat="1" ht="13.5" customHeight="1" spans="1:7">
      <c r="A22" s="439" t="s">
        <v>1793</v>
      </c>
      <c r="B22" s="415" t="s">
        <v>2197</v>
      </c>
      <c r="C22" s="448">
        <f ca="1">ROUND(SUM(C23:C25),0)</f>
        <v>530</v>
      </c>
      <c r="D22" s="445">
        <f ca="1">C26</f>
        <v>0.0002</v>
      </c>
      <c r="E22" s="446" t="s">
        <v>2195</v>
      </c>
      <c r="F22" s="449">
        <f ca="1">'数据-取费表'!B40</f>
        <v>0.03</v>
      </c>
      <c r="G22" s="444" t="str">
        <f>IF('数据-取费表'!B22&lt;=1,"单利计息","复利计息")</f>
        <v>单利计息</v>
      </c>
    </row>
    <row r="23" s="396" customFormat="1" ht="13.5" customHeight="1" spans="1:7">
      <c r="A23" s="450" t="s">
        <v>1112</v>
      </c>
      <c r="B23" s="420" t="s">
        <v>2198</v>
      </c>
      <c r="C23" s="451">
        <f ca="1">ROUND(IF('数据-取费表'!B22&lt;=1,C5*F22*'数据-取费表'!B23,C5*(POWER((1+F22),'数据-取费表'!B23)-1)),0)</f>
        <v>499</v>
      </c>
      <c r="D23" s="452"/>
      <c r="E23" s="452"/>
      <c r="F23" s="453"/>
      <c r="G23" s="454" t="s">
        <v>2199</v>
      </c>
    </row>
    <row r="24" s="396" customFormat="1" ht="13.5" customHeight="1" spans="1:7">
      <c r="A24" s="450" t="s">
        <v>1114</v>
      </c>
      <c r="B24" s="420" t="s">
        <v>2200</v>
      </c>
      <c r="C24" s="451">
        <f ca="1">ROUND(IF('数据-取费表'!B22&lt;=1,C19*F22*('数据-取费表'!B19/2+'数据-取费表'!B21),C19*(POWER((1+F22),('数据-取费表'!B19/2+'数据-取费表'!B21))-1)),0)</f>
        <v>26</v>
      </c>
      <c r="D24" s="452"/>
      <c r="E24" s="452"/>
      <c r="F24" s="453"/>
      <c r="G24" s="454" t="s">
        <v>2201</v>
      </c>
    </row>
    <row r="25" s="396" customFormat="1" ht="26" spans="1:7">
      <c r="A25" s="450" t="s">
        <v>1116</v>
      </c>
      <c r="B25" s="420" t="s">
        <v>2202</v>
      </c>
      <c r="C25" s="451">
        <f ca="1">ROUND(IF('数据-取费表'!B22&lt;=1,C20*F22*'数据-取费表'!B23/2,C20*(POWER((1+F22),'数据-取费表'!B23/2)-1)),0)</f>
        <v>5</v>
      </c>
      <c r="D25" s="452"/>
      <c r="E25" s="455"/>
      <c r="F25" s="453"/>
      <c r="G25" s="456" t="s">
        <v>2203</v>
      </c>
    </row>
    <row r="26" s="396" customFormat="1" ht="13" spans="1:7">
      <c r="A26" s="450" t="s">
        <v>1158</v>
      </c>
      <c r="B26" s="420" t="s">
        <v>2204</v>
      </c>
      <c r="C26" s="452">
        <f ca="1">ROUND(IF('数据-取费表'!B22&lt;=1,F21*F22*'数据-取费表'!B23/2,F21*(POWER((1+F22),'数据-取费表'!B23/2)-1)),4)</f>
        <v>0.0002</v>
      </c>
      <c r="D26" s="452"/>
      <c r="E26" s="455"/>
      <c r="F26" s="453"/>
      <c r="G26" s="457"/>
    </row>
    <row r="27" s="396" customFormat="1" ht="26" spans="1:7">
      <c r="A27" s="439" t="s">
        <v>1802</v>
      </c>
      <c r="B27" s="458" t="s">
        <v>2205</v>
      </c>
      <c r="C27" s="459">
        <f>C28</f>
        <v>893</v>
      </c>
      <c r="D27" s="445">
        <f>C29</f>
        <v>0.0008</v>
      </c>
      <c r="E27" s="446" t="s">
        <v>2195</v>
      </c>
      <c r="F27" s="460">
        <f>'数据-取费表'!Q16</f>
        <v>0.05</v>
      </c>
      <c r="G27" s="461" t="s">
        <v>2206</v>
      </c>
    </row>
    <row r="28" s="396" customFormat="1" ht="13.5" customHeight="1" spans="1:7">
      <c r="A28" s="450" t="s">
        <v>1112</v>
      </c>
      <c r="B28" s="462" t="s">
        <v>2207</v>
      </c>
      <c r="C28" s="463">
        <f>ROUND((C5+C19+C20)*F27*'数据-取费表'!B21/'数据-取费表'!B20,0)</f>
        <v>893</v>
      </c>
      <c r="D28" s="445"/>
      <c r="E28" s="446"/>
      <c r="F28" s="460"/>
      <c r="G28" s="461"/>
    </row>
    <row r="29" s="396" customFormat="1" ht="13.5" customHeight="1" spans="1:7">
      <c r="A29" s="450" t="s">
        <v>1114</v>
      </c>
      <c r="B29" s="462" t="s">
        <v>2208</v>
      </c>
      <c r="C29" s="452">
        <f>ROUND(C21*F27*'数据-取费表'!B21/'数据-取费表'!B20,4)</f>
        <v>0.0008</v>
      </c>
      <c r="D29" s="445"/>
      <c r="E29" s="446"/>
      <c r="F29" s="460"/>
      <c r="G29" s="461"/>
    </row>
    <row r="30" s="396" customFormat="1" ht="13.5" customHeight="1" spans="1:7">
      <c r="A30" s="439" t="s">
        <v>2209</v>
      </c>
      <c r="B30" s="415" t="s">
        <v>2210</v>
      </c>
      <c r="C30" s="445">
        <f>F30</f>
        <v>0.055</v>
      </c>
      <c r="D30" s="446" t="s">
        <v>2211</v>
      </c>
      <c r="E30" s="455"/>
      <c r="F30" s="449">
        <f>'数据-取费表'!B41</f>
        <v>0.055</v>
      </c>
      <c r="G30" s="447" t="s">
        <v>2212</v>
      </c>
    </row>
    <row r="31" ht="16.5" customHeight="1" spans="1:7">
      <c r="A31" s="464">
        <v>1</v>
      </c>
      <c r="B31" s="415" t="s">
        <v>2213</v>
      </c>
      <c r="C31" s="416">
        <f ca="1">ROUND((C5+C19+C20+C22+C27)/(1-C21-D22-D27-C30/(1+'数据-取费表'!B42)),0)</f>
        <v>25641</v>
      </c>
      <c r="D31" s="465"/>
      <c r="E31" s="416"/>
      <c r="F31" s="466"/>
      <c r="G31" s="447" t="s">
        <v>2214</v>
      </c>
    </row>
    <row r="32" s="395" customFormat="1" ht="15.5" spans="1:7">
      <c r="A32" s="467" t="s">
        <v>2215</v>
      </c>
      <c r="B32" s="468"/>
      <c r="C32" s="468"/>
      <c r="D32" s="468"/>
      <c r="E32" s="468"/>
      <c r="F32" s="468"/>
      <c r="G32" s="469"/>
    </row>
    <row r="33" s="396" customFormat="1" ht="13.5" customHeight="1" spans="1:7">
      <c r="A33" s="414" t="s">
        <v>1108</v>
      </c>
      <c r="B33" s="415" t="s">
        <v>2216</v>
      </c>
      <c r="C33" s="470">
        <f>SUM(C34:C38)</f>
        <v>8907</v>
      </c>
      <c r="D33" s="442"/>
      <c r="E33" s="417"/>
      <c r="F33" s="455"/>
      <c r="G33" s="447"/>
    </row>
    <row r="34" s="398" customFormat="1" ht="13.5" customHeight="1" spans="1:7">
      <c r="A34" s="450" t="s">
        <v>1112</v>
      </c>
      <c r="B34" s="420" t="s">
        <v>2217</v>
      </c>
      <c r="C34" s="425">
        <f>IF(F34=100%,'数据-取费表'!M16-SUMIF('数据-取费表'!C:C,"公共配套",'数据-取费表'!M:M),'数据-取费表'!O16-SUMIF('数据-取费表'!C:C,"公共配套",'数据-取费表'!O:O))</f>
        <v>7613</v>
      </c>
      <c r="D34" s="422"/>
      <c r="E34" s="425"/>
      <c r="F34" s="471">
        <f>IF('数据-取费表'!B24=0,1,'数据-取费表'!N16)</f>
        <v>0.7</v>
      </c>
      <c r="G34" s="424" t="s">
        <v>2218</v>
      </c>
    </row>
    <row r="35" ht="13.5" customHeight="1" spans="1:7">
      <c r="A35" s="450" t="s">
        <v>1114</v>
      </c>
      <c r="B35" s="420" t="s">
        <v>2219</v>
      </c>
      <c r="C35" s="425">
        <f>ROUND(C34*F35,0)</f>
        <v>381</v>
      </c>
      <c r="D35" s="425"/>
      <c r="E35" s="425"/>
      <c r="F35" s="472">
        <f>'数据-取费表'!B33</f>
        <v>0.05</v>
      </c>
      <c r="G35" s="424" t="s">
        <v>2220</v>
      </c>
    </row>
    <row r="36" ht="26" spans="1:7">
      <c r="A36" s="450" t="s">
        <v>1116</v>
      </c>
      <c r="B36" s="420" t="s">
        <v>2221</v>
      </c>
      <c r="C36" s="425">
        <f>ROUND(IF(SUMIF('数据-取费表'!C:C,"住宅",IF(F34=100%,'数据-取费表'!M:M,'数据-取费表'!O:O))=0,0,IF(F36=0,SUMIF('数据-取费表'!C:C,"公共配套",IF(F34=100%,'数据-取费表'!M:M,'数据-取费表'!O:O)),SUMIF('数据-取费表'!C:C,"住宅",IF(F34=100%,'数据-取费表'!M:M,'数据-取费表'!O:O))*F36)),0)</f>
        <v>0</v>
      </c>
      <c r="D36" s="425"/>
      <c r="E36" s="425"/>
      <c r="F36" s="472">
        <f>'数据-取费表'!B34</f>
        <v>0</v>
      </c>
      <c r="G36" s="473" t="s">
        <v>2222</v>
      </c>
    </row>
    <row r="37" s="398" customFormat="1" ht="13.5" customHeight="1" spans="1:7">
      <c r="A37" s="450" t="s">
        <v>1158</v>
      </c>
      <c r="B37" s="420" t="s">
        <v>2223</v>
      </c>
      <c r="C37" s="463">
        <f>ROUND(E37*D37*F34/10000,0)</f>
        <v>761</v>
      </c>
      <c r="D37" s="422">
        <f>'数据-汇总表'!E3</f>
        <v>54377.37</v>
      </c>
      <c r="E37" s="463">
        <f>'数据-取费表'!B35</f>
        <v>200</v>
      </c>
      <c r="F37" s="472"/>
      <c r="G37" s="474" t="s">
        <v>2224</v>
      </c>
    </row>
    <row r="38" ht="13.5" customHeight="1" spans="1:7">
      <c r="A38" s="450" t="s">
        <v>1180</v>
      </c>
      <c r="B38" s="420" t="s">
        <v>2182</v>
      </c>
      <c r="C38" s="425">
        <f>ROUND(C34*F38,0)</f>
        <v>152</v>
      </c>
      <c r="D38" s="425"/>
      <c r="E38" s="425"/>
      <c r="F38" s="472">
        <f>'数据-取费表'!B36</f>
        <v>0.02</v>
      </c>
      <c r="G38" s="424" t="s">
        <v>2220</v>
      </c>
    </row>
    <row r="39" s="396" customFormat="1" ht="13.5" customHeight="1" spans="1:7">
      <c r="A39" s="439" t="s">
        <v>1742</v>
      </c>
      <c r="B39" s="415" t="s">
        <v>2192</v>
      </c>
      <c r="C39" s="442">
        <f>ROUND(C33*F20,0)</f>
        <v>178</v>
      </c>
      <c r="D39" s="442"/>
      <c r="E39" s="442"/>
      <c r="F39" s="443"/>
      <c r="G39" s="444" t="s">
        <v>2225</v>
      </c>
    </row>
    <row r="40" s="396" customFormat="1" ht="13.5" customHeight="1" spans="1:7">
      <c r="A40" s="439" t="s">
        <v>1779</v>
      </c>
      <c r="B40" s="415" t="s">
        <v>2194</v>
      </c>
      <c r="C40" s="475">
        <f>F21</f>
        <v>0.02</v>
      </c>
      <c r="D40" s="446" t="s">
        <v>2226</v>
      </c>
      <c r="E40" s="442"/>
      <c r="F40" s="443"/>
      <c r="G40" s="447" t="s">
        <v>2227</v>
      </c>
    </row>
    <row r="41" s="396" customFormat="1" ht="13.5" customHeight="1" spans="1:7">
      <c r="A41" s="439" t="s">
        <v>1784</v>
      </c>
      <c r="B41" s="415" t="s">
        <v>2197</v>
      </c>
      <c r="C41" s="442">
        <f ca="1">ROUND(SUM(C42:C43),0)</f>
        <v>109</v>
      </c>
      <c r="D41" s="445">
        <f ca="1">C44</f>
        <v>0.0002</v>
      </c>
      <c r="E41" s="446" t="s">
        <v>2226</v>
      </c>
      <c r="F41" s="449"/>
      <c r="G41" s="444" t="str">
        <f>IF('数据-取费表'!B22&lt;=1,"单利计息","复利计息")</f>
        <v>单利计息</v>
      </c>
    </row>
    <row r="42" ht="13.5" customHeight="1" spans="1:7">
      <c r="A42" s="450" t="s">
        <v>1112</v>
      </c>
      <c r="B42" s="420" t="s">
        <v>2198</v>
      </c>
      <c r="C42" s="452">
        <f ca="1">ROUND(IF('数据-取费表'!B22&lt;=1,C33*F22*'数据-取费表'!B21/2,C33*(POWER((1+F22),'数据-取费表'!B21/2)-1)),0)</f>
        <v>107</v>
      </c>
      <c r="D42" s="452"/>
      <c r="E42" s="452"/>
      <c r="F42" s="453"/>
      <c r="G42" s="476" t="s">
        <v>2228</v>
      </c>
    </row>
    <row r="43" ht="13.5" customHeight="1" spans="1:7">
      <c r="A43" s="450" t="s">
        <v>1114</v>
      </c>
      <c r="B43" s="420" t="s">
        <v>2200</v>
      </c>
      <c r="C43" s="452">
        <f ca="1">ROUND(IF('数据-取费表'!B22&lt;=1,C39*F22*'数据-取费表'!B21/2,C39*(POWER((1+F22),'数据-取费表'!B21/2)-1)),0)</f>
        <v>2</v>
      </c>
      <c r="D43" s="452"/>
      <c r="E43" s="452"/>
      <c r="F43" s="453"/>
      <c r="G43" s="477"/>
    </row>
    <row r="44" ht="13.5" customHeight="1" spans="1:7">
      <c r="A44" s="450" t="s">
        <v>1116</v>
      </c>
      <c r="B44" s="420" t="s">
        <v>2202</v>
      </c>
      <c r="C44" s="452">
        <f ca="1">ROUND(IF('数据-取费表'!B22&lt;=1,C40*F22*'数据-取费表'!B21/2,C40*(POWER((1+F22),'数据-取费表'!B21/2)-1)),4)</f>
        <v>0.0002</v>
      </c>
      <c r="D44" s="452"/>
      <c r="E44" s="452"/>
      <c r="F44" s="453"/>
      <c r="G44" s="478"/>
    </row>
    <row r="45" s="396" customFormat="1" ht="13.5" customHeight="1" spans="1:7">
      <c r="A45" s="439" t="s">
        <v>1793</v>
      </c>
      <c r="B45" s="458" t="s">
        <v>2205</v>
      </c>
      <c r="C45" s="459">
        <f>C46</f>
        <v>454</v>
      </c>
      <c r="D45" s="445">
        <f>C47</f>
        <v>0.001</v>
      </c>
      <c r="E45" s="446" t="s">
        <v>2226</v>
      </c>
      <c r="F45" s="460"/>
      <c r="G45" s="461" t="s">
        <v>2229</v>
      </c>
    </row>
    <row r="46" s="396" customFormat="1" ht="13.5" customHeight="1" spans="1:7">
      <c r="A46" s="450" t="s">
        <v>1112</v>
      </c>
      <c r="B46" s="462" t="s">
        <v>2230</v>
      </c>
      <c r="C46" s="463">
        <f>ROUND((C33+C39)*F27,0)</f>
        <v>454</v>
      </c>
      <c r="D46" s="479"/>
      <c r="E46" s="446"/>
      <c r="F46" s="460"/>
      <c r="G46" s="461"/>
    </row>
    <row r="47" s="396" customFormat="1" ht="13.5" customHeight="1" spans="1:7">
      <c r="A47" s="450" t="s">
        <v>1114</v>
      </c>
      <c r="B47" s="462" t="s">
        <v>2231</v>
      </c>
      <c r="C47" s="452">
        <f>ROUND(C40*F27,4)</f>
        <v>0.001</v>
      </c>
      <c r="D47" s="479"/>
      <c r="E47" s="446"/>
      <c r="F47" s="460"/>
      <c r="G47" s="461"/>
    </row>
    <row r="48" s="396" customFormat="1" ht="13.5" customHeight="1" spans="1:7">
      <c r="A48" s="439" t="s">
        <v>1802</v>
      </c>
      <c r="B48" s="415" t="s">
        <v>2210</v>
      </c>
      <c r="C48" s="475">
        <f>F30</f>
        <v>0.055</v>
      </c>
      <c r="D48" s="446" t="s">
        <v>2232</v>
      </c>
      <c r="E48" s="442"/>
      <c r="F48" s="449"/>
      <c r="G48" s="447" t="s">
        <v>2233</v>
      </c>
    </row>
    <row r="49" ht="16.5" customHeight="1" spans="1:7">
      <c r="A49" s="439" t="s">
        <v>2209</v>
      </c>
      <c r="B49" s="415" t="s">
        <v>2234</v>
      </c>
      <c r="C49" s="442">
        <f ca="1">ROUND((C33+C39+C41+C45)/(1-C40-D41-D45-C48/(1+'数据-取费表'!B42)),0)</f>
        <v>10414</v>
      </c>
      <c r="D49" s="442"/>
      <c r="E49" s="442"/>
      <c r="F49" s="480"/>
      <c r="G49" s="447" t="s">
        <v>2235</v>
      </c>
    </row>
    <row r="50" s="398" customFormat="1" ht="26" spans="1:7">
      <c r="A50" s="439" t="s">
        <v>2236</v>
      </c>
      <c r="B50" s="415" t="s">
        <v>2237</v>
      </c>
      <c r="C50" s="442"/>
      <c r="D50" s="442"/>
      <c r="E50" s="442"/>
      <c r="F50" s="480">
        <f>IF('数据-取费表'!B24=0,'数据-取费表'!N16,1)</f>
        <v>1</v>
      </c>
      <c r="G50" s="461" t="s">
        <v>2238</v>
      </c>
    </row>
    <row r="51" ht="16.5" customHeight="1" spans="1:7">
      <c r="A51" s="439" t="s">
        <v>2239</v>
      </c>
      <c r="B51" s="415" t="s">
        <v>2240</v>
      </c>
      <c r="C51" s="442">
        <f ca="1">ROUND(C49*F50,0)</f>
        <v>10414</v>
      </c>
      <c r="D51" s="442"/>
      <c r="E51" s="442"/>
      <c r="F51" s="480"/>
      <c r="G51" s="447" t="s">
        <v>2241</v>
      </c>
    </row>
    <row r="52" s="395" customFormat="1" ht="16.25" spans="1:7">
      <c r="A52" s="481" t="s">
        <v>2242</v>
      </c>
      <c r="B52" s="482"/>
      <c r="C52" s="483">
        <f ca="1">C31+C51</f>
        <v>36055</v>
      </c>
      <c r="D52" s="482"/>
      <c r="E52" s="482"/>
      <c r="F52" s="482"/>
      <c r="G52" s="484"/>
    </row>
    <row r="55" ht="15.5" spans="2:3">
      <c r="B55" s="485" t="s">
        <v>2243</v>
      </c>
      <c r="C55" s="486"/>
    </row>
    <row r="56" ht="13" spans="2:3">
      <c r="B56" s="487" t="s">
        <v>2244</v>
      </c>
      <c r="C56" s="488">
        <f ca="1">ROUND(C51/C52,3)</f>
        <v>0.289</v>
      </c>
    </row>
    <row r="57" ht="13" spans="2:3">
      <c r="B57" s="487" t="s">
        <v>2245</v>
      </c>
      <c r="C57" s="489">
        <f ca="1">1-C56</f>
        <v>0.711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 ca="1">结果表!H101</f>
        <v>9734</v>
      </c>
      <c r="E5" s="3666"/>
    </row>
    <row r="6" ht="15" spans="1:5">
      <c r="A6" s="3666"/>
      <c r="B6" s="3670"/>
      <c r="C6" s="3671" t="s">
        <v>98</v>
      </c>
      <c r="D6" s="3672" t="str">
        <f ca="1">NUMBERSTRING(INT(D5*10000),2)&amp;"元整"</f>
        <v>玖仟柒佰叁拾肆万元整</v>
      </c>
      <c r="E6" s="3666"/>
    </row>
    <row r="7" ht="15.5" spans="1:5">
      <c r="A7" s="3666"/>
      <c r="B7" s="3673"/>
      <c r="C7" s="3674" t="s">
        <v>99</v>
      </c>
      <c r="D7" s="3675">
        <f ca="1">结果表!H102</f>
        <v>1790</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 ca="1">结果表!H107</f>
        <v>9734</v>
      </c>
      <c r="E13" s="3666"/>
    </row>
    <row r="14" ht="15" spans="1:5">
      <c r="A14" s="3666"/>
      <c r="B14" s="3670"/>
      <c r="C14" s="3671" t="s">
        <v>98</v>
      </c>
      <c r="D14" s="3672" t="str">
        <f ca="1">NUMBERSTRING(INT(D13*10000),2)&amp;"元整"</f>
        <v>玖仟柒佰叁拾肆万元整</v>
      </c>
      <c r="E14" s="3666"/>
    </row>
    <row r="15" ht="15.5" spans="1:5">
      <c r="A15" s="3666"/>
      <c r="B15" s="3673"/>
      <c r="C15" s="3674" t="s">
        <v>99</v>
      </c>
      <c r="D15" s="3685">
        <f ca="1">结果表!H108</f>
        <v>1790</v>
      </c>
      <c r="E15" s="3666"/>
    </row>
    <row r="16" ht="15" spans="1:5">
      <c r="A16" s="3666"/>
      <c r="B16" s="3676" t="str">
        <f>结果表!E109</f>
        <v>——</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7" customWidth="1"/>
    <col min="2" max="2" width="20" style="357" customWidth="1"/>
    <col min="3" max="7" width="8.87272727272727" style="358"/>
    <col min="8" max="16384" width="8.87272727272727" style="359"/>
  </cols>
  <sheetData>
    <row r="1" spans="1:2">
      <c r="A1" s="360" t="s">
        <v>2246</v>
      </c>
      <c r="B1" s="360"/>
    </row>
    <row r="2" ht="14.75" spans="1:2">
      <c r="A2" s="360"/>
      <c r="B2" s="360"/>
    </row>
    <row r="3" ht="14.75" spans="1:7">
      <c r="A3" s="360"/>
      <c r="B3" s="360"/>
      <c r="C3" s="361" t="s">
        <v>1924</v>
      </c>
      <c r="D3" s="361" t="s">
        <v>1925</v>
      </c>
      <c r="E3" s="361" t="s">
        <v>412</v>
      </c>
      <c r="F3" s="361" t="s">
        <v>408</v>
      </c>
      <c r="G3" s="361" t="s">
        <v>280</v>
      </c>
    </row>
    <row r="4" ht="14.75" spans="1:7">
      <c r="A4" s="362" t="s">
        <v>2247</v>
      </c>
      <c r="B4" s="363" t="s">
        <v>2248</v>
      </c>
      <c r="C4" s="361"/>
      <c r="D4" s="361"/>
      <c r="E4" s="361"/>
      <c r="F4" s="361"/>
      <c r="G4" s="361"/>
    </row>
    <row r="5" spans="1:7">
      <c r="A5" s="364" t="s">
        <v>230</v>
      </c>
      <c r="B5" s="365" t="s">
        <v>2249</v>
      </c>
      <c r="C5" s="366">
        <v>0.098</v>
      </c>
      <c r="D5" s="366">
        <v>0.087</v>
      </c>
      <c r="E5" s="366">
        <v>0.087</v>
      </c>
      <c r="F5" s="366">
        <v>0.098</v>
      </c>
      <c r="G5" s="367">
        <v>0.095</v>
      </c>
    </row>
    <row r="6" spans="1:7">
      <c r="A6" s="368" t="s">
        <v>230</v>
      </c>
      <c r="B6" s="369" t="s">
        <v>2250</v>
      </c>
      <c r="C6" s="370">
        <v>0.098</v>
      </c>
      <c r="D6" s="370">
        <v>0.098</v>
      </c>
      <c r="E6" s="370">
        <v>0.098</v>
      </c>
      <c r="F6" s="370">
        <v>0.1</v>
      </c>
      <c r="G6" s="371">
        <v>0.099</v>
      </c>
    </row>
    <row r="7" spans="1:7">
      <c r="A7" s="368" t="s">
        <v>230</v>
      </c>
      <c r="B7" s="369" t="s">
        <v>2251</v>
      </c>
      <c r="C7" s="370">
        <v>0.097</v>
      </c>
      <c r="D7" s="370">
        <v>0.097</v>
      </c>
      <c r="E7" s="370">
        <v>0.096</v>
      </c>
      <c r="F7" s="370">
        <v>0.1</v>
      </c>
      <c r="G7" s="371">
        <v>0.098</v>
      </c>
    </row>
    <row r="8" spans="1:7">
      <c r="A8" s="368" t="s">
        <v>230</v>
      </c>
      <c r="B8" s="369" t="s">
        <v>2252</v>
      </c>
      <c r="C8" s="370">
        <v>0.081</v>
      </c>
      <c r="D8" s="370">
        <v>0.082</v>
      </c>
      <c r="E8" s="370">
        <v>0.07</v>
      </c>
      <c r="F8" s="370">
        <v>0.096</v>
      </c>
      <c r="G8" s="371">
        <v>0.089</v>
      </c>
    </row>
    <row r="9" ht="14.75" spans="1:7">
      <c r="A9" s="372" t="s">
        <v>230</v>
      </c>
      <c r="B9" s="373" t="s">
        <v>2253</v>
      </c>
      <c r="C9" s="374">
        <v>0.1</v>
      </c>
      <c r="D9" s="374">
        <v>0.1</v>
      </c>
      <c r="E9" s="374">
        <v>0.1</v>
      </c>
      <c r="F9" s="375"/>
      <c r="G9" s="376">
        <v>0.1</v>
      </c>
    </row>
    <row r="10" spans="1:7">
      <c r="A10" s="364" t="s">
        <v>241</v>
      </c>
      <c r="B10" s="365" t="s">
        <v>2254</v>
      </c>
      <c r="C10" s="366">
        <v>0.067</v>
      </c>
      <c r="D10" s="366">
        <v>0.079</v>
      </c>
      <c r="E10" s="366">
        <v>0.079</v>
      </c>
      <c r="F10" s="366">
        <v>0.1</v>
      </c>
      <c r="G10" s="367">
        <v>0.091</v>
      </c>
    </row>
    <row r="11" spans="1:7">
      <c r="A11" s="368" t="s">
        <v>241</v>
      </c>
      <c r="B11" s="369" t="s">
        <v>2255</v>
      </c>
      <c r="C11" s="370">
        <v>0.05</v>
      </c>
      <c r="D11" s="370">
        <v>0.053</v>
      </c>
      <c r="E11" s="370">
        <v>0.063</v>
      </c>
      <c r="F11" s="370">
        <v>0.1</v>
      </c>
      <c r="G11" s="371">
        <v>0.072</v>
      </c>
    </row>
    <row r="12" spans="1:7">
      <c r="A12" s="368" t="s">
        <v>241</v>
      </c>
      <c r="B12" s="369" t="s">
        <v>2256</v>
      </c>
      <c r="C12" s="370">
        <v>0.053</v>
      </c>
      <c r="D12" s="370">
        <v>0.09</v>
      </c>
      <c r="E12" s="370">
        <v>0.072</v>
      </c>
      <c r="F12" s="370">
        <v>0.1</v>
      </c>
      <c r="G12" s="371">
        <v>0.097</v>
      </c>
    </row>
    <row r="13" spans="1:7">
      <c r="A13" s="368" t="s">
        <v>241</v>
      </c>
      <c r="B13" s="369" t="s">
        <v>2257</v>
      </c>
      <c r="C13" s="370">
        <v>0.097</v>
      </c>
      <c r="D13" s="370">
        <v>0.092</v>
      </c>
      <c r="E13" s="370">
        <v>0.095</v>
      </c>
      <c r="F13" s="370">
        <v>0.1</v>
      </c>
      <c r="G13" s="371">
        <v>0.097</v>
      </c>
    </row>
    <row r="14" spans="1:7">
      <c r="A14" s="368" t="s">
        <v>241</v>
      </c>
      <c r="B14" s="369" t="s">
        <v>2258</v>
      </c>
      <c r="C14" s="370">
        <v>0.097</v>
      </c>
      <c r="D14" s="370">
        <v>0.097</v>
      </c>
      <c r="E14" s="370">
        <v>0.097</v>
      </c>
      <c r="F14" s="370">
        <v>0.1</v>
      </c>
      <c r="G14" s="371">
        <v>0.098</v>
      </c>
    </row>
    <row r="15" spans="1:7">
      <c r="A15" s="368" t="s">
        <v>241</v>
      </c>
      <c r="B15" s="369" t="s">
        <v>2259</v>
      </c>
      <c r="C15" s="370">
        <v>0.098</v>
      </c>
      <c r="D15" s="370">
        <v>0.091</v>
      </c>
      <c r="E15" s="370">
        <v>0.06</v>
      </c>
      <c r="F15" s="370">
        <v>0.1</v>
      </c>
      <c r="G15" s="371">
        <v>0.097</v>
      </c>
    </row>
    <row r="16" spans="1:7">
      <c r="A16" s="368" t="s">
        <v>241</v>
      </c>
      <c r="B16" s="369" t="s">
        <v>2260</v>
      </c>
      <c r="C16" s="370">
        <v>0.098</v>
      </c>
      <c r="D16" s="370">
        <v>0.097</v>
      </c>
      <c r="E16" s="370">
        <v>0.095</v>
      </c>
      <c r="F16" s="370">
        <v>0.1</v>
      </c>
      <c r="G16" s="371">
        <v>0.099</v>
      </c>
    </row>
    <row r="17" spans="1:7">
      <c r="A17" s="368" t="s">
        <v>241</v>
      </c>
      <c r="B17" s="369" t="s">
        <v>2261</v>
      </c>
      <c r="C17" s="370">
        <v>0.089</v>
      </c>
      <c r="D17" s="370">
        <v>0.092</v>
      </c>
      <c r="E17" s="370">
        <v>0.061</v>
      </c>
      <c r="F17" s="370">
        <v>0.1</v>
      </c>
      <c r="G17" s="371">
        <v>0.097</v>
      </c>
    </row>
    <row r="18" spans="1:7">
      <c r="A18" s="368" t="s">
        <v>241</v>
      </c>
      <c r="B18" s="369" t="s">
        <v>2262</v>
      </c>
      <c r="C18" s="370">
        <v>0.098</v>
      </c>
      <c r="D18" s="370">
        <v>0.098</v>
      </c>
      <c r="E18" s="370">
        <v>0.098</v>
      </c>
      <c r="F18" s="377"/>
      <c r="G18" s="371">
        <v>0.099</v>
      </c>
    </row>
    <row r="19" spans="1:7">
      <c r="A19" s="368" t="s">
        <v>241</v>
      </c>
      <c r="B19" s="369" t="s">
        <v>2263</v>
      </c>
      <c r="C19" s="370">
        <v>0.099</v>
      </c>
      <c r="D19" s="370">
        <v>0.074</v>
      </c>
      <c r="E19" s="370">
        <v>0.081</v>
      </c>
      <c r="F19" s="377"/>
      <c r="G19" s="371">
        <v>0.093</v>
      </c>
    </row>
    <row r="20" spans="1:7">
      <c r="A20" s="368" t="s">
        <v>241</v>
      </c>
      <c r="B20" s="369" t="s">
        <v>2264</v>
      </c>
      <c r="C20" s="370">
        <v>0.1</v>
      </c>
      <c r="D20" s="370">
        <v>0.089</v>
      </c>
      <c r="E20" s="370">
        <v>0.089</v>
      </c>
      <c r="F20" s="377"/>
      <c r="G20" s="371">
        <v>0.095</v>
      </c>
    </row>
    <row r="21" spans="1:7">
      <c r="A21" s="368" t="s">
        <v>241</v>
      </c>
      <c r="B21" s="369" t="s">
        <v>2265</v>
      </c>
      <c r="C21" s="370">
        <v>0.1</v>
      </c>
      <c r="D21" s="370">
        <v>0.091</v>
      </c>
      <c r="E21" s="370">
        <v>0.082</v>
      </c>
      <c r="F21" s="377"/>
      <c r="G21" s="371">
        <v>0.097</v>
      </c>
    </row>
    <row r="22" spans="1:7">
      <c r="A22" s="368" t="s">
        <v>241</v>
      </c>
      <c r="B22" s="369" t="s">
        <v>2266</v>
      </c>
      <c r="C22" s="370">
        <v>0.095</v>
      </c>
      <c r="D22" s="370">
        <v>0.099</v>
      </c>
      <c r="E22" s="370">
        <v>0.098</v>
      </c>
      <c r="F22" s="377"/>
      <c r="G22" s="371">
        <v>0.1</v>
      </c>
    </row>
    <row r="23" spans="1:7">
      <c r="A23" s="368" t="s">
        <v>241</v>
      </c>
      <c r="B23" s="369" t="s">
        <v>2267</v>
      </c>
      <c r="C23" s="370">
        <v>0.099</v>
      </c>
      <c r="D23" s="370">
        <v>0.1</v>
      </c>
      <c r="E23" s="370">
        <v>0.1</v>
      </c>
      <c r="F23" s="377"/>
      <c r="G23" s="371">
        <v>0.1</v>
      </c>
    </row>
    <row r="24" spans="1:7">
      <c r="A24" s="368" t="s">
        <v>241</v>
      </c>
      <c r="B24" s="369" t="s">
        <v>2268</v>
      </c>
      <c r="C24" s="370">
        <v>0.095</v>
      </c>
      <c r="D24" s="370">
        <v>0.1</v>
      </c>
      <c r="E24" s="370">
        <v>0.098</v>
      </c>
      <c r="F24" s="377"/>
      <c r="G24" s="371">
        <v>0.1</v>
      </c>
    </row>
    <row r="25" spans="1:7">
      <c r="A25" s="368" t="s">
        <v>241</v>
      </c>
      <c r="B25" s="369" t="s">
        <v>2269</v>
      </c>
      <c r="C25" s="370">
        <v>0.05</v>
      </c>
      <c r="D25" s="370">
        <v>0.096</v>
      </c>
      <c r="E25" s="370">
        <v>0.096</v>
      </c>
      <c r="F25" s="377"/>
      <c r="G25" s="371">
        <v>0.096</v>
      </c>
    </row>
    <row r="26" spans="1:7">
      <c r="A26" s="368" t="s">
        <v>241</v>
      </c>
      <c r="B26" s="369" t="s">
        <v>2270</v>
      </c>
      <c r="C26" s="370">
        <v>0.063</v>
      </c>
      <c r="D26" s="370">
        <v>0.099</v>
      </c>
      <c r="E26" s="370">
        <v>0.098</v>
      </c>
      <c r="F26" s="377"/>
      <c r="G26" s="371">
        <v>0.1</v>
      </c>
    </row>
    <row r="27" spans="1:7">
      <c r="A27" s="368" t="s">
        <v>241</v>
      </c>
      <c r="B27" s="369" t="s">
        <v>2271</v>
      </c>
      <c r="C27" s="370">
        <v>0.052</v>
      </c>
      <c r="D27" s="370">
        <v>0.095</v>
      </c>
      <c r="E27" s="370">
        <v>0.064</v>
      </c>
      <c r="F27" s="377"/>
      <c r="G27" s="371">
        <v>0.097</v>
      </c>
    </row>
    <row r="28" spans="1:7">
      <c r="A28" s="368" t="s">
        <v>241</v>
      </c>
      <c r="B28" s="369" t="s">
        <v>2272</v>
      </c>
      <c r="C28" s="377"/>
      <c r="D28" s="370">
        <v>0.063</v>
      </c>
      <c r="E28" s="370">
        <v>0.052</v>
      </c>
      <c r="F28" s="377"/>
      <c r="G28" s="371">
        <v>0.063</v>
      </c>
    </row>
    <row r="29" ht="14.75" spans="1:7">
      <c r="A29" s="372" t="s">
        <v>241</v>
      </c>
      <c r="B29" s="373" t="s">
        <v>2273</v>
      </c>
      <c r="C29" s="378"/>
      <c r="D29" s="374">
        <v>0.052</v>
      </c>
      <c r="E29" s="374">
        <v>0.07</v>
      </c>
      <c r="F29" s="378"/>
      <c r="G29" s="376">
        <v>0.071</v>
      </c>
    </row>
    <row r="30" spans="1:7">
      <c r="A30" s="379" t="s">
        <v>251</v>
      </c>
      <c r="B30" s="365" t="s">
        <v>2274</v>
      </c>
      <c r="C30" s="366">
        <v>0.066</v>
      </c>
      <c r="D30" s="366">
        <v>0.066</v>
      </c>
      <c r="E30" s="366">
        <v>0.057</v>
      </c>
      <c r="F30" s="366">
        <v>0.1</v>
      </c>
      <c r="G30" s="367">
        <v>0.068</v>
      </c>
    </row>
    <row r="31" spans="1:7">
      <c r="A31" s="380" t="s">
        <v>251</v>
      </c>
      <c r="B31" s="369" t="s">
        <v>2275</v>
      </c>
      <c r="C31" s="370">
        <v>0.055</v>
      </c>
      <c r="D31" s="370">
        <v>0.082</v>
      </c>
      <c r="E31" s="370">
        <v>0.064</v>
      </c>
      <c r="F31" s="370">
        <v>0.1</v>
      </c>
      <c r="G31" s="371">
        <v>0.095</v>
      </c>
    </row>
    <row r="32" spans="1:7">
      <c r="A32" s="380" t="s">
        <v>251</v>
      </c>
      <c r="B32" s="369" t="s">
        <v>2276</v>
      </c>
      <c r="C32" s="370">
        <v>0.082</v>
      </c>
      <c r="D32" s="370">
        <v>0.087</v>
      </c>
      <c r="E32" s="370">
        <v>0.095</v>
      </c>
      <c r="F32" s="370">
        <v>0.1</v>
      </c>
      <c r="G32" s="371">
        <v>0.096</v>
      </c>
    </row>
    <row r="33" spans="1:7">
      <c r="A33" s="380" t="s">
        <v>251</v>
      </c>
      <c r="B33" s="369" t="s">
        <v>2277</v>
      </c>
      <c r="C33" s="370">
        <v>0.099</v>
      </c>
      <c r="D33" s="370">
        <v>0.092</v>
      </c>
      <c r="E33" s="370">
        <v>0.087</v>
      </c>
      <c r="F33" s="370">
        <v>0.1</v>
      </c>
      <c r="G33" s="371">
        <v>0.097</v>
      </c>
    </row>
    <row r="34" spans="1:7">
      <c r="A34" s="380" t="s">
        <v>251</v>
      </c>
      <c r="B34" s="369" t="s">
        <v>2278</v>
      </c>
      <c r="C34" s="370">
        <v>0.084</v>
      </c>
      <c r="D34" s="370">
        <v>0.097</v>
      </c>
      <c r="E34" s="370">
        <v>0.071</v>
      </c>
      <c r="F34" s="370">
        <v>0.1</v>
      </c>
      <c r="G34" s="371">
        <v>0.098</v>
      </c>
    </row>
    <row r="35" spans="1:7">
      <c r="A35" s="380" t="s">
        <v>251</v>
      </c>
      <c r="B35" s="369" t="s">
        <v>2279</v>
      </c>
      <c r="C35" s="370">
        <v>0.083</v>
      </c>
      <c r="D35" s="370">
        <v>0.097</v>
      </c>
      <c r="E35" s="370">
        <v>0.061</v>
      </c>
      <c r="F35" s="370">
        <v>0.1</v>
      </c>
      <c r="G35" s="371">
        <v>0.099</v>
      </c>
    </row>
    <row r="36" spans="1:7">
      <c r="A36" s="380" t="s">
        <v>251</v>
      </c>
      <c r="B36" s="369" t="s">
        <v>2280</v>
      </c>
      <c r="C36" s="370">
        <v>0.097</v>
      </c>
      <c r="D36" s="370">
        <v>0.097</v>
      </c>
      <c r="E36" s="370">
        <v>0.078</v>
      </c>
      <c r="F36" s="370">
        <v>0.1</v>
      </c>
      <c r="G36" s="371">
        <v>0.099</v>
      </c>
    </row>
    <row r="37" spans="1:7">
      <c r="A37" s="380" t="s">
        <v>251</v>
      </c>
      <c r="B37" s="369" t="s">
        <v>2281</v>
      </c>
      <c r="C37" s="370">
        <v>0.097</v>
      </c>
      <c r="D37" s="370">
        <v>0.095</v>
      </c>
      <c r="E37" s="370">
        <v>0.078</v>
      </c>
      <c r="F37" s="370">
        <v>0.1</v>
      </c>
      <c r="G37" s="371">
        <v>0.097</v>
      </c>
    </row>
    <row r="38" spans="1:7">
      <c r="A38" s="380" t="s">
        <v>251</v>
      </c>
      <c r="B38" s="369" t="s">
        <v>2282</v>
      </c>
      <c r="C38" s="370">
        <v>0.097</v>
      </c>
      <c r="D38" s="370">
        <v>0.077</v>
      </c>
      <c r="E38" s="370">
        <v>0.07</v>
      </c>
      <c r="F38" s="370">
        <v>0.1</v>
      </c>
      <c r="G38" s="371">
        <v>0.077</v>
      </c>
    </row>
    <row r="39" spans="1:7">
      <c r="A39" s="380" t="s">
        <v>251</v>
      </c>
      <c r="B39" s="369" t="s">
        <v>2283</v>
      </c>
      <c r="C39" s="370">
        <v>0.095</v>
      </c>
      <c r="D39" s="370">
        <v>0.077</v>
      </c>
      <c r="E39" s="370">
        <v>0.066</v>
      </c>
      <c r="F39" s="370">
        <v>0.1</v>
      </c>
      <c r="G39" s="371">
        <v>0.086</v>
      </c>
    </row>
    <row r="40" spans="1:7">
      <c r="A40" s="380" t="s">
        <v>251</v>
      </c>
      <c r="B40" s="369" t="s">
        <v>2284</v>
      </c>
      <c r="C40" s="370">
        <v>0.077</v>
      </c>
      <c r="D40" s="370">
        <v>0.078</v>
      </c>
      <c r="E40" s="370">
        <v>0.082</v>
      </c>
      <c r="F40" s="381"/>
      <c r="G40" s="371">
        <v>0.078</v>
      </c>
    </row>
    <row r="41" spans="1:7">
      <c r="A41" s="380" t="s">
        <v>251</v>
      </c>
      <c r="B41" s="369" t="s">
        <v>2285</v>
      </c>
      <c r="C41" s="370">
        <v>0.078</v>
      </c>
      <c r="D41" s="370">
        <v>0.078</v>
      </c>
      <c r="E41" s="370">
        <v>0.082</v>
      </c>
      <c r="F41" s="381"/>
      <c r="G41" s="371">
        <v>0.086</v>
      </c>
    </row>
    <row r="42" spans="1:7">
      <c r="A42" s="380" t="s">
        <v>251</v>
      </c>
      <c r="B42" s="369" t="s">
        <v>2286</v>
      </c>
      <c r="C42" s="370">
        <v>0.078</v>
      </c>
      <c r="D42" s="370">
        <v>0.096</v>
      </c>
      <c r="E42" s="370">
        <v>0.072</v>
      </c>
      <c r="F42" s="381"/>
      <c r="G42" s="371">
        <v>0.098</v>
      </c>
    </row>
    <row r="43" spans="1:7">
      <c r="A43" s="380" t="s">
        <v>251</v>
      </c>
      <c r="B43" s="369" t="s">
        <v>2287</v>
      </c>
      <c r="C43" s="370">
        <v>0.078</v>
      </c>
      <c r="D43" s="370">
        <v>0.099</v>
      </c>
      <c r="E43" s="370">
        <v>0.096</v>
      </c>
      <c r="F43" s="381"/>
      <c r="G43" s="371">
        <v>0.1</v>
      </c>
    </row>
    <row r="44" spans="1:7">
      <c r="A44" s="380" t="s">
        <v>251</v>
      </c>
      <c r="B44" s="369" t="s">
        <v>2288</v>
      </c>
      <c r="C44" s="370">
        <v>0.096</v>
      </c>
      <c r="D44" s="370">
        <v>0.1</v>
      </c>
      <c r="E44" s="370">
        <v>0.098</v>
      </c>
      <c r="F44" s="381"/>
      <c r="G44" s="371">
        <v>0.1</v>
      </c>
    </row>
    <row r="45" spans="1:7">
      <c r="A45" s="380" t="s">
        <v>251</v>
      </c>
      <c r="B45" s="369" t="s">
        <v>2289</v>
      </c>
      <c r="C45" s="370">
        <v>0.099</v>
      </c>
      <c r="D45" s="370">
        <v>0.098</v>
      </c>
      <c r="E45" s="370">
        <v>0.095</v>
      </c>
      <c r="F45" s="381"/>
      <c r="G45" s="371">
        <v>0.098</v>
      </c>
    </row>
    <row r="46" spans="1:7">
      <c r="A46" s="380" t="s">
        <v>251</v>
      </c>
      <c r="B46" s="369" t="s">
        <v>2290</v>
      </c>
      <c r="C46" s="370">
        <v>0.1</v>
      </c>
      <c r="D46" s="370">
        <v>0.099</v>
      </c>
      <c r="E46" s="370">
        <v>0.096</v>
      </c>
      <c r="F46" s="381"/>
      <c r="G46" s="371">
        <v>0.1</v>
      </c>
    </row>
    <row r="47" spans="1:7">
      <c r="A47" s="380" t="s">
        <v>251</v>
      </c>
      <c r="B47" s="369" t="s">
        <v>2291</v>
      </c>
      <c r="C47" s="370">
        <v>0.098</v>
      </c>
      <c r="D47" s="370">
        <v>0.087</v>
      </c>
      <c r="E47" s="370">
        <v>0.059</v>
      </c>
      <c r="F47" s="381"/>
      <c r="G47" s="371">
        <v>0.096</v>
      </c>
    </row>
    <row r="48" spans="1:7">
      <c r="A48" s="380" t="s">
        <v>251</v>
      </c>
      <c r="B48" s="369" t="s">
        <v>2292</v>
      </c>
      <c r="C48" s="370">
        <v>0.099</v>
      </c>
      <c r="D48" s="370">
        <v>0.098</v>
      </c>
      <c r="E48" s="370">
        <v>0.095</v>
      </c>
      <c r="F48" s="381"/>
      <c r="G48" s="371">
        <v>0.098</v>
      </c>
    </row>
    <row r="49" spans="1:7">
      <c r="A49" s="380" t="s">
        <v>251</v>
      </c>
      <c r="B49" s="369" t="s">
        <v>2293</v>
      </c>
      <c r="C49" s="370">
        <v>0.088</v>
      </c>
      <c r="D49" s="370">
        <v>0.099</v>
      </c>
      <c r="E49" s="370">
        <v>0.07</v>
      </c>
      <c r="F49" s="381"/>
      <c r="G49" s="371">
        <v>0.1</v>
      </c>
    </row>
    <row r="50" spans="1:7">
      <c r="A50" s="380" t="s">
        <v>251</v>
      </c>
      <c r="B50" s="369" t="s">
        <v>2294</v>
      </c>
      <c r="C50" s="370">
        <v>0.098</v>
      </c>
      <c r="D50" s="370">
        <v>0.073</v>
      </c>
      <c r="E50" s="370">
        <v>0.071</v>
      </c>
      <c r="F50" s="381"/>
      <c r="G50" s="371">
        <v>0.073</v>
      </c>
    </row>
    <row r="51" spans="1:7">
      <c r="A51" s="380" t="s">
        <v>251</v>
      </c>
      <c r="B51" s="369" t="s">
        <v>2295</v>
      </c>
      <c r="C51" s="370">
        <v>0.099</v>
      </c>
      <c r="D51" s="370">
        <v>0.085</v>
      </c>
      <c r="E51" s="370">
        <v>0.063</v>
      </c>
      <c r="F51" s="381"/>
      <c r="G51" s="371">
        <v>0.096</v>
      </c>
    </row>
    <row r="52" spans="1:7">
      <c r="A52" s="380" t="s">
        <v>251</v>
      </c>
      <c r="B52" s="369" t="s">
        <v>2296</v>
      </c>
      <c r="C52" s="370">
        <v>0.074</v>
      </c>
      <c r="D52" s="370">
        <v>0.096</v>
      </c>
      <c r="E52" s="370">
        <v>0.05</v>
      </c>
      <c r="F52" s="381"/>
      <c r="G52" s="371">
        <v>0.098</v>
      </c>
    </row>
    <row r="53" spans="1:7">
      <c r="A53" s="380" t="s">
        <v>251</v>
      </c>
      <c r="B53" s="369" t="s">
        <v>2297</v>
      </c>
      <c r="C53" s="370">
        <v>0.086</v>
      </c>
      <c r="D53" s="381"/>
      <c r="E53" s="370">
        <v>0.092</v>
      </c>
      <c r="F53" s="381"/>
      <c r="G53" s="382"/>
    </row>
    <row r="54" ht="14.75" spans="1:7">
      <c r="A54" s="383" t="s">
        <v>251</v>
      </c>
      <c r="B54" s="373" t="s">
        <v>2298</v>
      </c>
      <c r="C54" s="374">
        <v>0.096</v>
      </c>
      <c r="D54" s="375"/>
      <c r="E54" s="384"/>
      <c r="F54" s="375"/>
      <c r="G54" s="385"/>
    </row>
    <row r="55" spans="1:7">
      <c r="A55" s="379" t="s">
        <v>259</v>
      </c>
      <c r="B55" s="365" t="s">
        <v>2299</v>
      </c>
      <c r="C55" s="366">
        <v>0.096</v>
      </c>
      <c r="D55" s="366">
        <v>0.084</v>
      </c>
      <c r="E55" s="366">
        <v>0.092</v>
      </c>
      <c r="F55" s="366">
        <v>0.1</v>
      </c>
      <c r="G55" s="367">
        <v>0.095</v>
      </c>
    </row>
    <row r="56" spans="1:7">
      <c r="A56" s="380" t="s">
        <v>259</v>
      </c>
      <c r="B56" s="369" t="s">
        <v>2300</v>
      </c>
      <c r="C56" s="370">
        <v>0.084</v>
      </c>
      <c r="D56" s="370">
        <v>0.092</v>
      </c>
      <c r="E56" s="370">
        <v>0.095</v>
      </c>
      <c r="F56" s="370">
        <v>0.092</v>
      </c>
      <c r="G56" s="371">
        <v>0.096</v>
      </c>
    </row>
    <row r="57" spans="1:7">
      <c r="A57" s="380" t="s">
        <v>259</v>
      </c>
      <c r="B57" s="369" t="s">
        <v>2301</v>
      </c>
      <c r="C57" s="370">
        <v>0.099</v>
      </c>
      <c r="D57" s="370">
        <v>0.096</v>
      </c>
      <c r="E57" s="370">
        <v>0.092</v>
      </c>
      <c r="F57" s="370">
        <v>0.1</v>
      </c>
      <c r="G57" s="371">
        <v>0.098</v>
      </c>
    </row>
    <row r="58" spans="1:7">
      <c r="A58" s="380" t="s">
        <v>259</v>
      </c>
      <c r="B58" s="369" t="s">
        <v>2302</v>
      </c>
      <c r="C58" s="370">
        <v>0.098</v>
      </c>
      <c r="D58" s="370">
        <v>0.095</v>
      </c>
      <c r="E58" s="370">
        <v>0.057</v>
      </c>
      <c r="F58" s="370">
        <v>0.1</v>
      </c>
      <c r="G58" s="371">
        <v>0.096</v>
      </c>
    </row>
    <row r="59" spans="1:7">
      <c r="A59" s="380" t="s">
        <v>259</v>
      </c>
      <c r="B59" s="369" t="s">
        <v>2303</v>
      </c>
      <c r="C59" s="370">
        <v>0.095</v>
      </c>
      <c r="D59" s="370">
        <v>0.1</v>
      </c>
      <c r="E59" s="370">
        <v>0.075</v>
      </c>
      <c r="F59" s="370">
        <v>0.1</v>
      </c>
      <c r="G59" s="371">
        <v>0.1</v>
      </c>
    </row>
    <row r="60" spans="1:7">
      <c r="A60" s="380" t="s">
        <v>259</v>
      </c>
      <c r="B60" s="369" t="s">
        <v>2304</v>
      </c>
      <c r="C60" s="370">
        <v>0.1</v>
      </c>
      <c r="D60" s="370">
        <v>0.097</v>
      </c>
      <c r="E60" s="370">
        <v>0.1</v>
      </c>
      <c r="F60" s="370">
        <v>0.1</v>
      </c>
      <c r="G60" s="371">
        <v>0.097</v>
      </c>
    </row>
    <row r="61" spans="1:7">
      <c r="A61" s="380" t="s">
        <v>259</v>
      </c>
      <c r="B61" s="369" t="s">
        <v>2305</v>
      </c>
      <c r="C61" s="370">
        <v>0.097</v>
      </c>
      <c r="D61" s="370">
        <v>0.1</v>
      </c>
      <c r="E61" s="370">
        <v>0.093</v>
      </c>
      <c r="F61" s="370">
        <v>0.1</v>
      </c>
      <c r="G61" s="371">
        <v>0.1</v>
      </c>
    </row>
    <row r="62" spans="1:7">
      <c r="A62" s="380" t="s">
        <v>259</v>
      </c>
      <c r="B62" s="369" t="s">
        <v>2306</v>
      </c>
      <c r="C62" s="370">
        <v>0.1</v>
      </c>
      <c r="D62" s="370">
        <v>0.097</v>
      </c>
      <c r="E62" s="370">
        <v>0.089</v>
      </c>
      <c r="F62" s="370">
        <v>0.1</v>
      </c>
      <c r="G62" s="371">
        <v>0.098</v>
      </c>
    </row>
    <row r="63" spans="1:7">
      <c r="A63" s="380" t="s">
        <v>259</v>
      </c>
      <c r="B63" s="369" t="s">
        <v>2307</v>
      </c>
      <c r="C63" s="370">
        <v>0.097</v>
      </c>
      <c r="D63" s="370">
        <v>0.097</v>
      </c>
      <c r="E63" s="370">
        <v>0.099</v>
      </c>
      <c r="F63" s="370">
        <v>0.1</v>
      </c>
      <c r="G63" s="371">
        <v>0.097</v>
      </c>
    </row>
    <row r="64" spans="1:7">
      <c r="A64" s="380" t="s">
        <v>259</v>
      </c>
      <c r="B64" s="369" t="s">
        <v>2308</v>
      </c>
      <c r="C64" s="370">
        <v>0.097</v>
      </c>
      <c r="D64" s="370">
        <v>0.074</v>
      </c>
      <c r="E64" s="370">
        <v>0.078</v>
      </c>
      <c r="F64" s="370">
        <v>0.1</v>
      </c>
      <c r="G64" s="371">
        <v>0.089</v>
      </c>
    </row>
    <row r="65" spans="1:7">
      <c r="A65" s="380" t="s">
        <v>259</v>
      </c>
      <c r="B65" s="369" t="s">
        <v>2309</v>
      </c>
      <c r="C65" s="370">
        <v>0.073</v>
      </c>
      <c r="D65" s="370">
        <v>0.098</v>
      </c>
      <c r="E65" s="370">
        <v>0.095</v>
      </c>
      <c r="F65" s="370">
        <v>0.1</v>
      </c>
      <c r="G65" s="371">
        <v>0.099</v>
      </c>
    </row>
    <row r="66" spans="1:7">
      <c r="A66" s="380" t="s">
        <v>259</v>
      </c>
      <c r="B66" s="369" t="s">
        <v>2310</v>
      </c>
      <c r="C66" s="370">
        <v>0.098</v>
      </c>
      <c r="D66" s="370">
        <v>0.095</v>
      </c>
      <c r="E66" s="370">
        <v>0.05</v>
      </c>
      <c r="F66" s="370">
        <v>0.1</v>
      </c>
      <c r="G66" s="371">
        <v>0.097</v>
      </c>
    </row>
    <row r="67" spans="1:7">
      <c r="A67" s="380" t="s">
        <v>259</v>
      </c>
      <c r="B67" s="369" t="s">
        <v>2311</v>
      </c>
      <c r="C67" s="370">
        <v>0.095</v>
      </c>
      <c r="D67" s="370">
        <v>0.097</v>
      </c>
      <c r="E67" s="370">
        <v>0.097</v>
      </c>
      <c r="F67" s="370">
        <v>0.1</v>
      </c>
      <c r="G67" s="371">
        <v>0.099</v>
      </c>
    </row>
    <row r="68" spans="1:7">
      <c r="A68" s="380" t="s">
        <v>259</v>
      </c>
      <c r="B68" s="369" t="s">
        <v>2312</v>
      </c>
      <c r="C68" s="370">
        <v>0.097</v>
      </c>
      <c r="D68" s="370">
        <v>0.068</v>
      </c>
      <c r="E68" s="370">
        <v>0.066</v>
      </c>
      <c r="F68" s="370">
        <v>0.1</v>
      </c>
      <c r="G68" s="371">
        <v>0.084</v>
      </c>
    </row>
    <row r="69" spans="1:7">
      <c r="A69" s="380" t="s">
        <v>259</v>
      </c>
      <c r="B69" s="369" t="s">
        <v>2313</v>
      </c>
      <c r="C69" s="370">
        <v>0.068</v>
      </c>
      <c r="D69" s="370">
        <v>0.098</v>
      </c>
      <c r="E69" s="370">
        <v>0.095</v>
      </c>
      <c r="F69" s="370">
        <v>0.1</v>
      </c>
      <c r="G69" s="371">
        <v>0.1</v>
      </c>
    </row>
    <row r="70" spans="1:7">
      <c r="A70" s="380" t="s">
        <v>259</v>
      </c>
      <c r="B70" s="369" t="s">
        <v>2314</v>
      </c>
      <c r="C70" s="370">
        <v>0.098</v>
      </c>
      <c r="D70" s="370">
        <v>0.089</v>
      </c>
      <c r="E70" s="370">
        <v>0.059</v>
      </c>
      <c r="F70" s="370">
        <v>0.1</v>
      </c>
      <c r="G70" s="371">
        <v>0.096</v>
      </c>
    </row>
    <row r="71" spans="1:7">
      <c r="A71" s="380" t="s">
        <v>259</v>
      </c>
      <c r="B71" s="369" t="s">
        <v>2315</v>
      </c>
      <c r="C71" s="370">
        <v>0.089</v>
      </c>
      <c r="D71" s="370">
        <v>0.099</v>
      </c>
      <c r="E71" s="370">
        <v>0.096</v>
      </c>
      <c r="F71" s="370">
        <v>0.1</v>
      </c>
      <c r="G71" s="371">
        <v>0.1</v>
      </c>
    </row>
    <row r="72" spans="1:7">
      <c r="A72" s="380" t="s">
        <v>259</v>
      </c>
      <c r="B72" s="369" t="s">
        <v>2316</v>
      </c>
      <c r="C72" s="370">
        <v>0.099</v>
      </c>
      <c r="D72" s="370">
        <v>0.1</v>
      </c>
      <c r="E72" s="370">
        <v>0.07</v>
      </c>
      <c r="F72" s="381"/>
      <c r="G72" s="371">
        <v>0.1</v>
      </c>
    </row>
    <row r="73" spans="1:7">
      <c r="A73" s="380" t="s">
        <v>259</v>
      </c>
      <c r="B73" s="369" t="s">
        <v>2317</v>
      </c>
      <c r="C73" s="370">
        <v>0.1</v>
      </c>
      <c r="D73" s="370">
        <v>0.1</v>
      </c>
      <c r="E73" s="370">
        <v>0.096</v>
      </c>
      <c r="F73" s="381"/>
      <c r="G73" s="371">
        <v>0.1</v>
      </c>
    </row>
    <row r="74" spans="1:7">
      <c r="A74" s="380" t="s">
        <v>259</v>
      </c>
      <c r="B74" s="369" t="s">
        <v>2318</v>
      </c>
      <c r="C74" s="370">
        <v>0.1</v>
      </c>
      <c r="D74" s="370">
        <v>0.1</v>
      </c>
      <c r="E74" s="370">
        <v>0.098</v>
      </c>
      <c r="F74" s="381"/>
      <c r="G74" s="371">
        <v>0.1</v>
      </c>
    </row>
    <row r="75" spans="1:7">
      <c r="A75" s="380" t="s">
        <v>259</v>
      </c>
      <c r="B75" s="369" t="s">
        <v>2319</v>
      </c>
      <c r="C75" s="370">
        <v>0.1</v>
      </c>
      <c r="D75" s="370">
        <v>0.099</v>
      </c>
      <c r="E75" s="370">
        <v>0.098</v>
      </c>
      <c r="F75" s="381"/>
      <c r="G75" s="371">
        <v>0.1</v>
      </c>
    </row>
    <row r="76" spans="1:7">
      <c r="A76" s="380" t="s">
        <v>259</v>
      </c>
      <c r="B76" s="369" t="s">
        <v>2320</v>
      </c>
      <c r="C76" s="370">
        <v>0.099</v>
      </c>
      <c r="D76" s="370">
        <v>0.1</v>
      </c>
      <c r="E76" s="370">
        <v>0.097</v>
      </c>
      <c r="F76" s="381"/>
      <c r="G76" s="371">
        <v>0.1</v>
      </c>
    </row>
    <row r="77" spans="1:7">
      <c r="A77" s="380" t="s">
        <v>259</v>
      </c>
      <c r="B77" s="369" t="s">
        <v>2321</v>
      </c>
      <c r="C77" s="370">
        <v>0.1</v>
      </c>
      <c r="D77" s="370">
        <v>0.1</v>
      </c>
      <c r="E77" s="370">
        <v>0.096</v>
      </c>
      <c r="F77" s="381"/>
      <c r="G77" s="371">
        <v>0.1</v>
      </c>
    </row>
    <row r="78" spans="1:7">
      <c r="A78" s="380" t="s">
        <v>259</v>
      </c>
      <c r="B78" s="369" t="s">
        <v>2322</v>
      </c>
      <c r="C78" s="370">
        <v>0.1</v>
      </c>
      <c r="D78" s="370">
        <v>0.085</v>
      </c>
      <c r="E78" s="370">
        <v>0.096</v>
      </c>
      <c r="F78" s="381"/>
      <c r="G78" s="371">
        <v>0.096</v>
      </c>
    </row>
    <row r="79" spans="1:7">
      <c r="A79" s="380" t="s">
        <v>259</v>
      </c>
      <c r="B79" s="369" t="s">
        <v>2323</v>
      </c>
      <c r="C79" s="370">
        <v>0.05</v>
      </c>
      <c r="D79" s="370">
        <v>0.096</v>
      </c>
      <c r="E79" s="370">
        <v>0.095</v>
      </c>
      <c r="F79" s="381"/>
      <c r="G79" s="371">
        <v>0.098</v>
      </c>
    </row>
    <row r="80" spans="1:7">
      <c r="A80" s="380" t="s">
        <v>259</v>
      </c>
      <c r="B80" s="369" t="s">
        <v>2324</v>
      </c>
      <c r="C80" s="370">
        <v>0.086</v>
      </c>
      <c r="D80" s="386"/>
      <c r="E80" s="370">
        <v>0.1</v>
      </c>
      <c r="F80" s="381"/>
      <c r="G80" s="382"/>
    </row>
    <row r="81" spans="1:7">
      <c r="A81" s="380" t="s">
        <v>259</v>
      </c>
      <c r="B81" s="369" t="s">
        <v>2325</v>
      </c>
      <c r="C81" s="370">
        <v>0.096</v>
      </c>
      <c r="D81" s="381"/>
      <c r="E81" s="370">
        <v>0.098</v>
      </c>
      <c r="F81" s="381"/>
      <c r="G81" s="382"/>
    </row>
    <row r="82" spans="1:7">
      <c r="A82" s="380" t="s">
        <v>259</v>
      </c>
      <c r="B82" s="369" t="s">
        <v>2326</v>
      </c>
      <c r="C82" s="386"/>
      <c r="D82" s="381"/>
      <c r="E82" s="370">
        <v>0.077</v>
      </c>
      <c r="F82" s="381"/>
      <c r="G82" s="382"/>
    </row>
    <row r="83" spans="1:7">
      <c r="A83" s="380" t="s">
        <v>259</v>
      </c>
      <c r="B83" s="369" t="s">
        <v>2327</v>
      </c>
      <c r="C83" s="381"/>
      <c r="D83" s="381"/>
      <c r="E83" s="381"/>
      <c r="F83" s="370">
        <v>0.1</v>
      </c>
      <c r="G83" s="387"/>
    </row>
    <row r="84" spans="1:7">
      <c r="A84" s="380" t="s">
        <v>259</v>
      </c>
      <c r="B84" s="369" t="s">
        <v>2328</v>
      </c>
      <c r="C84" s="381"/>
      <c r="D84" s="381"/>
      <c r="E84" s="381"/>
      <c r="F84" s="370">
        <v>0.1</v>
      </c>
      <c r="G84" s="387"/>
    </row>
    <row r="85" spans="1:7">
      <c r="A85" s="380" t="s">
        <v>259</v>
      </c>
      <c r="B85" s="369" t="s">
        <v>2329</v>
      </c>
      <c r="C85" s="381"/>
      <c r="D85" s="381"/>
      <c r="E85" s="381"/>
      <c r="F85" s="370">
        <v>0.1</v>
      </c>
      <c r="G85" s="387"/>
    </row>
    <row r="86" ht="14.75" spans="1:7">
      <c r="A86" s="383" t="s">
        <v>259</v>
      </c>
      <c r="B86" s="373" t="s">
        <v>2330</v>
      </c>
      <c r="C86" s="374">
        <v>0.098</v>
      </c>
      <c r="D86" s="374">
        <v>0.098</v>
      </c>
      <c r="E86" s="374">
        <v>0.096</v>
      </c>
      <c r="F86" s="384"/>
      <c r="G86" s="376">
        <v>0.1</v>
      </c>
    </row>
    <row r="87" spans="1:7">
      <c r="A87" s="379" t="s">
        <v>267</v>
      </c>
      <c r="B87" s="365" t="s">
        <v>2331</v>
      </c>
      <c r="C87" s="366">
        <v>0.1</v>
      </c>
      <c r="D87" s="366">
        <v>0.1</v>
      </c>
      <c r="E87" s="366">
        <v>0.098</v>
      </c>
      <c r="F87" s="366">
        <v>0.1</v>
      </c>
      <c r="G87" s="367">
        <v>0.1</v>
      </c>
    </row>
    <row r="88" spans="1:7">
      <c r="A88" s="380" t="s">
        <v>267</v>
      </c>
      <c r="B88" s="369" t="s">
        <v>2332</v>
      </c>
      <c r="C88" s="370">
        <v>0.091</v>
      </c>
      <c r="D88" s="370">
        <v>0.092</v>
      </c>
      <c r="E88" s="370">
        <v>0.1</v>
      </c>
      <c r="F88" s="370">
        <v>0.1</v>
      </c>
      <c r="G88" s="371">
        <v>0.096</v>
      </c>
    </row>
    <row r="89" spans="1:7">
      <c r="A89" s="380" t="s">
        <v>267</v>
      </c>
      <c r="B89" s="369" t="s">
        <v>2333</v>
      </c>
      <c r="C89" s="370">
        <v>0.1</v>
      </c>
      <c r="D89" s="370">
        <v>0.1</v>
      </c>
      <c r="E89" s="370">
        <v>0.067</v>
      </c>
      <c r="F89" s="370">
        <v>0.093</v>
      </c>
      <c r="G89" s="371">
        <v>0.1</v>
      </c>
    </row>
    <row r="90" spans="1:7">
      <c r="A90" s="380" t="s">
        <v>267</v>
      </c>
      <c r="B90" s="369" t="s">
        <v>2334</v>
      </c>
      <c r="C90" s="370">
        <v>0.096</v>
      </c>
      <c r="D90" s="370">
        <v>0.096</v>
      </c>
      <c r="E90" s="370">
        <v>0.1</v>
      </c>
      <c r="F90" s="370">
        <v>0.1</v>
      </c>
      <c r="G90" s="371">
        <v>0.098</v>
      </c>
    </row>
    <row r="91" spans="1:7">
      <c r="A91" s="380" t="s">
        <v>267</v>
      </c>
      <c r="B91" s="369" t="s">
        <v>2335</v>
      </c>
      <c r="C91" s="370">
        <v>0.077</v>
      </c>
      <c r="D91" s="370">
        <v>0.077</v>
      </c>
      <c r="E91" s="370">
        <v>0.096</v>
      </c>
      <c r="F91" s="370">
        <v>0.1</v>
      </c>
      <c r="G91" s="371">
        <v>0.077</v>
      </c>
    </row>
    <row r="92" spans="1:7">
      <c r="A92" s="380" t="s">
        <v>267</v>
      </c>
      <c r="B92" s="369" t="s">
        <v>2336</v>
      </c>
      <c r="C92" s="370">
        <v>0.1</v>
      </c>
      <c r="D92" s="370">
        <v>0.1</v>
      </c>
      <c r="E92" s="370">
        <v>0.092</v>
      </c>
      <c r="F92" s="370">
        <v>0.1</v>
      </c>
      <c r="G92" s="371">
        <v>0.1</v>
      </c>
    </row>
    <row r="93" spans="1:7">
      <c r="A93" s="380" t="s">
        <v>267</v>
      </c>
      <c r="B93" s="369" t="s">
        <v>2337</v>
      </c>
      <c r="C93" s="370">
        <v>0.098</v>
      </c>
      <c r="D93" s="370">
        <v>0.098</v>
      </c>
      <c r="E93" s="370">
        <v>0.096</v>
      </c>
      <c r="F93" s="370">
        <v>0.1</v>
      </c>
      <c r="G93" s="371">
        <v>0.099</v>
      </c>
    </row>
    <row r="94" spans="1:7">
      <c r="A94" s="380" t="s">
        <v>267</v>
      </c>
      <c r="B94" s="369" t="s">
        <v>2338</v>
      </c>
      <c r="C94" s="370">
        <v>0.088</v>
      </c>
      <c r="D94" s="370">
        <v>0.088</v>
      </c>
      <c r="E94" s="370">
        <v>0.096</v>
      </c>
      <c r="F94" s="370">
        <v>0.1</v>
      </c>
      <c r="G94" s="371">
        <v>0.088</v>
      </c>
    </row>
    <row r="95" spans="1:7">
      <c r="A95" s="380" t="s">
        <v>267</v>
      </c>
      <c r="B95" s="369" t="s">
        <v>2339</v>
      </c>
      <c r="C95" s="370">
        <v>0.096</v>
      </c>
      <c r="D95" s="370">
        <v>0.096</v>
      </c>
      <c r="E95" s="370">
        <v>0.1</v>
      </c>
      <c r="F95" s="370">
        <v>0.1</v>
      </c>
      <c r="G95" s="371">
        <v>0.098</v>
      </c>
    </row>
    <row r="96" spans="1:7">
      <c r="A96" s="380" t="s">
        <v>267</v>
      </c>
      <c r="B96" s="369" t="s">
        <v>2340</v>
      </c>
      <c r="C96" s="370">
        <v>0.097</v>
      </c>
      <c r="D96" s="370">
        <v>0.097</v>
      </c>
      <c r="E96" s="370">
        <v>0.1</v>
      </c>
      <c r="F96" s="370">
        <v>0.1</v>
      </c>
      <c r="G96" s="371">
        <v>0.098</v>
      </c>
    </row>
    <row r="97" spans="1:7">
      <c r="A97" s="380" t="s">
        <v>267</v>
      </c>
      <c r="B97" s="369" t="s">
        <v>2341</v>
      </c>
      <c r="C97" s="370">
        <v>0.096</v>
      </c>
      <c r="D97" s="370">
        <v>0.096</v>
      </c>
      <c r="E97" s="370">
        <v>0.099</v>
      </c>
      <c r="F97" s="370">
        <v>0.1</v>
      </c>
      <c r="G97" s="371">
        <v>0.098</v>
      </c>
    </row>
    <row r="98" spans="1:7">
      <c r="A98" s="380" t="s">
        <v>267</v>
      </c>
      <c r="B98" s="369" t="s">
        <v>2342</v>
      </c>
      <c r="C98" s="370">
        <v>0.098</v>
      </c>
      <c r="D98" s="370">
        <v>0.098</v>
      </c>
      <c r="E98" s="370">
        <v>0.1</v>
      </c>
      <c r="F98" s="370">
        <v>0.1</v>
      </c>
      <c r="G98" s="371">
        <v>0.099</v>
      </c>
    </row>
    <row r="99" spans="1:7">
      <c r="A99" s="380" t="s">
        <v>267</v>
      </c>
      <c r="B99" s="369" t="s">
        <v>2343</v>
      </c>
      <c r="C99" s="370">
        <v>0.096</v>
      </c>
      <c r="D99" s="370">
        <v>0.096</v>
      </c>
      <c r="E99" s="370">
        <v>0.1</v>
      </c>
      <c r="F99" s="370">
        <v>0.1</v>
      </c>
      <c r="G99" s="371">
        <v>0.097</v>
      </c>
    </row>
    <row r="100" spans="1:7">
      <c r="A100" s="380" t="s">
        <v>267</v>
      </c>
      <c r="B100" s="369" t="s">
        <v>2344</v>
      </c>
      <c r="C100" s="370">
        <v>0.1</v>
      </c>
      <c r="D100" s="370">
        <v>0.1</v>
      </c>
      <c r="E100" s="370">
        <v>0.097</v>
      </c>
      <c r="F100" s="370">
        <v>0.098</v>
      </c>
      <c r="G100" s="371">
        <v>0.1</v>
      </c>
    </row>
    <row r="101" spans="1:7">
      <c r="A101" s="380" t="s">
        <v>267</v>
      </c>
      <c r="B101" s="369" t="s">
        <v>2345</v>
      </c>
      <c r="C101" s="370">
        <v>0.1</v>
      </c>
      <c r="D101" s="370">
        <v>0.1</v>
      </c>
      <c r="E101" s="370">
        <v>0.095</v>
      </c>
      <c r="F101" s="370">
        <v>0.1</v>
      </c>
      <c r="G101" s="371">
        <v>0.1</v>
      </c>
    </row>
    <row r="102" spans="1:7">
      <c r="A102" s="380" t="s">
        <v>267</v>
      </c>
      <c r="B102" s="369" t="s">
        <v>2346</v>
      </c>
      <c r="C102" s="370">
        <v>0.1</v>
      </c>
      <c r="D102" s="370">
        <v>0.1</v>
      </c>
      <c r="E102" s="370">
        <v>0.099</v>
      </c>
      <c r="F102" s="370">
        <v>0.097</v>
      </c>
      <c r="G102" s="371">
        <v>0.1</v>
      </c>
    </row>
    <row r="103" spans="1:7">
      <c r="A103" s="380" t="s">
        <v>267</v>
      </c>
      <c r="B103" s="369" t="s">
        <v>2347</v>
      </c>
      <c r="C103" s="370">
        <v>0.1</v>
      </c>
      <c r="D103" s="370">
        <v>0.1</v>
      </c>
      <c r="E103" s="370">
        <v>0.098</v>
      </c>
      <c r="F103" s="370">
        <v>0.1</v>
      </c>
      <c r="G103" s="371">
        <v>0.1</v>
      </c>
    </row>
    <row r="104" spans="1:7">
      <c r="A104" s="380" t="s">
        <v>267</v>
      </c>
      <c r="B104" s="369" t="s">
        <v>2348</v>
      </c>
      <c r="C104" s="370">
        <v>0.1</v>
      </c>
      <c r="D104" s="370">
        <v>0.1</v>
      </c>
      <c r="E104" s="370">
        <v>0.098</v>
      </c>
      <c r="F104" s="370">
        <v>0.1</v>
      </c>
      <c r="G104" s="371">
        <v>0.1</v>
      </c>
    </row>
    <row r="105" spans="1:7">
      <c r="A105" s="380" t="s">
        <v>267</v>
      </c>
      <c r="B105" s="369" t="s">
        <v>2349</v>
      </c>
      <c r="C105" s="370">
        <v>0.098</v>
      </c>
      <c r="D105" s="370">
        <v>0.098</v>
      </c>
      <c r="E105" s="370">
        <v>0.098</v>
      </c>
      <c r="F105" s="370">
        <v>0.1</v>
      </c>
      <c r="G105" s="371">
        <v>0.099</v>
      </c>
    </row>
    <row r="106" spans="1:7">
      <c r="A106" s="380" t="s">
        <v>267</v>
      </c>
      <c r="B106" s="369" t="s">
        <v>2350</v>
      </c>
      <c r="C106" s="370">
        <v>0.097</v>
      </c>
      <c r="D106" s="370">
        <v>0.097</v>
      </c>
      <c r="E106" s="370">
        <v>0.097</v>
      </c>
      <c r="F106" s="370">
        <v>0.1</v>
      </c>
      <c r="G106" s="371">
        <v>0.099</v>
      </c>
    </row>
    <row r="107" spans="1:7">
      <c r="A107" s="380" t="s">
        <v>267</v>
      </c>
      <c r="B107" s="369" t="s">
        <v>2351</v>
      </c>
      <c r="C107" s="370">
        <v>0.1</v>
      </c>
      <c r="D107" s="370">
        <v>0.1</v>
      </c>
      <c r="E107" s="370">
        <v>0.086</v>
      </c>
      <c r="F107" s="370">
        <v>0.09</v>
      </c>
      <c r="G107" s="371">
        <v>0.1</v>
      </c>
    </row>
    <row r="108" spans="1:7">
      <c r="A108" s="380" t="s">
        <v>267</v>
      </c>
      <c r="B108" s="369" t="s">
        <v>2352</v>
      </c>
      <c r="C108" s="370">
        <v>0.1</v>
      </c>
      <c r="D108" s="370">
        <v>0.1</v>
      </c>
      <c r="E108" s="370">
        <v>0.096</v>
      </c>
      <c r="F108" s="381"/>
      <c r="G108" s="371">
        <v>0.1</v>
      </c>
    </row>
    <row r="109" spans="1:7">
      <c r="A109" s="380" t="s">
        <v>267</v>
      </c>
      <c r="B109" s="369" t="s">
        <v>2353</v>
      </c>
      <c r="C109" s="370">
        <v>0.1</v>
      </c>
      <c r="D109" s="370">
        <v>0.1</v>
      </c>
      <c r="E109" s="370">
        <v>0.1</v>
      </c>
      <c r="F109" s="381"/>
      <c r="G109" s="371">
        <v>0.1</v>
      </c>
    </row>
    <row r="110" spans="1:7">
      <c r="A110" s="380" t="s">
        <v>267</v>
      </c>
      <c r="B110" s="369" t="s">
        <v>2354</v>
      </c>
      <c r="C110" s="370">
        <v>0.1</v>
      </c>
      <c r="D110" s="370">
        <v>0.1</v>
      </c>
      <c r="E110" s="370">
        <v>0.1</v>
      </c>
      <c r="F110" s="381"/>
      <c r="G110" s="371">
        <v>0.1</v>
      </c>
    </row>
    <row r="111" spans="1:7">
      <c r="A111" s="380" t="s">
        <v>267</v>
      </c>
      <c r="B111" s="369" t="s">
        <v>2355</v>
      </c>
      <c r="C111" s="370">
        <v>0.1</v>
      </c>
      <c r="D111" s="370">
        <v>0.1</v>
      </c>
      <c r="E111" s="370">
        <v>0.095</v>
      </c>
      <c r="F111" s="381"/>
      <c r="G111" s="371">
        <v>0.1</v>
      </c>
    </row>
    <row r="112" spans="1:7">
      <c r="A112" s="380" t="s">
        <v>267</v>
      </c>
      <c r="B112" s="369" t="s">
        <v>2356</v>
      </c>
      <c r="C112" s="370">
        <v>0.097</v>
      </c>
      <c r="D112" s="370">
        <v>0.097</v>
      </c>
      <c r="E112" s="370">
        <v>0.05</v>
      </c>
      <c r="F112" s="381"/>
      <c r="G112" s="371">
        <v>0.098</v>
      </c>
    </row>
    <row r="113" spans="1:7">
      <c r="A113" s="380" t="s">
        <v>267</v>
      </c>
      <c r="B113" s="369" t="s">
        <v>2357</v>
      </c>
      <c r="C113" s="370">
        <v>0.1</v>
      </c>
      <c r="D113" s="370">
        <v>0.1</v>
      </c>
      <c r="E113" s="381"/>
      <c r="F113" s="381"/>
      <c r="G113" s="371">
        <v>0.1</v>
      </c>
    </row>
    <row r="114" spans="1:7">
      <c r="A114" s="380" t="s">
        <v>267</v>
      </c>
      <c r="B114" s="369" t="s">
        <v>2358</v>
      </c>
      <c r="C114" s="370">
        <v>0.097</v>
      </c>
      <c r="D114" s="370">
        <v>0.097</v>
      </c>
      <c r="E114" s="381"/>
      <c r="F114" s="381"/>
      <c r="G114" s="371">
        <v>0.099</v>
      </c>
    </row>
    <row r="115" spans="1:7">
      <c r="A115" s="380" t="s">
        <v>267</v>
      </c>
      <c r="B115" s="369" t="s">
        <v>2359</v>
      </c>
      <c r="C115" s="370">
        <v>0.1</v>
      </c>
      <c r="D115" s="370">
        <v>0.1</v>
      </c>
      <c r="E115" s="381"/>
      <c r="F115" s="381"/>
      <c r="G115" s="371">
        <v>0.1</v>
      </c>
    </row>
    <row r="116" spans="1:7">
      <c r="A116" s="380" t="s">
        <v>267</v>
      </c>
      <c r="B116" s="369" t="s">
        <v>2360</v>
      </c>
      <c r="C116" s="370">
        <v>0.1</v>
      </c>
      <c r="D116" s="370">
        <v>0.1</v>
      </c>
      <c r="E116" s="381"/>
      <c r="F116" s="381"/>
      <c r="G116" s="371">
        <v>0.1</v>
      </c>
    </row>
    <row r="117" spans="1:7">
      <c r="A117" s="380" t="s">
        <v>267</v>
      </c>
      <c r="B117" s="369" t="s">
        <v>2361</v>
      </c>
      <c r="C117" s="370">
        <v>0.097</v>
      </c>
      <c r="D117" s="370">
        <v>0.097</v>
      </c>
      <c r="E117" s="381"/>
      <c r="F117" s="381"/>
      <c r="G117" s="371">
        <v>0.097</v>
      </c>
    </row>
    <row r="118" spans="1:7">
      <c r="A118" s="380" t="s">
        <v>267</v>
      </c>
      <c r="B118" s="369" t="s">
        <v>2362</v>
      </c>
      <c r="C118" s="370">
        <v>0.1</v>
      </c>
      <c r="D118" s="370">
        <v>0.1</v>
      </c>
      <c r="E118" s="381"/>
      <c r="F118" s="381"/>
      <c r="G118" s="371">
        <v>0.1</v>
      </c>
    </row>
    <row r="119" spans="1:7">
      <c r="A119" s="380" t="s">
        <v>267</v>
      </c>
      <c r="B119" s="369" t="s">
        <v>2363</v>
      </c>
      <c r="C119" s="370">
        <v>0.051</v>
      </c>
      <c r="D119" s="370">
        <v>0.052</v>
      </c>
      <c r="E119" s="381"/>
      <c r="F119" s="386"/>
      <c r="G119" s="371">
        <v>0.06</v>
      </c>
    </row>
    <row r="120" spans="1:7">
      <c r="A120" s="380" t="s">
        <v>267</v>
      </c>
      <c r="B120" s="369" t="s">
        <v>2364</v>
      </c>
      <c r="C120" s="381"/>
      <c r="D120" s="381"/>
      <c r="E120" s="381"/>
      <c r="F120" s="370">
        <v>0.1</v>
      </c>
      <c r="G120" s="387"/>
    </row>
    <row r="121" spans="1:7">
      <c r="A121" s="380" t="s">
        <v>267</v>
      </c>
      <c r="B121" s="369" t="s">
        <v>2365</v>
      </c>
      <c r="C121" s="381"/>
      <c r="D121" s="381"/>
      <c r="E121" s="381"/>
      <c r="F121" s="370">
        <v>0.1</v>
      </c>
      <c r="G121" s="387"/>
    </row>
    <row r="122" spans="1:7">
      <c r="A122" s="380" t="s">
        <v>267</v>
      </c>
      <c r="B122" s="369" t="s">
        <v>2366</v>
      </c>
      <c r="C122" s="370">
        <v>0.1</v>
      </c>
      <c r="D122" s="370">
        <v>0.1</v>
      </c>
      <c r="E122" s="370">
        <v>0.098</v>
      </c>
      <c r="F122" s="370">
        <v>0.1</v>
      </c>
      <c r="G122" s="371">
        <v>0.1</v>
      </c>
    </row>
    <row r="123" spans="1:7">
      <c r="A123" s="380" t="s">
        <v>267</v>
      </c>
      <c r="B123" s="369" t="s">
        <v>2367</v>
      </c>
      <c r="C123" s="370">
        <v>0.1</v>
      </c>
      <c r="D123" s="370">
        <v>0.1</v>
      </c>
      <c r="E123" s="370">
        <v>0.098</v>
      </c>
      <c r="F123" s="370">
        <v>0.1</v>
      </c>
      <c r="G123" s="371">
        <v>0.1</v>
      </c>
    </row>
    <row r="124" spans="1:7">
      <c r="A124" s="380" t="s">
        <v>267</v>
      </c>
      <c r="B124" s="369" t="s">
        <v>2368</v>
      </c>
      <c r="C124" s="370">
        <v>0.1</v>
      </c>
      <c r="D124" s="370">
        <v>0.1</v>
      </c>
      <c r="E124" s="370">
        <v>0.098</v>
      </c>
      <c r="F124" s="386"/>
      <c r="G124" s="371">
        <v>0.1</v>
      </c>
    </row>
    <row r="125" spans="1:7">
      <c r="A125" s="380" t="s">
        <v>267</v>
      </c>
      <c r="B125" s="369" t="s">
        <v>2369</v>
      </c>
      <c r="C125" s="370">
        <v>0.098</v>
      </c>
      <c r="D125" s="370">
        <v>0.098</v>
      </c>
      <c r="E125" s="370">
        <v>0.096</v>
      </c>
      <c r="F125" s="386"/>
      <c r="G125" s="371">
        <v>0.1</v>
      </c>
    </row>
    <row r="126" ht="14.75" spans="1:7">
      <c r="A126" s="383" t="s">
        <v>267</v>
      </c>
      <c r="B126" s="373" t="s">
        <v>2370</v>
      </c>
      <c r="C126" s="374">
        <v>0.1</v>
      </c>
      <c r="D126" s="374">
        <v>0.1</v>
      </c>
      <c r="E126" s="374">
        <v>0.098</v>
      </c>
      <c r="F126" s="374">
        <v>0.1</v>
      </c>
      <c r="G126" s="376">
        <v>0.1</v>
      </c>
    </row>
    <row r="127" spans="1:7">
      <c r="A127" s="379" t="s">
        <v>273</v>
      </c>
      <c r="B127" s="365" t="s">
        <v>2371</v>
      </c>
      <c r="C127" s="366">
        <v>0.121</v>
      </c>
      <c r="D127" s="366">
        <v>0.121</v>
      </c>
      <c r="E127" s="366">
        <v>0.107</v>
      </c>
      <c r="F127" s="366">
        <v>0.13</v>
      </c>
      <c r="G127" s="367">
        <v>0.122</v>
      </c>
    </row>
    <row r="128" spans="1:7">
      <c r="A128" s="380" t="s">
        <v>273</v>
      </c>
      <c r="B128" s="369" t="s">
        <v>2372</v>
      </c>
      <c r="C128" s="370">
        <v>0.116</v>
      </c>
      <c r="D128" s="370">
        <v>0.117</v>
      </c>
      <c r="E128" s="370">
        <v>0.104</v>
      </c>
      <c r="F128" s="370">
        <v>0.13</v>
      </c>
      <c r="G128" s="371">
        <v>0.117</v>
      </c>
    </row>
    <row r="129" spans="1:7">
      <c r="A129" s="380" t="s">
        <v>273</v>
      </c>
      <c r="B129" s="369" t="s">
        <v>2373</v>
      </c>
      <c r="C129" s="370">
        <v>0.107</v>
      </c>
      <c r="D129" s="370">
        <v>0.108</v>
      </c>
      <c r="E129" s="370">
        <v>0.1</v>
      </c>
      <c r="F129" s="370">
        <v>0.13</v>
      </c>
      <c r="G129" s="371">
        <v>0.117</v>
      </c>
    </row>
    <row r="130" spans="1:7">
      <c r="A130" s="380" t="s">
        <v>273</v>
      </c>
      <c r="B130" s="369" t="s">
        <v>2374</v>
      </c>
      <c r="C130" s="370">
        <v>0.13</v>
      </c>
      <c r="D130" s="370">
        <v>0.13</v>
      </c>
      <c r="E130" s="370">
        <v>0.126</v>
      </c>
      <c r="F130" s="370">
        <v>0.13</v>
      </c>
      <c r="G130" s="371">
        <v>0.13</v>
      </c>
    </row>
    <row r="131" spans="1:7">
      <c r="A131" s="380" t="s">
        <v>273</v>
      </c>
      <c r="B131" s="369" t="s">
        <v>2375</v>
      </c>
      <c r="C131" s="370">
        <v>0.13</v>
      </c>
      <c r="D131" s="370">
        <v>0.13</v>
      </c>
      <c r="E131" s="370">
        <v>0.13</v>
      </c>
      <c r="F131" s="370">
        <v>0.13</v>
      </c>
      <c r="G131" s="371">
        <v>0.13</v>
      </c>
    </row>
    <row r="132" spans="1:7">
      <c r="A132" s="380" t="s">
        <v>273</v>
      </c>
      <c r="B132" s="369" t="s">
        <v>2376</v>
      </c>
      <c r="C132" s="370">
        <v>0.13</v>
      </c>
      <c r="D132" s="370">
        <v>0.13</v>
      </c>
      <c r="E132" s="370">
        <v>0.126</v>
      </c>
      <c r="F132" s="370">
        <v>0.13</v>
      </c>
      <c r="G132" s="371">
        <v>0.13</v>
      </c>
    </row>
    <row r="133" spans="1:7">
      <c r="A133" s="380" t="s">
        <v>273</v>
      </c>
      <c r="B133" s="369" t="s">
        <v>2377</v>
      </c>
      <c r="C133" s="370">
        <v>0.111</v>
      </c>
      <c r="D133" s="370">
        <v>0.111</v>
      </c>
      <c r="E133" s="370">
        <v>0.102</v>
      </c>
      <c r="F133" s="370">
        <v>0.13</v>
      </c>
      <c r="G133" s="371">
        <v>0.121</v>
      </c>
    </row>
    <row r="134" spans="1:7">
      <c r="A134" s="380" t="s">
        <v>273</v>
      </c>
      <c r="B134" s="369" t="s">
        <v>2378</v>
      </c>
      <c r="C134" s="370">
        <v>0.121</v>
      </c>
      <c r="D134" s="370">
        <v>0.121</v>
      </c>
      <c r="E134" s="370">
        <v>0.1</v>
      </c>
      <c r="F134" s="370">
        <v>0.13</v>
      </c>
      <c r="G134" s="371">
        <v>0.123</v>
      </c>
    </row>
    <row r="135" spans="1:7">
      <c r="A135" s="380" t="s">
        <v>273</v>
      </c>
      <c r="B135" s="369" t="s">
        <v>2379</v>
      </c>
      <c r="C135" s="370">
        <v>0.105</v>
      </c>
      <c r="D135" s="370">
        <v>0.106</v>
      </c>
      <c r="E135" s="370">
        <v>0.1</v>
      </c>
      <c r="F135" s="370">
        <v>0.13</v>
      </c>
      <c r="G135" s="371">
        <v>0.115</v>
      </c>
    </row>
    <row r="136" spans="1:7">
      <c r="A136" s="380" t="s">
        <v>273</v>
      </c>
      <c r="B136" s="369" t="s">
        <v>2380</v>
      </c>
      <c r="C136" s="370">
        <v>0.127</v>
      </c>
      <c r="D136" s="370">
        <v>0.127</v>
      </c>
      <c r="E136" s="370">
        <v>0.121</v>
      </c>
      <c r="F136" s="370">
        <v>0.123</v>
      </c>
      <c r="G136" s="371">
        <v>0.129</v>
      </c>
    </row>
    <row r="137" spans="1:7">
      <c r="A137" s="380" t="s">
        <v>273</v>
      </c>
      <c r="B137" s="369" t="s">
        <v>2381</v>
      </c>
      <c r="C137" s="370">
        <v>0.13</v>
      </c>
      <c r="D137" s="370">
        <v>0.13</v>
      </c>
      <c r="E137" s="370">
        <v>0.129</v>
      </c>
      <c r="F137" s="370">
        <v>0.13</v>
      </c>
      <c r="G137" s="371">
        <v>0.13</v>
      </c>
    </row>
    <row r="138" spans="1:7">
      <c r="A138" s="380" t="s">
        <v>273</v>
      </c>
      <c r="B138" s="369" t="s">
        <v>2382</v>
      </c>
      <c r="C138" s="370">
        <v>0.13</v>
      </c>
      <c r="D138" s="370">
        <v>0.13</v>
      </c>
      <c r="E138" s="370">
        <v>0.125</v>
      </c>
      <c r="F138" s="370">
        <v>0.13</v>
      </c>
      <c r="G138" s="371">
        <v>0.13</v>
      </c>
    </row>
    <row r="139" spans="1:7">
      <c r="A139" s="380" t="s">
        <v>273</v>
      </c>
      <c r="B139" s="369" t="s">
        <v>2383</v>
      </c>
      <c r="C139" s="370">
        <v>0.13</v>
      </c>
      <c r="D139" s="370">
        <v>0.13</v>
      </c>
      <c r="E139" s="370">
        <v>0.126</v>
      </c>
      <c r="F139" s="370">
        <v>0.13</v>
      </c>
      <c r="G139" s="371">
        <v>0.13</v>
      </c>
    </row>
    <row r="140" spans="1:7">
      <c r="A140" s="380" t="s">
        <v>273</v>
      </c>
      <c r="B140" s="369" t="s">
        <v>2384</v>
      </c>
      <c r="C140" s="370">
        <v>0.1</v>
      </c>
      <c r="D140" s="370">
        <v>0.1</v>
      </c>
      <c r="E140" s="370">
        <v>0.1</v>
      </c>
      <c r="F140" s="370">
        <v>0.123</v>
      </c>
      <c r="G140" s="371">
        <v>0.107</v>
      </c>
    </row>
    <row r="141" spans="1:7">
      <c r="A141" s="380" t="s">
        <v>273</v>
      </c>
      <c r="B141" s="369" t="s">
        <v>2385</v>
      </c>
      <c r="C141" s="370">
        <v>0.127</v>
      </c>
      <c r="D141" s="370">
        <v>0.127</v>
      </c>
      <c r="E141" s="370">
        <v>0.122</v>
      </c>
      <c r="F141" s="370">
        <v>0.1</v>
      </c>
      <c r="G141" s="371">
        <v>0.129</v>
      </c>
    </row>
    <row r="142" spans="1:7">
      <c r="A142" s="380" t="s">
        <v>273</v>
      </c>
      <c r="B142" s="369" t="s">
        <v>2386</v>
      </c>
      <c r="C142" s="370">
        <v>0.121</v>
      </c>
      <c r="D142" s="370">
        <v>0.122</v>
      </c>
      <c r="E142" s="370">
        <v>0.1</v>
      </c>
      <c r="F142" s="370">
        <v>0.123</v>
      </c>
      <c r="G142" s="371">
        <v>0.123</v>
      </c>
    </row>
    <row r="143" spans="1:7">
      <c r="A143" s="380" t="s">
        <v>273</v>
      </c>
      <c r="B143" s="369" t="s">
        <v>2387</v>
      </c>
      <c r="C143" s="370">
        <v>0.1</v>
      </c>
      <c r="D143" s="370">
        <v>0.1</v>
      </c>
      <c r="E143" s="370">
        <v>0.1</v>
      </c>
      <c r="F143" s="370">
        <v>0.13</v>
      </c>
      <c r="G143" s="371">
        <v>0.1</v>
      </c>
    </row>
    <row r="144" spans="1:7">
      <c r="A144" s="380" t="s">
        <v>273</v>
      </c>
      <c r="B144" s="369" t="s">
        <v>2388</v>
      </c>
      <c r="C144" s="370">
        <v>0.106</v>
      </c>
      <c r="D144" s="370">
        <v>0.105</v>
      </c>
      <c r="E144" s="370">
        <v>0.1</v>
      </c>
      <c r="F144" s="370">
        <v>0.13</v>
      </c>
      <c r="G144" s="371">
        <v>0.118</v>
      </c>
    </row>
    <row r="145" spans="1:7">
      <c r="A145" s="380" t="s">
        <v>273</v>
      </c>
      <c r="B145" s="369" t="s">
        <v>2389</v>
      </c>
      <c r="C145" s="370">
        <v>0.123</v>
      </c>
      <c r="D145" s="370">
        <v>0.123</v>
      </c>
      <c r="E145" s="370">
        <v>0.117</v>
      </c>
      <c r="F145" s="370">
        <v>0.13</v>
      </c>
      <c r="G145" s="371">
        <v>0.126</v>
      </c>
    </row>
    <row r="146" spans="1:7">
      <c r="A146" s="380" t="s">
        <v>273</v>
      </c>
      <c r="B146" s="369" t="s">
        <v>2390</v>
      </c>
      <c r="C146" s="370">
        <v>0.127</v>
      </c>
      <c r="D146" s="370">
        <v>0.127</v>
      </c>
      <c r="E146" s="370">
        <v>0.12</v>
      </c>
      <c r="F146" s="381"/>
      <c r="G146" s="371">
        <v>0.129</v>
      </c>
    </row>
    <row r="147" spans="1:7">
      <c r="A147" s="380" t="s">
        <v>273</v>
      </c>
      <c r="B147" s="369" t="s">
        <v>2391</v>
      </c>
      <c r="C147" s="370">
        <v>0.13</v>
      </c>
      <c r="D147" s="370">
        <v>0.13</v>
      </c>
      <c r="E147" s="370">
        <v>0.126</v>
      </c>
      <c r="F147" s="381"/>
      <c r="G147" s="371">
        <v>0.13</v>
      </c>
    </row>
    <row r="148" spans="1:7">
      <c r="A148" s="380" t="s">
        <v>273</v>
      </c>
      <c r="B148" s="369" t="s">
        <v>2392</v>
      </c>
      <c r="C148" s="370">
        <v>0.13</v>
      </c>
      <c r="D148" s="370">
        <v>0.13</v>
      </c>
      <c r="E148" s="370">
        <v>0.13</v>
      </c>
      <c r="F148" s="381"/>
      <c r="G148" s="371">
        <v>0.13</v>
      </c>
    </row>
    <row r="149" spans="1:7">
      <c r="A149" s="380" t="s">
        <v>273</v>
      </c>
      <c r="B149" s="369" t="s">
        <v>2393</v>
      </c>
      <c r="C149" s="370">
        <v>0.13</v>
      </c>
      <c r="D149" s="370">
        <v>0.13</v>
      </c>
      <c r="E149" s="370">
        <v>0.13</v>
      </c>
      <c r="F149" s="370">
        <v>0.13</v>
      </c>
      <c r="G149" s="371">
        <v>0.13</v>
      </c>
    </row>
    <row r="150" spans="1:7">
      <c r="A150" s="380" t="s">
        <v>273</v>
      </c>
      <c r="B150" s="369" t="s">
        <v>2394</v>
      </c>
      <c r="C150" s="370">
        <v>0.13</v>
      </c>
      <c r="D150" s="370">
        <v>0.13</v>
      </c>
      <c r="E150" s="370">
        <v>0.127</v>
      </c>
      <c r="F150" s="370">
        <v>0.13</v>
      </c>
      <c r="G150" s="371">
        <v>0.13</v>
      </c>
    </row>
    <row r="151" spans="1:7">
      <c r="A151" s="380" t="s">
        <v>273</v>
      </c>
      <c r="B151" s="369" t="s">
        <v>2395</v>
      </c>
      <c r="C151" s="370">
        <v>0.13</v>
      </c>
      <c r="D151" s="370">
        <v>0.13</v>
      </c>
      <c r="E151" s="370">
        <v>0.13</v>
      </c>
      <c r="F151" s="370">
        <v>0.13</v>
      </c>
      <c r="G151" s="371">
        <v>0.13</v>
      </c>
    </row>
    <row r="152" spans="1:7">
      <c r="A152" s="380" t="s">
        <v>273</v>
      </c>
      <c r="B152" s="369" t="s">
        <v>2396</v>
      </c>
      <c r="C152" s="370">
        <v>0.13</v>
      </c>
      <c r="D152" s="370">
        <v>0.13</v>
      </c>
      <c r="E152" s="370">
        <v>0.13</v>
      </c>
      <c r="F152" s="370">
        <v>0.13</v>
      </c>
      <c r="G152" s="371">
        <v>0.13</v>
      </c>
    </row>
    <row r="153" spans="1:7">
      <c r="A153" s="380" t="s">
        <v>273</v>
      </c>
      <c r="B153" s="369" t="s">
        <v>2397</v>
      </c>
      <c r="C153" s="370">
        <v>0.13</v>
      </c>
      <c r="D153" s="370">
        <v>0.13</v>
      </c>
      <c r="E153" s="370">
        <v>0.13</v>
      </c>
      <c r="F153" s="370">
        <v>0.13</v>
      </c>
      <c r="G153" s="371">
        <v>0.13</v>
      </c>
    </row>
    <row r="154" spans="1:7">
      <c r="A154" s="380" t="s">
        <v>273</v>
      </c>
      <c r="B154" s="369" t="s">
        <v>2398</v>
      </c>
      <c r="C154" s="370">
        <v>0.121</v>
      </c>
      <c r="D154" s="370">
        <v>0.121</v>
      </c>
      <c r="E154" s="370">
        <v>0.105</v>
      </c>
      <c r="F154" s="370">
        <v>0.121</v>
      </c>
      <c r="G154" s="371">
        <v>0.123</v>
      </c>
    </row>
    <row r="155" spans="1:7">
      <c r="A155" s="380" t="s">
        <v>273</v>
      </c>
      <c r="B155" s="369" t="s">
        <v>2399</v>
      </c>
      <c r="C155" s="370">
        <v>0.1</v>
      </c>
      <c r="D155" s="370">
        <v>0.1</v>
      </c>
      <c r="E155" s="370">
        <v>0.1</v>
      </c>
      <c r="F155" s="370">
        <v>0.1</v>
      </c>
      <c r="G155" s="371">
        <v>0.1</v>
      </c>
    </row>
    <row r="156" spans="1:7">
      <c r="A156" s="380" t="s">
        <v>273</v>
      </c>
      <c r="B156" s="369" t="s">
        <v>2400</v>
      </c>
      <c r="C156" s="370">
        <v>0.13</v>
      </c>
      <c r="D156" s="370">
        <v>0.13</v>
      </c>
      <c r="E156" s="370">
        <v>0.13</v>
      </c>
      <c r="F156" s="370">
        <v>0.13</v>
      </c>
      <c r="G156" s="371">
        <v>0.13</v>
      </c>
    </row>
    <row r="157" spans="1:7">
      <c r="A157" s="380" t="s">
        <v>273</v>
      </c>
      <c r="B157" s="369" t="s">
        <v>2401</v>
      </c>
      <c r="C157" s="370">
        <v>0.13</v>
      </c>
      <c r="D157" s="370">
        <v>0.13</v>
      </c>
      <c r="E157" s="370">
        <v>0.125</v>
      </c>
      <c r="F157" s="370">
        <v>0.13</v>
      </c>
      <c r="G157" s="371">
        <v>0.13</v>
      </c>
    </row>
    <row r="158" spans="1:7">
      <c r="A158" s="380" t="s">
        <v>273</v>
      </c>
      <c r="B158" s="369" t="s">
        <v>2402</v>
      </c>
      <c r="C158" s="370">
        <v>0.124</v>
      </c>
      <c r="D158" s="370">
        <v>0.124</v>
      </c>
      <c r="E158" s="370">
        <v>0.117</v>
      </c>
      <c r="F158" s="370">
        <v>0.121</v>
      </c>
      <c r="G158" s="371">
        <v>0.124</v>
      </c>
    </row>
    <row r="159" spans="1:7">
      <c r="A159" s="380" t="s">
        <v>273</v>
      </c>
      <c r="B159" s="369" t="s">
        <v>2403</v>
      </c>
      <c r="C159" s="370">
        <v>0.127</v>
      </c>
      <c r="D159" s="370">
        <v>0.127</v>
      </c>
      <c r="E159" s="370">
        <v>0.122</v>
      </c>
      <c r="F159" s="370">
        <v>0.13</v>
      </c>
      <c r="G159" s="371">
        <v>0.129</v>
      </c>
    </row>
    <row r="160" spans="1:7">
      <c r="A160" s="380" t="s">
        <v>273</v>
      </c>
      <c r="B160" s="369" t="s">
        <v>2404</v>
      </c>
      <c r="C160" s="370">
        <v>0.13</v>
      </c>
      <c r="D160" s="370">
        <v>0.13</v>
      </c>
      <c r="E160" s="370">
        <v>0.124</v>
      </c>
      <c r="F160" s="370">
        <v>0.126</v>
      </c>
      <c r="G160" s="371">
        <v>0.13</v>
      </c>
    </row>
    <row r="161" spans="1:7">
      <c r="A161" s="380" t="s">
        <v>273</v>
      </c>
      <c r="B161" s="369" t="s">
        <v>2405</v>
      </c>
      <c r="C161" s="370">
        <v>0.13</v>
      </c>
      <c r="D161" s="370">
        <v>0.13</v>
      </c>
      <c r="E161" s="370">
        <v>0.124</v>
      </c>
      <c r="F161" s="370">
        <v>0.127</v>
      </c>
      <c r="G161" s="371">
        <v>0.13</v>
      </c>
    </row>
    <row r="162" spans="1:7">
      <c r="A162" s="380" t="s">
        <v>273</v>
      </c>
      <c r="B162" s="369" t="s">
        <v>2406</v>
      </c>
      <c r="C162" s="370">
        <v>0.1</v>
      </c>
      <c r="D162" s="370">
        <v>0.1</v>
      </c>
      <c r="E162" s="370">
        <v>0.1</v>
      </c>
      <c r="F162" s="370">
        <v>0.121</v>
      </c>
      <c r="G162" s="371">
        <v>0.105</v>
      </c>
    </row>
    <row r="163" spans="1:7">
      <c r="A163" s="380" t="s">
        <v>273</v>
      </c>
      <c r="B163" s="369" t="s">
        <v>2407</v>
      </c>
      <c r="C163" s="370">
        <v>0.1</v>
      </c>
      <c r="D163" s="370">
        <v>0.1</v>
      </c>
      <c r="E163" s="370">
        <v>0.1</v>
      </c>
      <c r="F163" s="370">
        <v>0.1</v>
      </c>
      <c r="G163" s="371">
        <v>0.1</v>
      </c>
    </row>
    <row r="164" spans="1:7">
      <c r="A164" s="380" t="s">
        <v>273</v>
      </c>
      <c r="B164" s="369" t="s">
        <v>2408</v>
      </c>
      <c r="C164" s="386"/>
      <c r="D164" s="386"/>
      <c r="E164" s="386"/>
      <c r="F164" s="370">
        <v>0.1</v>
      </c>
      <c r="G164" s="382"/>
    </row>
    <row r="165" spans="1:7">
      <c r="A165" s="380" t="s">
        <v>273</v>
      </c>
      <c r="B165" s="369" t="s">
        <v>2409</v>
      </c>
      <c r="C165" s="370">
        <v>0.126</v>
      </c>
      <c r="D165" s="370">
        <v>0.126</v>
      </c>
      <c r="E165" s="370">
        <v>0.119</v>
      </c>
      <c r="F165" s="370">
        <v>0.13</v>
      </c>
      <c r="G165" s="371">
        <v>0.128</v>
      </c>
    </row>
    <row r="166" spans="1:7">
      <c r="A166" s="380" t="s">
        <v>273</v>
      </c>
      <c r="B166" s="369" t="s">
        <v>2410</v>
      </c>
      <c r="C166" s="370">
        <v>0.129</v>
      </c>
      <c r="D166" s="370">
        <v>0.129</v>
      </c>
      <c r="E166" s="370">
        <v>0.123</v>
      </c>
      <c r="F166" s="370">
        <v>0.128</v>
      </c>
      <c r="G166" s="371">
        <v>0.13</v>
      </c>
    </row>
    <row r="167" spans="1:7">
      <c r="A167" s="380" t="s">
        <v>273</v>
      </c>
      <c r="B167" s="369" t="s">
        <v>2411</v>
      </c>
      <c r="C167" s="370">
        <v>0.125</v>
      </c>
      <c r="D167" s="370">
        <v>0.125</v>
      </c>
      <c r="E167" s="370">
        <v>0.117</v>
      </c>
      <c r="F167" s="370">
        <v>0.13</v>
      </c>
      <c r="G167" s="371">
        <v>0.126</v>
      </c>
    </row>
    <row r="168" spans="1:7">
      <c r="A168" s="380" t="s">
        <v>273</v>
      </c>
      <c r="B168" s="369" t="s">
        <v>2412</v>
      </c>
      <c r="C168" s="370">
        <v>0.128</v>
      </c>
      <c r="D168" s="370">
        <v>0.128</v>
      </c>
      <c r="E168" s="370">
        <v>0.123</v>
      </c>
      <c r="F168" s="381"/>
      <c r="G168" s="371">
        <v>0.13</v>
      </c>
    </row>
    <row r="169" spans="1:7">
      <c r="A169" s="380" t="s">
        <v>273</v>
      </c>
      <c r="B169" s="369" t="s">
        <v>2413</v>
      </c>
      <c r="C169" s="386"/>
      <c r="D169" s="386"/>
      <c r="E169" s="386"/>
      <c r="F169" s="370">
        <v>0.05</v>
      </c>
      <c r="G169" s="382"/>
    </row>
    <row r="170" spans="1:7">
      <c r="A170" s="380" t="s">
        <v>273</v>
      </c>
      <c r="B170" s="369" t="s">
        <v>2414</v>
      </c>
      <c r="C170" s="386"/>
      <c r="D170" s="386"/>
      <c r="E170" s="386"/>
      <c r="F170" s="370">
        <v>0.05</v>
      </c>
      <c r="G170" s="382"/>
    </row>
    <row r="171" spans="1:7">
      <c r="A171" s="380" t="s">
        <v>273</v>
      </c>
      <c r="B171" s="369" t="s">
        <v>2415</v>
      </c>
      <c r="C171" s="386"/>
      <c r="D171" s="386"/>
      <c r="E171" s="386"/>
      <c r="F171" s="370">
        <v>0.05</v>
      </c>
      <c r="G171" s="387"/>
    </row>
    <row r="172" spans="1:7">
      <c r="A172" s="380" t="s">
        <v>273</v>
      </c>
      <c r="B172" s="369" t="s">
        <v>2416</v>
      </c>
      <c r="C172" s="386"/>
      <c r="D172" s="386"/>
      <c r="E172" s="386"/>
      <c r="F172" s="370">
        <v>0.05</v>
      </c>
      <c r="G172" s="387"/>
    </row>
    <row r="173" spans="1:7">
      <c r="A173" s="380" t="s">
        <v>273</v>
      </c>
      <c r="B173" s="369" t="s">
        <v>2417</v>
      </c>
      <c r="C173" s="386"/>
      <c r="D173" s="386"/>
      <c r="E173" s="386"/>
      <c r="F173" s="370">
        <v>0.05</v>
      </c>
      <c r="G173" s="382"/>
    </row>
    <row r="174" spans="1:7">
      <c r="A174" s="380" t="s">
        <v>273</v>
      </c>
      <c r="B174" s="369" t="s">
        <v>2418</v>
      </c>
      <c r="C174" s="386"/>
      <c r="D174" s="386"/>
      <c r="E174" s="386"/>
      <c r="F174" s="370">
        <v>0.05</v>
      </c>
      <c r="G174" s="382"/>
    </row>
    <row r="175" spans="1:7">
      <c r="A175" s="380" t="s">
        <v>273</v>
      </c>
      <c r="B175" s="369" t="s">
        <v>2419</v>
      </c>
      <c r="C175" s="386"/>
      <c r="D175" s="386"/>
      <c r="E175" s="386"/>
      <c r="F175" s="370">
        <v>0.05</v>
      </c>
      <c r="G175" s="382"/>
    </row>
    <row r="176" spans="1:7">
      <c r="A176" s="380" t="s">
        <v>273</v>
      </c>
      <c r="B176" s="369" t="s">
        <v>2420</v>
      </c>
      <c r="C176" s="386"/>
      <c r="D176" s="386"/>
      <c r="E176" s="386"/>
      <c r="F176" s="370">
        <v>0.05</v>
      </c>
      <c r="G176" s="382"/>
    </row>
    <row r="177" spans="1:7">
      <c r="A177" s="380" t="s">
        <v>273</v>
      </c>
      <c r="B177" s="369" t="s">
        <v>2421</v>
      </c>
      <c r="C177" s="381"/>
      <c r="D177" s="381"/>
      <c r="E177" s="381"/>
      <c r="F177" s="370">
        <v>0.05</v>
      </c>
      <c r="G177" s="387"/>
    </row>
    <row r="178" spans="1:7">
      <c r="A178" s="380" t="s">
        <v>273</v>
      </c>
      <c r="B178" s="369" t="s">
        <v>2422</v>
      </c>
      <c r="C178" s="381"/>
      <c r="D178" s="381"/>
      <c r="E178" s="381"/>
      <c r="F178" s="370">
        <v>0.05</v>
      </c>
      <c r="G178" s="387"/>
    </row>
    <row r="179" spans="1:7">
      <c r="A179" s="380" t="s">
        <v>273</v>
      </c>
      <c r="B179" s="369" t="s">
        <v>2423</v>
      </c>
      <c r="C179" s="381"/>
      <c r="D179" s="381"/>
      <c r="E179" s="381"/>
      <c r="F179" s="370">
        <v>0.05</v>
      </c>
      <c r="G179" s="387"/>
    </row>
    <row r="180" spans="1:7">
      <c r="A180" s="380" t="s">
        <v>273</v>
      </c>
      <c r="B180" s="369" t="s">
        <v>2424</v>
      </c>
      <c r="C180" s="381"/>
      <c r="D180" s="381"/>
      <c r="E180" s="381"/>
      <c r="F180" s="370">
        <v>0.05</v>
      </c>
      <c r="G180" s="387"/>
    </row>
    <row r="181" spans="1:7">
      <c r="A181" s="380" t="s">
        <v>273</v>
      </c>
      <c r="B181" s="369" t="s">
        <v>2425</v>
      </c>
      <c r="C181" s="381"/>
      <c r="D181" s="381"/>
      <c r="E181" s="381"/>
      <c r="F181" s="370">
        <v>0.05</v>
      </c>
      <c r="G181" s="387"/>
    </row>
    <row r="182" spans="1:7">
      <c r="A182" s="380" t="s">
        <v>273</v>
      </c>
      <c r="B182" s="369" t="s">
        <v>2426</v>
      </c>
      <c r="C182" s="381"/>
      <c r="D182" s="381"/>
      <c r="E182" s="381"/>
      <c r="F182" s="370">
        <v>0.05</v>
      </c>
      <c r="G182" s="387"/>
    </row>
    <row r="183" spans="1:7">
      <c r="A183" s="380" t="s">
        <v>273</v>
      </c>
      <c r="B183" s="369" t="s">
        <v>2427</v>
      </c>
      <c r="C183" s="381"/>
      <c r="D183" s="381"/>
      <c r="E183" s="381"/>
      <c r="F183" s="370">
        <v>0.05</v>
      </c>
      <c r="G183" s="387"/>
    </row>
    <row r="184" spans="1:7">
      <c r="A184" s="380" t="s">
        <v>273</v>
      </c>
      <c r="B184" s="369" t="s">
        <v>2428</v>
      </c>
      <c r="C184" s="381"/>
      <c r="D184" s="381"/>
      <c r="E184" s="381"/>
      <c r="F184" s="370">
        <v>0.05</v>
      </c>
      <c r="G184" s="387"/>
    </row>
    <row r="185" spans="1:7">
      <c r="A185" s="380" t="s">
        <v>273</v>
      </c>
      <c r="B185" s="369" t="s">
        <v>2429</v>
      </c>
      <c r="C185" s="381"/>
      <c r="D185" s="381"/>
      <c r="E185" s="381"/>
      <c r="F185" s="370">
        <v>0.05</v>
      </c>
      <c r="G185" s="387"/>
    </row>
    <row r="186" spans="1:7">
      <c r="A186" s="380" t="s">
        <v>273</v>
      </c>
      <c r="B186" s="369" t="s">
        <v>2430</v>
      </c>
      <c r="C186" s="381"/>
      <c r="D186" s="381"/>
      <c r="E186" s="381"/>
      <c r="F186" s="370">
        <v>0.05</v>
      </c>
      <c r="G186" s="387"/>
    </row>
    <row r="187" spans="1:7">
      <c r="A187" s="380" t="s">
        <v>273</v>
      </c>
      <c r="B187" s="369" t="s">
        <v>2431</v>
      </c>
      <c r="C187" s="381"/>
      <c r="D187" s="381"/>
      <c r="E187" s="381"/>
      <c r="F187" s="370">
        <v>0.05</v>
      </c>
      <c r="G187" s="387"/>
    </row>
    <row r="188" spans="1:7">
      <c r="A188" s="380" t="s">
        <v>273</v>
      </c>
      <c r="B188" s="369" t="s">
        <v>2432</v>
      </c>
      <c r="C188" s="381"/>
      <c r="D188" s="381"/>
      <c r="E188" s="381"/>
      <c r="F188" s="370">
        <v>0.05</v>
      </c>
      <c r="G188" s="387"/>
    </row>
    <row r="189" ht="14.75" spans="1:7">
      <c r="A189" s="383" t="s">
        <v>273</v>
      </c>
      <c r="B189" s="373" t="s">
        <v>2433</v>
      </c>
      <c r="C189" s="375"/>
      <c r="D189" s="375"/>
      <c r="E189" s="375"/>
      <c r="F189" s="374">
        <v>0.05</v>
      </c>
      <c r="G189" s="388"/>
    </row>
    <row r="190" spans="1:7">
      <c r="A190" s="379" t="s">
        <v>278</v>
      </c>
      <c r="B190" s="365" t="s">
        <v>2434</v>
      </c>
      <c r="C190" s="366">
        <v>0.124</v>
      </c>
      <c r="D190" s="366">
        <v>0.124</v>
      </c>
      <c r="E190" s="366">
        <v>0.129</v>
      </c>
      <c r="F190" s="366">
        <v>0.13</v>
      </c>
      <c r="G190" s="367">
        <v>0.127</v>
      </c>
    </row>
    <row r="191" spans="1:7">
      <c r="A191" s="380" t="s">
        <v>278</v>
      </c>
      <c r="B191" s="369" t="s">
        <v>2435</v>
      </c>
      <c r="C191" s="370">
        <v>0.13</v>
      </c>
      <c r="D191" s="370">
        <v>0.13</v>
      </c>
      <c r="E191" s="370">
        <v>0.13</v>
      </c>
      <c r="F191" s="370">
        <v>0.13</v>
      </c>
      <c r="G191" s="371">
        <v>0.13</v>
      </c>
    </row>
    <row r="192" spans="1:7">
      <c r="A192" s="380" t="s">
        <v>278</v>
      </c>
      <c r="B192" s="369" t="s">
        <v>2436</v>
      </c>
      <c r="C192" s="370">
        <v>0.13</v>
      </c>
      <c r="D192" s="370">
        <v>0.13</v>
      </c>
      <c r="E192" s="370">
        <v>0.13</v>
      </c>
      <c r="F192" s="370">
        <v>0.13</v>
      </c>
      <c r="G192" s="371">
        <v>0.13</v>
      </c>
    </row>
    <row r="193" spans="1:7">
      <c r="A193" s="380" t="s">
        <v>278</v>
      </c>
      <c r="B193" s="369" t="s">
        <v>2437</v>
      </c>
      <c r="C193" s="370">
        <v>0.13</v>
      </c>
      <c r="D193" s="370">
        <v>0.13</v>
      </c>
      <c r="E193" s="370">
        <v>0.13</v>
      </c>
      <c r="F193" s="370">
        <v>0.13</v>
      </c>
      <c r="G193" s="371">
        <v>0.13</v>
      </c>
    </row>
    <row r="194" spans="1:7">
      <c r="A194" s="380" t="s">
        <v>278</v>
      </c>
      <c r="B194" s="369" t="s">
        <v>2438</v>
      </c>
      <c r="C194" s="370">
        <v>0.123</v>
      </c>
      <c r="D194" s="370">
        <v>0.123</v>
      </c>
      <c r="E194" s="370">
        <v>0.128</v>
      </c>
      <c r="F194" s="370">
        <v>0.13</v>
      </c>
      <c r="G194" s="371">
        <v>0.126</v>
      </c>
    </row>
    <row r="195" spans="1:7">
      <c r="A195" s="380" t="s">
        <v>278</v>
      </c>
      <c r="B195" s="369" t="s">
        <v>2439</v>
      </c>
      <c r="C195" s="370">
        <v>0.127</v>
      </c>
      <c r="D195" s="370">
        <v>0.127</v>
      </c>
      <c r="E195" s="370">
        <v>0.121</v>
      </c>
      <c r="F195" s="370">
        <v>0.129</v>
      </c>
      <c r="G195" s="371">
        <v>0.129</v>
      </c>
    </row>
    <row r="196" spans="1:7">
      <c r="A196" s="380" t="s">
        <v>278</v>
      </c>
      <c r="B196" s="369" t="s">
        <v>2440</v>
      </c>
      <c r="C196" s="370">
        <v>0.127</v>
      </c>
      <c r="D196" s="370">
        <v>0.128</v>
      </c>
      <c r="E196" s="370">
        <v>0.122</v>
      </c>
      <c r="F196" s="370">
        <v>0.13</v>
      </c>
      <c r="G196" s="371">
        <v>0.129</v>
      </c>
    </row>
    <row r="197" spans="1:7">
      <c r="A197" s="380" t="s">
        <v>278</v>
      </c>
      <c r="B197" s="369" t="s">
        <v>2441</v>
      </c>
      <c r="C197" s="370">
        <v>0.126</v>
      </c>
      <c r="D197" s="370">
        <v>0.126</v>
      </c>
      <c r="E197" s="370">
        <v>0.119</v>
      </c>
      <c r="F197" s="370">
        <v>0.13</v>
      </c>
      <c r="G197" s="371">
        <v>0.128</v>
      </c>
    </row>
    <row r="198" spans="1:7">
      <c r="A198" s="380" t="s">
        <v>278</v>
      </c>
      <c r="B198" s="369" t="s">
        <v>2442</v>
      </c>
      <c r="C198" s="370">
        <v>0.13</v>
      </c>
      <c r="D198" s="370">
        <v>0.13</v>
      </c>
      <c r="E198" s="370">
        <v>0.126</v>
      </c>
      <c r="F198" s="386"/>
      <c r="G198" s="371">
        <v>0.13</v>
      </c>
    </row>
    <row r="199" spans="1:7">
      <c r="A199" s="380" t="s">
        <v>278</v>
      </c>
      <c r="B199" s="369" t="s">
        <v>2443</v>
      </c>
      <c r="C199" s="370">
        <v>0.13</v>
      </c>
      <c r="D199" s="370">
        <v>0.13</v>
      </c>
      <c r="E199" s="370">
        <v>0.13</v>
      </c>
      <c r="F199" s="370">
        <v>0.13</v>
      </c>
      <c r="G199" s="371">
        <v>0.13</v>
      </c>
    </row>
    <row r="200" spans="1:7">
      <c r="A200" s="380" t="s">
        <v>278</v>
      </c>
      <c r="B200" s="369" t="s">
        <v>2444</v>
      </c>
      <c r="C200" s="386"/>
      <c r="D200" s="386"/>
      <c r="E200" s="386"/>
      <c r="F200" s="370">
        <v>0.13</v>
      </c>
      <c r="G200" s="382"/>
    </row>
    <row r="201" spans="1:7">
      <c r="A201" s="380" t="s">
        <v>278</v>
      </c>
      <c r="B201" s="369" t="s">
        <v>2445</v>
      </c>
      <c r="C201" s="370">
        <v>0.13</v>
      </c>
      <c r="D201" s="370">
        <v>0.13</v>
      </c>
      <c r="E201" s="370">
        <v>0.13</v>
      </c>
      <c r="F201" s="370">
        <v>0.129</v>
      </c>
      <c r="G201" s="371">
        <v>0.13</v>
      </c>
    </row>
    <row r="202" spans="1:7">
      <c r="A202" s="380" t="s">
        <v>278</v>
      </c>
      <c r="B202" s="369" t="s">
        <v>2446</v>
      </c>
      <c r="C202" s="370">
        <v>0.13</v>
      </c>
      <c r="D202" s="370">
        <v>0.13</v>
      </c>
      <c r="E202" s="370">
        <v>0.13</v>
      </c>
      <c r="F202" s="370">
        <v>0.13</v>
      </c>
      <c r="G202" s="371">
        <v>0.13</v>
      </c>
    </row>
    <row r="203" spans="1:7">
      <c r="A203" s="380" t="s">
        <v>278</v>
      </c>
      <c r="B203" s="369" t="s">
        <v>2447</v>
      </c>
      <c r="C203" s="370">
        <v>0.129</v>
      </c>
      <c r="D203" s="370">
        <v>0.129</v>
      </c>
      <c r="E203" s="370">
        <v>0.13</v>
      </c>
      <c r="F203" s="370">
        <v>0.13</v>
      </c>
      <c r="G203" s="371">
        <v>0.13</v>
      </c>
    </row>
    <row r="204" spans="1:7">
      <c r="A204" s="380" t="s">
        <v>278</v>
      </c>
      <c r="B204" s="369" t="s">
        <v>2448</v>
      </c>
      <c r="C204" s="370">
        <v>0.129</v>
      </c>
      <c r="D204" s="370">
        <v>0.129</v>
      </c>
      <c r="E204" s="370">
        <v>0.123</v>
      </c>
      <c r="F204" s="370">
        <v>0.13</v>
      </c>
      <c r="G204" s="371">
        <v>0.13</v>
      </c>
    </row>
    <row r="205" spans="1:7">
      <c r="A205" s="380" t="s">
        <v>278</v>
      </c>
      <c r="B205" s="369" t="s">
        <v>2449</v>
      </c>
      <c r="C205" s="370">
        <v>0.13</v>
      </c>
      <c r="D205" s="370">
        <v>0.13</v>
      </c>
      <c r="E205" s="370">
        <v>0.13</v>
      </c>
      <c r="F205" s="370">
        <v>0.13</v>
      </c>
      <c r="G205" s="371">
        <v>0.13</v>
      </c>
    </row>
    <row r="206" spans="1:7">
      <c r="A206" s="380" t="s">
        <v>278</v>
      </c>
      <c r="B206" s="369" t="s">
        <v>2450</v>
      </c>
      <c r="C206" s="370">
        <v>0.13</v>
      </c>
      <c r="D206" s="370">
        <v>0.13</v>
      </c>
      <c r="E206" s="370">
        <v>0.13</v>
      </c>
      <c r="F206" s="370">
        <v>0.128</v>
      </c>
      <c r="G206" s="371">
        <v>0.13</v>
      </c>
    </row>
    <row r="207" spans="1:7">
      <c r="A207" s="380" t="s">
        <v>278</v>
      </c>
      <c r="B207" s="369" t="s">
        <v>2451</v>
      </c>
      <c r="C207" s="370">
        <v>0.13</v>
      </c>
      <c r="D207" s="370">
        <v>0.13</v>
      </c>
      <c r="E207" s="370">
        <v>0.13</v>
      </c>
      <c r="F207" s="370">
        <v>0.13</v>
      </c>
      <c r="G207" s="371">
        <v>0.13</v>
      </c>
    </row>
    <row r="208" spans="1:7">
      <c r="A208" s="380" t="s">
        <v>278</v>
      </c>
      <c r="B208" s="369" t="s">
        <v>2452</v>
      </c>
      <c r="C208" s="370">
        <v>0.13</v>
      </c>
      <c r="D208" s="370">
        <v>0.13</v>
      </c>
      <c r="E208" s="370">
        <v>0.13</v>
      </c>
      <c r="F208" s="370">
        <v>0.13</v>
      </c>
      <c r="G208" s="371">
        <v>0.13</v>
      </c>
    </row>
    <row r="209" spans="1:7">
      <c r="A209" s="380" t="s">
        <v>278</v>
      </c>
      <c r="B209" s="369" t="s">
        <v>2453</v>
      </c>
      <c r="C209" s="370">
        <v>0.13</v>
      </c>
      <c r="D209" s="370">
        <v>0.13</v>
      </c>
      <c r="E209" s="370">
        <v>0.13</v>
      </c>
      <c r="F209" s="370">
        <v>0.13</v>
      </c>
      <c r="G209" s="371">
        <v>0.13</v>
      </c>
    </row>
    <row r="210" spans="1:7">
      <c r="A210" s="380" t="s">
        <v>278</v>
      </c>
      <c r="B210" s="369" t="s">
        <v>2454</v>
      </c>
      <c r="C210" s="370">
        <v>0.121</v>
      </c>
      <c r="D210" s="370">
        <v>0.121</v>
      </c>
      <c r="E210" s="370">
        <v>0.125</v>
      </c>
      <c r="F210" s="370">
        <v>0.13</v>
      </c>
      <c r="G210" s="371">
        <v>0.123</v>
      </c>
    </row>
    <row r="211" spans="1:7">
      <c r="A211" s="380" t="s">
        <v>278</v>
      </c>
      <c r="B211" s="369" t="s">
        <v>2455</v>
      </c>
      <c r="C211" s="370">
        <v>0.123</v>
      </c>
      <c r="D211" s="370">
        <v>0.123</v>
      </c>
      <c r="E211" s="370">
        <v>0.127</v>
      </c>
      <c r="F211" s="370">
        <v>0.115</v>
      </c>
      <c r="G211" s="371">
        <v>0.126</v>
      </c>
    </row>
    <row r="212" spans="1:7">
      <c r="A212" s="380" t="s">
        <v>278</v>
      </c>
      <c r="B212" s="369" t="s">
        <v>2456</v>
      </c>
      <c r="C212" s="370">
        <v>0.126</v>
      </c>
      <c r="D212" s="370">
        <v>0.126</v>
      </c>
      <c r="E212" s="370">
        <v>0.13</v>
      </c>
      <c r="F212" s="370">
        <v>0.13</v>
      </c>
      <c r="G212" s="371">
        <v>0.129</v>
      </c>
    </row>
    <row r="213" spans="1:7">
      <c r="A213" s="380" t="s">
        <v>278</v>
      </c>
      <c r="B213" s="369" t="s">
        <v>2457</v>
      </c>
      <c r="C213" s="370">
        <v>0.129</v>
      </c>
      <c r="D213" s="370">
        <v>0.13</v>
      </c>
      <c r="E213" s="370">
        <v>0.127</v>
      </c>
      <c r="F213" s="370">
        <v>0.13</v>
      </c>
      <c r="G213" s="371">
        <v>0.13</v>
      </c>
    </row>
    <row r="214" spans="1:7">
      <c r="A214" s="380" t="s">
        <v>278</v>
      </c>
      <c r="B214" s="369" t="s">
        <v>2458</v>
      </c>
      <c r="C214" s="370">
        <v>0.128</v>
      </c>
      <c r="D214" s="370">
        <v>0.128</v>
      </c>
      <c r="E214" s="370">
        <v>0.13</v>
      </c>
      <c r="F214" s="370">
        <v>0.13</v>
      </c>
      <c r="G214" s="371">
        <v>0.13</v>
      </c>
    </row>
    <row r="215" spans="1:7">
      <c r="A215" s="380" t="s">
        <v>278</v>
      </c>
      <c r="B215" s="369" t="s">
        <v>2459</v>
      </c>
      <c r="C215" s="370">
        <v>0.13</v>
      </c>
      <c r="D215" s="370">
        <v>0.13</v>
      </c>
      <c r="E215" s="370">
        <v>0.13</v>
      </c>
      <c r="F215" s="370">
        <v>0.129</v>
      </c>
      <c r="G215" s="371">
        <v>0.13</v>
      </c>
    </row>
    <row r="216" spans="1:7">
      <c r="A216" s="380" t="s">
        <v>278</v>
      </c>
      <c r="B216" s="369" t="s">
        <v>2460</v>
      </c>
      <c r="C216" s="370">
        <v>0.13</v>
      </c>
      <c r="D216" s="370">
        <v>0.13</v>
      </c>
      <c r="E216" s="370">
        <v>0.13</v>
      </c>
      <c r="F216" s="370">
        <v>0.13</v>
      </c>
      <c r="G216" s="371">
        <v>0.13</v>
      </c>
    </row>
    <row r="217" spans="1:7">
      <c r="A217" s="380" t="s">
        <v>278</v>
      </c>
      <c r="B217" s="369" t="s">
        <v>2461</v>
      </c>
      <c r="C217" s="370">
        <v>0.129</v>
      </c>
      <c r="D217" s="370">
        <v>0.129</v>
      </c>
      <c r="E217" s="370">
        <v>0.13</v>
      </c>
      <c r="F217" s="370">
        <v>0.13</v>
      </c>
      <c r="G217" s="371">
        <v>0.13</v>
      </c>
    </row>
    <row r="218" spans="1:7">
      <c r="A218" s="380" t="s">
        <v>278</v>
      </c>
      <c r="B218" s="369" t="s">
        <v>2462</v>
      </c>
      <c r="C218" s="381"/>
      <c r="D218" s="381"/>
      <c r="E218" s="381"/>
      <c r="F218" s="370">
        <v>0.05</v>
      </c>
      <c r="G218" s="387"/>
    </row>
    <row r="219" spans="1:7">
      <c r="A219" s="380" t="s">
        <v>278</v>
      </c>
      <c r="B219" s="369" t="s">
        <v>2463</v>
      </c>
      <c r="C219" s="381"/>
      <c r="D219" s="381"/>
      <c r="E219" s="381"/>
      <c r="F219" s="370">
        <v>0.05</v>
      </c>
      <c r="G219" s="387"/>
    </row>
    <row r="220" spans="1:7">
      <c r="A220" s="380" t="s">
        <v>278</v>
      </c>
      <c r="B220" s="369" t="s">
        <v>2464</v>
      </c>
      <c r="C220" s="381"/>
      <c r="D220" s="381"/>
      <c r="E220" s="381"/>
      <c r="F220" s="370">
        <v>0.05</v>
      </c>
      <c r="G220" s="387"/>
    </row>
    <row r="221" spans="1:7">
      <c r="A221" s="380" t="s">
        <v>278</v>
      </c>
      <c r="B221" s="369" t="s">
        <v>2465</v>
      </c>
      <c r="C221" s="381"/>
      <c r="D221" s="381"/>
      <c r="E221" s="381"/>
      <c r="F221" s="370">
        <v>0.05</v>
      </c>
      <c r="G221" s="387"/>
    </row>
    <row r="222" spans="1:7">
      <c r="A222" s="380" t="s">
        <v>278</v>
      </c>
      <c r="B222" s="369" t="s">
        <v>2466</v>
      </c>
      <c r="C222" s="381"/>
      <c r="D222" s="381"/>
      <c r="E222" s="381"/>
      <c r="F222" s="370">
        <v>0.05</v>
      </c>
      <c r="G222" s="387"/>
    </row>
    <row r="223" spans="1:7">
      <c r="A223" s="380" t="s">
        <v>278</v>
      </c>
      <c r="B223" s="369" t="s">
        <v>2467</v>
      </c>
      <c r="C223" s="381"/>
      <c r="D223" s="381"/>
      <c r="E223" s="381"/>
      <c r="F223" s="370">
        <v>0.05</v>
      </c>
      <c r="G223" s="387"/>
    </row>
    <row r="224" spans="1:7">
      <c r="A224" s="380" t="s">
        <v>278</v>
      </c>
      <c r="B224" s="369" t="s">
        <v>2468</v>
      </c>
      <c r="C224" s="381"/>
      <c r="D224" s="381"/>
      <c r="E224" s="381"/>
      <c r="F224" s="370">
        <v>0.05</v>
      </c>
      <c r="G224" s="387"/>
    </row>
    <row r="225" spans="1:7">
      <c r="A225" s="380" t="s">
        <v>278</v>
      </c>
      <c r="B225" s="369" t="s">
        <v>2469</v>
      </c>
      <c r="C225" s="381"/>
      <c r="D225" s="381"/>
      <c r="E225" s="381"/>
      <c r="F225" s="370">
        <v>0.05</v>
      </c>
      <c r="G225" s="387"/>
    </row>
    <row r="226" spans="1:7">
      <c r="A226" s="380" t="s">
        <v>278</v>
      </c>
      <c r="B226" s="369" t="s">
        <v>2470</v>
      </c>
      <c r="C226" s="381"/>
      <c r="D226" s="381"/>
      <c r="E226" s="381"/>
      <c r="F226" s="370">
        <v>0.05</v>
      </c>
      <c r="G226" s="387"/>
    </row>
    <row r="227" spans="1:7">
      <c r="A227" s="380" t="s">
        <v>278</v>
      </c>
      <c r="B227" s="369" t="s">
        <v>2471</v>
      </c>
      <c r="C227" s="381"/>
      <c r="D227" s="381"/>
      <c r="E227" s="381"/>
      <c r="F227" s="370">
        <v>0.05</v>
      </c>
      <c r="G227" s="387"/>
    </row>
    <row r="228" spans="1:7">
      <c r="A228" s="380" t="s">
        <v>278</v>
      </c>
      <c r="B228" s="369" t="s">
        <v>2472</v>
      </c>
      <c r="C228" s="381"/>
      <c r="D228" s="381"/>
      <c r="E228" s="381"/>
      <c r="F228" s="370">
        <v>0.05</v>
      </c>
      <c r="G228" s="387"/>
    </row>
    <row r="229" spans="1:7">
      <c r="A229" s="380" t="s">
        <v>278</v>
      </c>
      <c r="B229" s="369" t="s">
        <v>2473</v>
      </c>
      <c r="C229" s="381"/>
      <c r="D229" s="381"/>
      <c r="E229" s="381"/>
      <c r="F229" s="370">
        <v>0.05</v>
      </c>
      <c r="G229" s="387"/>
    </row>
    <row r="230" spans="1:7">
      <c r="A230" s="380" t="s">
        <v>278</v>
      </c>
      <c r="B230" s="369" t="s">
        <v>2474</v>
      </c>
      <c r="C230" s="381"/>
      <c r="D230" s="381"/>
      <c r="E230" s="381"/>
      <c r="F230" s="370">
        <v>0.05</v>
      </c>
      <c r="G230" s="387"/>
    </row>
    <row r="231" spans="1:7">
      <c r="A231" s="380" t="s">
        <v>278</v>
      </c>
      <c r="B231" s="369" t="s">
        <v>2475</v>
      </c>
      <c r="C231" s="381"/>
      <c r="D231" s="381"/>
      <c r="E231" s="381"/>
      <c r="F231" s="370">
        <v>0.05</v>
      </c>
      <c r="G231" s="387"/>
    </row>
    <row r="232" spans="1:7">
      <c r="A232" s="380" t="s">
        <v>278</v>
      </c>
      <c r="B232" s="369" t="s">
        <v>2476</v>
      </c>
      <c r="C232" s="381"/>
      <c r="D232" s="381"/>
      <c r="E232" s="381"/>
      <c r="F232" s="370">
        <v>0.05</v>
      </c>
      <c r="G232" s="387"/>
    </row>
    <row r="233" ht="14.75" spans="1:7">
      <c r="A233" s="383" t="s">
        <v>278</v>
      </c>
      <c r="B233" s="373" t="s">
        <v>2477</v>
      </c>
      <c r="C233" s="375"/>
      <c r="D233" s="375"/>
      <c r="E233" s="375"/>
      <c r="F233" s="374">
        <v>0.05</v>
      </c>
      <c r="G233" s="388"/>
    </row>
    <row r="234" spans="1:7">
      <c r="A234" s="379" t="s">
        <v>284</v>
      </c>
      <c r="B234" s="365" t="s">
        <v>2478</v>
      </c>
      <c r="C234" s="366">
        <v>0.13</v>
      </c>
      <c r="D234" s="366">
        <v>0.128</v>
      </c>
      <c r="E234" s="366">
        <v>0.142</v>
      </c>
      <c r="F234" s="366">
        <v>0.147</v>
      </c>
      <c r="G234" s="367">
        <v>0.14</v>
      </c>
    </row>
    <row r="235" spans="1:7">
      <c r="A235" s="380" t="s">
        <v>284</v>
      </c>
      <c r="B235" s="369" t="s">
        <v>2479</v>
      </c>
      <c r="C235" s="370">
        <v>0.136</v>
      </c>
      <c r="D235" s="370">
        <v>0.138</v>
      </c>
      <c r="E235" s="370">
        <v>0.145</v>
      </c>
      <c r="F235" s="370">
        <v>0.143</v>
      </c>
      <c r="G235" s="371">
        <v>0.141</v>
      </c>
    </row>
    <row r="236" spans="1:7">
      <c r="A236" s="380" t="s">
        <v>284</v>
      </c>
      <c r="B236" s="369" t="s">
        <v>2480</v>
      </c>
      <c r="C236" s="370">
        <v>0.15</v>
      </c>
      <c r="D236" s="370">
        <v>0.15</v>
      </c>
      <c r="E236" s="370">
        <v>0.15</v>
      </c>
      <c r="F236" s="370">
        <v>0.15</v>
      </c>
      <c r="G236" s="371">
        <v>0.15</v>
      </c>
    </row>
    <row r="237" spans="1:7">
      <c r="A237" s="380" t="s">
        <v>284</v>
      </c>
      <c r="B237" s="369" t="s">
        <v>2481</v>
      </c>
      <c r="C237" s="370">
        <v>0.15</v>
      </c>
      <c r="D237" s="370">
        <v>0.15</v>
      </c>
      <c r="E237" s="370">
        <v>0.15</v>
      </c>
      <c r="F237" s="370">
        <v>0.15</v>
      </c>
      <c r="G237" s="371">
        <v>0.15</v>
      </c>
    </row>
    <row r="238" spans="1:7">
      <c r="A238" s="380" t="s">
        <v>284</v>
      </c>
      <c r="B238" s="369" t="s">
        <v>2482</v>
      </c>
      <c r="C238" s="370">
        <v>0.149</v>
      </c>
      <c r="D238" s="370">
        <v>0.149</v>
      </c>
      <c r="E238" s="370">
        <v>0.15</v>
      </c>
      <c r="F238" s="370">
        <v>0.15</v>
      </c>
      <c r="G238" s="371">
        <v>0.15</v>
      </c>
    </row>
    <row r="239" spans="1:7">
      <c r="A239" s="380" t="s">
        <v>284</v>
      </c>
      <c r="B239" s="369" t="s">
        <v>2483</v>
      </c>
      <c r="C239" s="370">
        <v>0.15</v>
      </c>
      <c r="D239" s="370">
        <v>0.15</v>
      </c>
      <c r="E239" s="370">
        <v>0.15</v>
      </c>
      <c r="F239" s="370">
        <v>0.15</v>
      </c>
      <c r="G239" s="371">
        <v>0.15</v>
      </c>
    </row>
    <row r="240" spans="1:7">
      <c r="A240" s="380" t="s">
        <v>284</v>
      </c>
      <c r="B240" s="369" t="s">
        <v>2484</v>
      </c>
      <c r="C240" s="370">
        <v>0.15</v>
      </c>
      <c r="D240" s="370">
        <v>0.15</v>
      </c>
      <c r="E240" s="370">
        <v>0.15</v>
      </c>
      <c r="F240" s="370">
        <v>0.15</v>
      </c>
      <c r="G240" s="371">
        <v>0.15</v>
      </c>
    </row>
    <row r="241" spans="1:7">
      <c r="A241" s="380" t="s">
        <v>284</v>
      </c>
      <c r="B241" s="369" t="s">
        <v>2485</v>
      </c>
      <c r="C241" s="370">
        <v>0.141</v>
      </c>
      <c r="D241" s="370">
        <v>0.142</v>
      </c>
      <c r="E241" s="370">
        <v>0.149</v>
      </c>
      <c r="F241" s="370">
        <v>0.15</v>
      </c>
      <c r="G241" s="371">
        <v>0.144</v>
      </c>
    </row>
    <row r="242" spans="1:7">
      <c r="A242" s="380" t="s">
        <v>284</v>
      </c>
      <c r="B242" s="369" t="s">
        <v>2486</v>
      </c>
      <c r="C242" s="370">
        <v>0.141</v>
      </c>
      <c r="D242" s="370">
        <v>0.142</v>
      </c>
      <c r="E242" s="370">
        <v>0.148</v>
      </c>
      <c r="F242" s="370">
        <v>0.127</v>
      </c>
      <c r="G242" s="371">
        <v>0.144</v>
      </c>
    </row>
    <row r="243" spans="1:7">
      <c r="A243" s="380" t="s">
        <v>284</v>
      </c>
      <c r="B243" s="369" t="s">
        <v>2487</v>
      </c>
      <c r="C243" s="370">
        <v>0.147</v>
      </c>
      <c r="D243" s="370">
        <v>0.147</v>
      </c>
      <c r="E243" s="370">
        <v>0.15</v>
      </c>
      <c r="F243" s="370">
        <v>0.15</v>
      </c>
      <c r="G243" s="371">
        <v>0.149</v>
      </c>
    </row>
    <row r="244" spans="1:7">
      <c r="A244" s="380" t="s">
        <v>284</v>
      </c>
      <c r="B244" s="369" t="s">
        <v>2488</v>
      </c>
      <c r="C244" s="370">
        <v>0.15</v>
      </c>
      <c r="D244" s="370">
        <v>0.15</v>
      </c>
      <c r="E244" s="370">
        <v>0.15</v>
      </c>
      <c r="F244" s="370">
        <v>0.15</v>
      </c>
      <c r="G244" s="371">
        <v>0.15</v>
      </c>
    </row>
    <row r="245" spans="1:7">
      <c r="A245" s="380" t="s">
        <v>284</v>
      </c>
      <c r="B245" s="369" t="s">
        <v>2489</v>
      </c>
      <c r="C245" s="370">
        <v>0.142</v>
      </c>
      <c r="D245" s="370">
        <v>0.142</v>
      </c>
      <c r="E245" s="370">
        <v>0.15</v>
      </c>
      <c r="F245" s="370">
        <v>0.15</v>
      </c>
      <c r="G245" s="371">
        <v>0.145</v>
      </c>
    </row>
    <row r="246" spans="1:7">
      <c r="A246" s="380" t="s">
        <v>284</v>
      </c>
      <c r="B246" s="369" t="s">
        <v>2490</v>
      </c>
      <c r="C246" s="370">
        <v>0.142</v>
      </c>
      <c r="D246" s="370">
        <v>0.143</v>
      </c>
      <c r="E246" s="370">
        <v>0.15</v>
      </c>
      <c r="F246" s="370">
        <v>0.142</v>
      </c>
      <c r="G246" s="371">
        <v>0.144</v>
      </c>
    </row>
    <row r="247" spans="1:7">
      <c r="A247" s="380" t="s">
        <v>284</v>
      </c>
      <c r="B247" s="369" t="s">
        <v>2491</v>
      </c>
      <c r="C247" s="370">
        <v>0.149</v>
      </c>
      <c r="D247" s="370">
        <v>0.149</v>
      </c>
      <c r="E247" s="370">
        <v>0.15</v>
      </c>
      <c r="F247" s="370">
        <v>0.15</v>
      </c>
      <c r="G247" s="371">
        <v>0.15</v>
      </c>
    </row>
    <row r="248" spans="1:7">
      <c r="A248" s="380" t="s">
        <v>284</v>
      </c>
      <c r="B248" s="369" t="s">
        <v>2492</v>
      </c>
      <c r="C248" s="370">
        <v>0.144</v>
      </c>
      <c r="D248" s="370">
        <v>0.144</v>
      </c>
      <c r="E248" s="370">
        <v>0.149</v>
      </c>
      <c r="F248" s="370">
        <v>0.148</v>
      </c>
      <c r="G248" s="371">
        <v>0.146</v>
      </c>
    </row>
    <row r="249" spans="1:7">
      <c r="A249" s="380" t="s">
        <v>284</v>
      </c>
      <c r="B249" s="369" t="s">
        <v>2493</v>
      </c>
      <c r="C249" s="370">
        <v>0.14</v>
      </c>
      <c r="D249" s="370">
        <v>0.14</v>
      </c>
      <c r="E249" s="370">
        <v>0.147</v>
      </c>
      <c r="F249" s="370">
        <v>0.149</v>
      </c>
      <c r="G249" s="371">
        <v>0.142</v>
      </c>
    </row>
    <row r="250" spans="1:7">
      <c r="A250" s="380" t="s">
        <v>284</v>
      </c>
      <c r="B250" s="369" t="s">
        <v>2494</v>
      </c>
      <c r="C250" s="370">
        <v>0.144</v>
      </c>
      <c r="D250" s="370">
        <v>0.143</v>
      </c>
      <c r="E250" s="370">
        <v>0.149</v>
      </c>
      <c r="F250" s="370">
        <v>0.15</v>
      </c>
      <c r="G250" s="371">
        <v>0.146</v>
      </c>
    </row>
    <row r="251" spans="1:7">
      <c r="A251" s="380" t="s">
        <v>284</v>
      </c>
      <c r="B251" s="369" t="s">
        <v>2495</v>
      </c>
      <c r="C251" s="386"/>
      <c r="D251" s="381"/>
      <c r="E251" s="381"/>
      <c r="F251" s="370">
        <v>0.1</v>
      </c>
      <c r="G251" s="387"/>
    </row>
    <row r="252" spans="1:7">
      <c r="A252" s="380" t="s">
        <v>284</v>
      </c>
      <c r="B252" s="369" t="s">
        <v>2496</v>
      </c>
      <c r="C252" s="370">
        <v>0.144</v>
      </c>
      <c r="D252" s="370">
        <v>0.144</v>
      </c>
      <c r="E252" s="370">
        <v>0.15</v>
      </c>
      <c r="F252" s="370">
        <v>0.149</v>
      </c>
      <c r="G252" s="371">
        <v>0.146</v>
      </c>
    </row>
    <row r="253" spans="1:7">
      <c r="A253" s="380" t="s">
        <v>284</v>
      </c>
      <c r="B253" s="369" t="s">
        <v>2497</v>
      </c>
      <c r="C253" s="370">
        <v>0.142</v>
      </c>
      <c r="D253" s="370">
        <v>0.142</v>
      </c>
      <c r="E253" s="370">
        <v>0.146</v>
      </c>
      <c r="F253" s="370">
        <v>0.148</v>
      </c>
      <c r="G253" s="371">
        <v>0.145</v>
      </c>
    </row>
    <row r="254" spans="1:7">
      <c r="A254" s="380" t="s">
        <v>284</v>
      </c>
      <c r="B254" s="369" t="s">
        <v>2498</v>
      </c>
      <c r="C254" s="370">
        <v>0.15</v>
      </c>
      <c r="D254" s="370">
        <v>0.15</v>
      </c>
      <c r="E254" s="370">
        <v>0.15</v>
      </c>
      <c r="F254" s="370">
        <v>0.15</v>
      </c>
      <c r="G254" s="371">
        <v>0.15</v>
      </c>
    </row>
    <row r="255" spans="1:7">
      <c r="A255" s="380" t="s">
        <v>284</v>
      </c>
      <c r="B255" s="369" t="s">
        <v>2499</v>
      </c>
      <c r="C255" s="370">
        <v>0.143</v>
      </c>
      <c r="D255" s="370">
        <v>0.143</v>
      </c>
      <c r="E255" s="370">
        <v>0.15</v>
      </c>
      <c r="F255" s="370">
        <v>0.15</v>
      </c>
      <c r="G255" s="371">
        <v>0.145</v>
      </c>
    </row>
    <row r="256" spans="1:7">
      <c r="A256" s="380" t="s">
        <v>284</v>
      </c>
      <c r="B256" s="369" t="s">
        <v>2500</v>
      </c>
      <c r="C256" s="370">
        <v>0.15</v>
      </c>
      <c r="D256" s="370">
        <v>0.15</v>
      </c>
      <c r="E256" s="370">
        <v>0.15</v>
      </c>
      <c r="F256" s="370">
        <v>0.146</v>
      </c>
      <c r="G256" s="371">
        <v>0.15</v>
      </c>
    </row>
    <row r="257" spans="1:7">
      <c r="A257" s="380" t="s">
        <v>284</v>
      </c>
      <c r="B257" s="369" t="s">
        <v>2501</v>
      </c>
      <c r="C257" s="370">
        <v>0.142</v>
      </c>
      <c r="D257" s="370">
        <v>0.143</v>
      </c>
      <c r="E257" s="370">
        <v>0.148</v>
      </c>
      <c r="F257" s="370">
        <v>0.15</v>
      </c>
      <c r="G257" s="371">
        <v>0.145</v>
      </c>
    </row>
    <row r="258" spans="1:7">
      <c r="A258" s="380" t="s">
        <v>284</v>
      </c>
      <c r="B258" s="369" t="s">
        <v>2502</v>
      </c>
      <c r="C258" s="370">
        <v>0.143</v>
      </c>
      <c r="D258" s="370">
        <v>0.143</v>
      </c>
      <c r="E258" s="370">
        <v>0.15</v>
      </c>
      <c r="F258" s="370">
        <v>0.148</v>
      </c>
      <c r="G258" s="371">
        <v>0.146</v>
      </c>
    </row>
    <row r="259" spans="1:7">
      <c r="A259" s="380" t="s">
        <v>284</v>
      </c>
      <c r="B259" s="369" t="s">
        <v>2503</v>
      </c>
      <c r="C259" s="370">
        <v>0.144</v>
      </c>
      <c r="D259" s="370">
        <v>0.144</v>
      </c>
      <c r="E259" s="370">
        <v>0.149</v>
      </c>
      <c r="F259" s="370">
        <v>0.147</v>
      </c>
      <c r="G259" s="371">
        <v>0.146</v>
      </c>
    </row>
    <row r="260" spans="1:7">
      <c r="A260" s="380" t="s">
        <v>284</v>
      </c>
      <c r="B260" s="369" t="s">
        <v>2504</v>
      </c>
      <c r="C260" s="370">
        <v>0.109</v>
      </c>
      <c r="D260" s="370">
        <v>0.111</v>
      </c>
      <c r="E260" s="370">
        <v>0.131</v>
      </c>
      <c r="F260" s="370">
        <v>0.126</v>
      </c>
      <c r="G260" s="371">
        <v>0.119</v>
      </c>
    </row>
    <row r="261" spans="1:7">
      <c r="A261" s="380" t="s">
        <v>284</v>
      </c>
      <c r="B261" s="369" t="s">
        <v>2505</v>
      </c>
      <c r="C261" s="370">
        <v>0.1</v>
      </c>
      <c r="D261" s="370">
        <v>0.1</v>
      </c>
      <c r="E261" s="370">
        <v>0.118</v>
      </c>
      <c r="F261" s="370">
        <v>0.108</v>
      </c>
      <c r="G261" s="371">
        <v>0.107</v>
      </c>
    </row>
    <row r="262" spans="1:7">
      <c r="A262" s="380" t="s">
        <v>284</v>
      </c>
      <c r="B262" s="369" t="s">
        <v>2506</v>
      </c>
      <c r="C262" s="370">
        <v>0.1</v>
      </c>
      <c r="D262" s="370">
        <v>0.1</v>
      </c>
      <c r="E262" s="370">
        <v>0.1</v>
      </c>
      <c r="F262" s="370">
        <v>0.141</v>
      </c>
      <c r="G262" s="371">
        <v>0.1</v>
      </c>
    </row>
    <row r="263" spans="1:7">
      <c r="A263" s="380" t="s">
        <v>284</v>
      </c>
      <c r="B263" s="369" t="s">
        <v>2507</v>
      </c>
      <c r="C263" s="370">
        <v>0.148</v>
      </c>
      <c r="D263" s="370">
        <v>0.148</v>
      </c>
      <c r="E263" s="370">
        <v>0.15</v>
      </c>
      <c r="F263" s="370">
        <v>0.147</v>
      </c>
      <c r="G263" s="371">
        <v>0.15</v>
      </c>
    </row>
    <row r="264" spans="1:7">
      <c r="A264" s="380" t="s">
        <v>284</v>
      </c>
      <c r="B264" s="369" t="s">
        <v>2508</v>
      </c>
      <c r="C264" s="370">
        <v>0.143</v>
      </c>
      <c r="D264" s="370">
        <v>0.143</v>
      </c>
      <c r="E264" s="370">
        <v>0.15</v>
      </c>
      <c r="F264" s="370">
        <v>0.149</v>
      </c>
      <c r="G264" s="371">
        <v>0.146</v>
      </c>
    </row>
    <row r="265" spans="1:7">
      <c r="A265" s="380" t="s">
        <v>284</v>
      </c>
      <c r="B265" s="369" t="s">
        <v>2509</v>
      </c>
      <c r="C265" s="381"/>
      <c r="D265" s="381"/>
      <c r="E265" s="381"/>
      <c r="F265" s="370">
        <v>0.05</v>
      </c>
      <c r="G265" s="387"/>
    </row>
    <row r="266" spans="1:7">
      <c r="A266" s="380" t="s">
        <v>284</v>
      </c>
      <c r="B266" s="369" t="s">
        <v>2510</v>
      </c>
      <c r="C266" s="381"/>
      <c r="D266" s="381"/>
      <c r="E266" s="381"/>
      <c r="F266" s="370">
        <v>0.05</v>
      </c>
      <c r="G266" s="387"/>
    </row>
    <row r="267" spans="1:7">
      <c r="A267" s="380" t="s">
        <v>284</v>
      </c>
      <c r="B267" s="369" t="s">
        <v>2511</v>
      </c>
      <c r="C267" s="381"/>
      <c r="D267" s="381"/>
      <c r="E267" s="381"/>
      <c r="F267" s="370">
        <v>0.05</v>
      </c>
      <c r="G267" s="387"/>
    </row>
    <row r="268" spans="1:7">
      <c r="A268" s="380" t="s">
        <v>284</v>
      </c>
      <c r="B268" s="369" t="s">
        <v>2512</v>
      </c>
      <c r="C268" s="381"/>
      <c r="D268" s="381"/>
      <c r="E268" s="381"/>
      <c r="F268" s="370">
        <v>0.05</v>
      </c>
      <c r="G268" s="387"/>
    </row>
    <row r="269" spans="1:7">
      <c r="A269" s="380" t="s">
        <v>284</v>
      </c>
      <c r="B269" s="369" t="s">
        <v>2513</v>
      </c>
      <c r="C269" s="381"/>
      <c r="D269" s="381"/>
      <c r="E269" s="381"/>
      <c r="F269" s="370">
        <v>0.05</v>
      </c>
      <c r="G269" s="387"/>
    </row>
    <row r="270" spans="1:7">
      <c r="A270" s="380" t="s">
        <v>284</v>
      </c>
      <c r="B270" s="369" t="s">
        <v>2514</v>
      </c>
      <c r="C270" s="381"/>
      <c r="D270" s="381"/>
      <c r="E270" s="381"/>
      <c r="F270" s="370">
        <v>0.05</v>
      </c>
      <c r="G270" s="387"/>
    </row>
    <row r="271" spans="1:7">
      <c r="A271" s="380" t="s">
        <v>284</v>
      </c>
      <c r="B271" s="369" t="s">
        <v>2515</v>
      </c>
      <c r="C271" s="381"/>
      <c r="D271" s="381"/>
      <c r="E271" s="381"/>
      <c r="F271" s="370">
        <v>0.05</v>
      </c>
      <c r="G271" s="387"/>
    </row>
    <row r="272" spans="1:7">
      <c r="A272" s="380" t="s">
        <v>284</v>
      </c>
      <c r="B272" s="369" t="s">
        <v>2516</v>
      </c>
      <c r="C272" s="381"/>
      <c r="D272" s="381"/>
      <c r="E272" s="381"/>
      <c r="F272" s="370">
        <v>0.05</v>
      </c>
      <c r="G272" s="387"/>
    </row>
    <row r="273" spans="1:7">
      <c r="A273" s="380" t="s">
        <v>284</v>
      </c>
      <c r="B273" s="369" t="s">
        <v>2517</v>
      </c>
      <c r="C273" s="381"/>
      <c r="D273" s="381"/>
      <c r="E273" s="381"/>
      <c r="F273" s="370">
        <v>0.05</v>
      </c>
      <c r="G273" s="387"/>
    </row>
    <row r="274" spans="1:7">
      <c r="A274" s="380" t="s">
        <v>284</v>
      </c>
      <c r="B274" s="369" t="s">
        <v>2518</v>
      </c>
      <c r="C274" s="381"/>
      <c r="D274" s="381"/>
      <c r="E274" s="381"/>
      <c r="F274" s="370">
        <v>0.05</v>
      </c>
      <c r="G274" s="387"/>
    </row>
    <row r="275" spans="1:7">
      <c r="A275" s="380" t="s">
        <v>284</v>
      </c>
      <c r="B275" s="369" t="s">
        <v>2519</v>
      </c>
      <c r="C275" s="381"/>
      <c r="D275" s="381"/>
      <c r="E275" s="381"/>
      <c r="F275" s="370">
        <v>0.05</v>
      </c>
      <c r="G275" s="387"/>
    </row>
    <row r="276" ht="14.75" spans="1:7">
      <c r="A276" s="383" t="s">
        <v>284</v>
      </c>
      <c r="B276" s="373" t="s">
        <v>2520</v>
      </c>
      <c r="C276" s="375"/>
      <c r="D276" s="375"/>
      <c r="E276" s="375"/>
      <c r="F276" s="374">
        <v>0.05</v>
      </c>
      <c r="G276" s="388"/>
    </row>
    <row r="277" spans="1:7">
      <c r="A277" s="379" t="s">
        <v>288</v>
      </c>
      <c r="B277" s="365" t="s">
        <v>2521</v>
      </c>
      <c r="C277" s="366">
        <v>0.15</v>
      </c>
      <c r="D277" s="366">
        <v>0.15</v>
      </c>
      <c r="E277" s="366">
        <v>0.15</v>
      </c>
      <c r="F277" s="366">
        <v>0.15</v>
      </c>
      <c r="G277" s="367">
        <v>0.15</v>
      </c>
    </row>
    <row r="278" spans="1:7">
      <c r="A278" s="380" t="s">
        <v>288</v>
      </c>
      <c r="B278" s="369" t="s">
        <v>2522</v>
      </c>
      <c r="C278" s="370">
        <v>0.15</v>
      </c>
      <c r="D278" s="370">
        <v>0.15</v>
      </c>
      <c r="E278" s="370">
        <v>0.15</v>
      </c>
      <c r="F278" s="370">
        <v>0.15</v>
      </c>
      <c r="G278" s="371">
        <v>0.15</v>
      </c>
    </row>
    <row r="279" spans="1:7">
      <c r="A279" s="380" t="s">
        <v>288</v>
      </c>
      <c r="B279" s="369" t="s">
        <v>2523</v>
      </c>
      <c r="C279" s="370">
        <v>0.15</v>
      </c>
      <c r="D279" s="370">
        <v>0.15</v>
      </c>
      <c r="E279" s="370">
        <v>0.15</v>
      </c>
      <c r="F279" s="370">
        <v>0.15</v>
      </c>
      <c r="G279" s="371">
        <v>0.15</v>
      </c>
    </row>
    <row r="280" spans="1:7">
      <c r="A280" s="380" t="s">
        <v>288</v>
      </c>
      <c r="B280" s="369" t="s">
        <v>2524</v>
      </c>
      <c r="C280" s="370">
        <v>0.15</v>
      </c>
      <c r="D280" s="370">
        <v>0.15</v>
      </c>
      <c r="E280" s="370">
        <v>0.15</v>
      </c>
      <c r="F280" s="370">
        <v>0.15</v>
      </c>
      <c r="G280" s="371">
        <v>0.15</v>
      </c>
    </row>
    <row r="281" spans="1:7">
      <c r="A281" s="380" t="s">
        <v>288</v>
      </c>
      <c r="B281" s="369" t="s">
        <v>2525</v>
      </c>
      <c r="C281" s="370">
        <v>0.15</v>
      </c>
      <c r="D281" s="370">
        <v>0.15</v>
      </c>
      <c r="E281" s="370">
        <v>0.15</v>
      </c>
      <c r="F281" s="370">
        <v>0.15</v>
      </c>
      <c r="G281" s="371">
        <v>0.15</v>
      </c>
    </row>
    <row r="282" spans="1:7">
      <c r="A282" s="380" t="s">
        <v>288</v>
      </c>
      <c r="B282" s="369" t="s">
        <v>2526</v>
      </c>
      <c r="C282" s="370">
        <v>0.15</v>
      </c>
      <c r="D282" s="370">
        <v>0.15</v>
      </c>
      <c r="E282" s="370">
        <v>0.15</v>
      </c>
      <c r="F282" s="370">
        <v>0.145</v>
      </c>
      <c r="G282" s="371">
        <v>0.15</v>
      </c>
    </row>
    <row r="283" spans="1:7">
      <c r="A283" s="380" t="s">
        <v>288</v>
      </c>
      <c r="B283" s="369" t="s">
        <v>2527</v>
      </c>
      <c r="C283" s="370">
        <v>0.15</v>
      </c>
      <c r="D283" s="370">
        <v>0.15</v>
      </c>
      <c r="E283" s="370">
        <v>0.15</v>
      </c>
      <c r="F283" s="370">
        <v>0.142</v>
      </c>
      <c r="G283" s="371">
        <v>0.15</v>
      </c>
    </row>
    <row r="284" spans="1:7">
      <c r="A284" s="380" t="s">
        <v>288</v>
      </c>
      <c r="B284" s="369" t="s">
        <v>2528</v>
      </c>
      <c r="C284" s="370">
        <v>0.15</v>
      </c>
      <c r="D284" s="370">
        <v>0.15</v>
      </c>
      <c r="E284" s="370">
        <v>0.15</v>
      </c>
      <c r="F284" s="370">
        <v>0.15</v>
      </c>
      <c r="G284" s="371">
        <v>0.15</v>
      </c>
    </row>
    <row r="285" spans="1:7">
      <c r="A285" s="380" t="s">
        <v>288</v>
      </c>
      <c r="B285" s="369" t="s">
        <v>2529</v>
      </c>
      <c r="C285" s="370">
        <v>0.15</v>
      </c>
      <c r="D285" s="370">
        <v>0.15</v>
      </c>
      <c r="E285" s="370">
        <v>0.15</v>
      </c>
      <c r="F285" s="370">
        <v>0.15</v>
      </c>
      <c r="G285" s="371">
        <v>0.15</v>
      </c>
    </row>
    <row r="286" spans="1:7">
      <c r="A286" s="380" t="s">
        <v>288</v>
      </c>
      <c r="B286" s="369" t="s">
        <v>2530</v>
      </c>
      <c r="C286" s="370">
        <v>0.145</v>
      </c>
      <c r="D286" s="370">
        <v>0.145</v>
      </c>
      <c r="E286" s="370">
        <v>0.15</v>
      </c>
      <c r="F286" s="370">
        <v>0.141</v>
      </c>
      <c r="G286" s="371">
        <v>0.145</v>
      </c>
    </row>
    <row r="287" spans="1:7">
      <c r="A287" s="380" t="s">
        <v>288</v>
      </c>
      <c r="B287" s="369" t="s">
        <v>2531</v>
      </c>
      <c r="C287" s="370">
        <v>0.11</v>
      </c>
      <c r="D287" s="370">
        <v>0.111</v>
      </c>
      <c r="E287" s="370">
        <v>0.141</v>
      </c>
      <c r="F287" s="370">
        <v>0.11</v>
      </c>
      <c r="G287" s="371">
        <v>0.12</v>
      </c>
    </row>
    <row r="288" spans="1:7">
      <c r="A288" s="380" t="s">
        <v>288</v>
      </c>
      <c r="B288" s="369" t="s">
        <v>2532</v>
      </c>
      <c r="C288" s="370">
        <v>0.142</v>
      </c>
      <c r="D288" s="370">
        <v>0.143</v>
      </c>
      <c r="E288" s="370">
        <v>0.15</v>
      </c>
      <c r="F288" s="370">
        <v>0.142</v>
      </c>
      <c r="G288" s="371">
        <v>0.144</v>
      </c>
    </row>
    <row r="289" spans="1:7">
      <c r="A289" s="380" t="s">
        <v>288</v>
      </c>
      <c r="B289" s="369" t="s">
        <v>2533</v>
      </c>
      <c r="C289" s="370">
        <v>0.143</v>
      </c>
      <c r="D289" s="370">
        <v>0.143</v>
      </c>
      <c r="E289" s="370">
        <v>0.148</v>
      </c>
      <c r="F289" s="370">
        <v>0.144</v>
      </c>
      <c r="G289" s="371">
        <v>0.144</v>
      </c>
    </row>
    <row r="290" spans="1:7">
      <c r="A290" s="380" t="s">
        <v>288</v>
      </c>
      <c r="B290" s="369" t="s">
        <v>2534</v>
      </c>
      <c r="C290" s="370">
        <v>0.148</v>
      </c>
      <c r="D290" s="370">
        <v>0.149</v>
      </c>
      <c r="E290" s="370">
        <v>0.15</v>
      </c>
      <c r="F290" s="370">
        <v>0.127</v>
      </c>
      <c r="G290" s="371">
        <v>0.15</v>
      </c>
    </row>
    <row r="291" spans="1:7">
      <c r="A291" s="380" t="s">
        <v>288</v>
      </c>
      <c r="B291" s="369" t="s">
        <v>2535</v>
      </c>
      <c r="C291" s="370">
        <v>0.15</v>
      </c>
      <c r="D291" s="370">
        <v>0.15</v>
      </c>
      <c r="E291" s="370">
        <v>0.15</v>
      </c>
      <c r="F291" s="370">
        <v>0.149</v>
      </c>
      <c r="G291" s="371">
        <v>0.15</v>
      </c>
    </row>
    <row r="292" spans="1:7">
      <c r="A292" s="380" t="s">
        <v>288</v>
      </c>
      <c r="B292" s="369" t="s">
        <v>2536</v>
      </c>
      <c r="C292" s="370">
        <v>0.15</v>
      </c>
      <c r="D292" s="370">
        <v>0.15</v>
      </c>
      <c r="E292" s="370">
        <v>0.15</v>
      </c>
      <c r="F292" s="370">
        <v>0.144</v>
      </c>
      <c r="G292" s="371">
        <v>0.15</v>
      </c>
    </row>
    <row r="293" spans="1:7">
      <c r="A293" s="380" t="s">
        <v>288</v>
      </c>
      <c r="B293" s="369" t="s">
        <v>2537</v>
      </c>
      <c r="C293" s="370">
        <v>0.15</v>
      </c>
      <c r="D293" s="370">
        <v>0.15</v>
      </c>
      <c r="E293" s="370">
        <v>0.15</v>
      </c>
      <c r="F293" s="370">
        <v>0.145</v>
      </c>
      <c r="G293" s="371">
        <v>0.15</v>
      </c>
    </row>
    <row r="294" spans="1:7">
      <c r="A294" s="380" t="s">
        <v>288</v>
      </c>
      <c r="B294" s="369" t="s">
        <v>2538</v>
      </c>
      <c r="C294" s="370">
        <v>0.15</v>
      </c>
      <c r="D294" s="370">
        <v>0.15</v>
      </c>
      <c r="E294" s="370">
        <v>0.15</v>
      </c>
      <c r="F294" s="370">
        <v>0.149</v>
      </c>
      <c r="G294" s="371">
        <v>0.15</v>
      </c>
    </row>
    <row r="295" spans="1:7">
      <c r="A295" s="380" t="s">
        <v>288</v>
      </c>
      <c r="B295" s="369" t="s">
        <v>2539</v>
      </c>
      <c r="C295" s="370">
        <v>0.15</v>
      </c>
      <c r="D295" s="370">
        <v>0.15</v>
      </c>
      <c r="E295" s="370">
        <v>0.15</v>
      </c>
      <c r="F295" s="370">
        <v>0.148</v>
      </c>
      <c r="G295" s="371">
        <v>0.15</v>
      </c>
    </row>
    <row r="296" spans="1:7">
      <c r="A296" s="380" t="s">
        <v>288</v>
      </c>
      <c r="B296" s="369" t="s">
        <v>2540</v>
      </c>
      <c r="C296" s="370">
        <v>0.15</v>
      </c>
      <c r="D296" s="370">
        <v>0.15</v>
      </c>
      <c r="E296" s="370">
        <v>0.15</v>
      </c>
      <c r="F296" s="370">
        <v>0.144</v>
      </c>
      <c r="G296" s="371">
        <v>0.15</v>
      </c>
    </row>
    <row r="297" spans="1:7">
      <c r="A297" s="380" t="s">
        <v>288</v>
      </c>
      <c r="B297" s="369" t="s">
        <v>2541</v>
      </c>
      <c r="C297" s="370">
        <v>0.15</v>
      </c>
      <c r="D297" s="370">
        <v>0.15</v>
      </c>
      <c r="E297" s="370">
        <v>0.15</v>
      </c>
      <c r="F297" s="370">
        <v>0.145</v>
      </c>
      <c r="G297" s="371">
        <v>0.15</v>
      </c>
    </row>
    <row r="298" spans="1:7">
      <c r="A298" s="380" t="s">
        <v>288</v>
      </c>
      <c r="B298" s="369" t="s">
        <v>2542</v>
      </c>
      <c r="C298" s="370">
        <v>0.15</v>
      </c>
      <c r="D298" s="370">
        <v>0.15</v>
      </c>
      <c r="E298" s="370">
        <v>0.15</v>
      </c>
      <c r="F298" s="370">
        <v>0.15</v>
      </c>
      <c r="G298" s="371">
        <v>0.15</v>
      </c>
    </row>
    <row r="299" spans="1:7">
      <c r="A299" s="380" t="s">
        <v>288</v>
      </c>
      <c r="B299" s="389" t="s">
        <v>2543</v>
      </c>
      <c r="C299" s="370">
        <v>0.15</v>
      </c>
      <c r="D299" s="370">
        <v>0.15</v>
      </c>
      <c r="E299" s="370">
        <v>0.15</v>
      </c>
      <c r="F299" s="370">
        <v>0.145</v>
      </c>
      <c r="G299" s="371">
        <v>0.15</v>
      </c>
    </row>
    <row r="300" spans="1:7">
      <c r="A300" s="380" t="s">
        <v>288</v>
      </c>
      <c r="B300" s="389" t="s">
        <v>2544</v>
      </c>
      <c r="C300" s="370">
        <v>0.15</v>
      </c>
      <c r="D300" s="370">
        <v>0.15</v>
      </c>
      <c r="E300" s="370">
        <v>0.15</v>
      </c>
      <c r="F300" s="370">
        <v>0.146</v>
      </c>
      <c r="G300" s="371">
        <v>0.15</v>
      </c>
    </row>
    <row r="301" spans="1:7">
      <c r="A301" s="380" t="s">
        <v>288</v>
      </c>
      <c r="B301" s="389" t="s">
        <v>2545</v>
      </c>
      <c r="C301" s="370">
        <v>0.126</v>
      </c>
      <c r="D301" s="370">
        <v>0.124</v>
      </c>
      <c r="E301" s="370">
        <v>0.141</v>
      </c>
      <c r="F301" s="370">
        <v>0.144</v>
      </c>
      <c r="G301" s="371">
        <v>0.13</v>
      </c>
    </row>
    <row r="302" spans="1:7">
      <c r="A302" s="380" t="s">
        <v>288</v>
      </c>
      <c r="B302" s="369" t="s">
        <v>2546</v>
      </c>
      <c r="C302" s="370">
        <v>0.15</v>
      </c>
      <c r="D302" s="370">
        <v>0.15</v>
      </c>
      <c r="E302" s="370">
        <v>0.15</v>
      </c>
      <c r="F302" s="370">
        <v>0.147</v>
      </c>
      <c r="G302" s="371">
        <v>0.15</v>
      </c>
    </row>
    <row r="303" spans="1:7">
      <c r="A303" s="380" t="s">
        <v>288</v>
      </c>
      <c r="B303" s="369" t="s">
        <v>2547</v>
      </c>
      <c r="C303" s="370">
        <v>0.15</v>
      </c>
      <c r="D303" s="370">
        <v>0.15</v>
      </c>
      <c r="E303" s="370">
        <v>0.15</v>
      </c>
      <c r="F303" s="370">
        <v>0.142</v>
      </c>
      <c r="G303" s="371">
        <v>0.15</v>
      </c>
    </row>
    <row r="304" spans="1:7">
      <c r="A304" s="380" t="s">
        <v>288</v>
      </c>
      <c r="B304" s="369" t="s">
        <v>2548</v>
      </c>
      <c r="C304" s="370">
        <v>0.15</v>
      </c>
      <c r="D304" s="370">
        <v>0.15</v>
      </c>
      <c r="E304" s="370">
        <v>0.15</v>
      </c>
      <c r="F304" s="370">
        <v>0.145</v>
      </c>
      <c r="G304" s="371">
        <v>0.15</v>
      </c>
    </row>
    <row r="305" spans="1:7">
      <c r="A305" s="380" t="s">
        <v>288</v>
      </c>
      <c r="B305" s="369" t="s">
        <v>2549</v>
      </c>
      <c r="C305" s="370">
        <v>0.15</v>
      </c>
      <c r="D305" s="370">
        <v>0.15</v>
      </c>
      <c r="E305" s="370">
        <v>0.15</v>
      </c>
      <c r="F305" s="370">
        <v>0.111</v>
      </c>
      <c r="G305" s="371">
        <v>0.15</v>
      </c>
    </row>
    <row r="306" spans="1:7">
      <c r="A306" s="380" t="s">
        <v>288</v>
      </c>
      <c r="B306" s="369" t="s">
        <v>2550</v>
      </c>
      <c r="C306" s="370">
        <v>0.15</v>
      </c>
      <c r="D306" s="370">
        <v>0.15</v>
      </c>
      <c r="E306" s="370">
        <v>0.15</v>
      </c>
      <c r="F306" s="370">
        <v>0.126</v>
      </c>
      <c r="G306" s="371">
        <v>0.15</v>
      </c>
    </row>
    <row r="307" spans="1:7">
      <c r="A307" s="380" t="s">
        <v>288</v>
      </c>
      <c r="B307" s="369" t="s">
        <v>2551</v>
      </c>
      <c r="C307" s="370">
        <v>0.15</v>
      </c>
      <c r="D307" s="370">
        <v>0.15</v>
      </c>
      <c r="E307" s="370">
        <v>0.15</v>
      </c>
      <c r="F307" s="370">
        <v>0.12</v>
      </c>
      <c r="G307" s="371">
        <v>0.15</v>
      </c>
    </row>
    <row r="308" spans="1:7">
      <c r="A308" s="380" t="s">
        <v>288</v>
      </c>
      <c r="B308" s="369" t="s">
        <v>2552</v>
      </c>
      <c r="C308" s="370">
        <v>0.15</v>
      </c>
      <c r="D308" s="370">
        <v>0.15</v>
      </c>
      <c r="E308" s="370">
        <v>0.15</v>
      </c>
      <c r="F308" s="370">
        <v>0.13</v>
      </c>
      <c r="G308" s="371">
        <v>0.15</v>
      </c>
    </row>
    <row r="309" spans="1:7">
      <c r="A309" s="380" t="s">
        <v>288</v>
      </c>
      <c r="B309" s="369" t="s">
        <v>2553</v>
      </c>
      <c r="C309" s="370">
        <v>0.15</v>
      </c>
      <c r="D309" s="370">
        <v>0.15</v>
      </c>
      <c r="E309" s="370">
        <v>0.15</v>
      </c>
      <c r="F309" s="370">
        <v>0.141</v>
      </c>
      <c r="G309" s="371">
        <v>0.15</v>
      </c>
    </row>
    <row r="310" spans="1:7">
      <c r="A310" s="380" t="s">
        <v>288</v>
      </c>
      <c r="B310" s="369" t="s">
        <v>2554</v>
      </c>
      <c r="C310" s="370">
        <v>0.15</v>
      </c>
      <c r="D310" s="370">
        <v>0.15</v>
      </c>
      <c r="E310" s="370">
        <v>0.15</v>
      </c>
      <c r="F310" s="370">
        <v>0.15</v>
      </c>
      <c r="G310" s="371">
        <v>0.15</v>
      </c>
    </row>
    <row r="311" spans="1:7">
      <c r="A311" s="380" t="s">
        <v>288</v>
      </c>
      <c r="B311" s="369" t="s">
        <v>2555</v>
      </c>
      <c r="C311" s="370">
        <v>0.132</v>
      </c>
      <c r="D311" s="370">
        <v>0.133</v>
      </c>
      <c r="E311" s="370">
        <v>0.145</v>
      </c>
      <c r="F311" s="370">
        <v>0.142</v>
      </c>
      <c r="G311" s="371">
        <v>0.14</v>
      </c>
    </row>
    <row r="312" spans="1:7">
      <c r="A312" s="380" t="s">
        <v>288</v>
      </c>
      <c r="B312" s="369" t="s">
        <v>2556</v>
      </c>
      <c r="C312" s="370">
        <v>0.138</v>
      </c>
      <c r="D312" s="370">
        <v>0.14</v>
      </c>
      <c r="E312" s="370">
        <v>0.146</v>
      </c>
      <c r="F312" s="370">
        <v>0.149</v>
      </c>
      <c r="G312" s="371">
        <v>0.142</v>
      </c>
    </row>
    <row r="313" spans="1:7">
      <c r="A313" s="380" t="s">
        <v>288</v>
      </c>
      <c r="B313" s="369" t="s">
        <v>2557</v>
      </c>
      <c r="C313" s="370">
        <v>0.125</v>
      </c>
      <c r="D313" s="370">
        <v>0.127</v>
      </c>
      <c r="E313" s="370">
        <v>0.144</v>
      </c>
      <c r="F313" s="370">
        <v>0.115</v>
      </c>
      <c r="G313" s="371">
        <v>0.136</v>
      </c>
    </row>
    <row r="314" spans="1:7">
      <c r="A314" s="380" t="s">
        <v>288</v>
      </c>
      <c r="B314" s="369" t="s">
        <v>2558</v>
      </c>
      <c r="C314" s="386"/>
      <c r="D314" s="386"/>
      <c r="E314" s="386"/>
      <c r="F314" s="370">
        <v>0.05</v>
      </c>
      <c r="G314" s="387"/>
    </row>
    <row r="315" spans="1:7">
      <c r="A315" s="380" t="s">
        <v>288</v>
      </c>
      <c r="B315" s="369" t="s">
        <v>2559</v>
      </c>
      <c r="C315" s="386"/>
      <c r="D315" s="386"/>
      <c r="E315" s="386"/>
      <c r="F315" s="370">
        <v>0.05</v>
      </c>
      <c r="G315" s="387"/>
    </row>
    <row r="316" spans="1:7">
      <c r="A316" s="380" t="s">
        <v>288</v>
      </c>
      <c r="B316" s="369" t="s">
        <v>2560</v>
      </c>
      <c r="C316" s="381"/>
      <c r="D316" s="381"/>
      <c r="E316" s="381"/>
      <c r="F316" s="370">
        <v>0.05</v>
      </c>
      <c r="G316" s="387"/>
    </row>
    <row r="317" spans="1:7">
      <c r="A317" s="380" t="s">
        <v>288</v>
      </c>
      <c r="B317" s="369" t="s">
        <v>2561</v>
      </c>
      <c r="C317" s="381"/>
      <c r="D317" s="381"/>
      <c r="E317" s="381"/>
      <c r="F317" s="370">
        <v>0.05</v>
      </c>
      <c r="G317" s="387"/>
    </row>
    <row r="318" spans="1:7">
      <c r="A318" s="380" t="s">
        <v>288</v>
      </c>
      <c r="B318" s="369" t="s">
        <v>2562</v>
      </c>
      <c r="C318" s="381"/>
      <c r="D318" s="381"/>
      <c r="E318" s="381"/>
      <c r="F318" s="370">
        <v>0.05</v>
      </c>
      <c r="G318" s="387"/>
    </row>
    <row r="319" spans="1:7">
      <c r="A319" s="380" t="s">
        <v>288</v>
      </c>
      <c r="B319" s="369" t="s">
        <v>2563</v>
      </c>
      <c r="C319" s="381"/>
      <c r="D319" s="381"/>
      <c r="E319" s="381"/>
      <c r="F319" s="370">
        <v>0.05</v>
      </c>
      <c r="G319" s="387"/>
    </row>
    <row r="320" spans="1:7">
      <c r="A320" s="380" t="s">
        <v>288</v>
      </c>
      <c r="B320" s="369" t="s">
        <v>2564</v>
      </c>
      <c r="C320" s="381"/>
      <c r="D320" s="381"/>
      <c r="E320" s="381"/>
      <c r="F320" s="370">
        <v>0.05</v>
      </c>
      <c r="G320" s="387"/>
    </row>
    <row r="321" spans="1:7">
      <c r="A321" s="380" t="s">
        <v>288</v>
      </c>
      <c r="B321" s="369" t="s">
        <v>2565</v>
      </c>
      <c r="C321" s="381"/>
      <c r="D321" s="381"/>
      <c r="E321" s="381"/>
      <c r="F321" s="370">
        <v>0.05</v>
      </c>
      <c r="G321" s="387"/>
    </row>
    <row r="322" spans="1:7">
      <c r="A322" s="380" t="s">
        <v>288</v>
      </c>
      <c r="B322" s="369" t="s">
        <v>2566</v>
      </c>
      <c r="C322" s="381"/>
      <c r="D322" s="381"/>
      <c r="E322" s="381"/>
      <c r="F322" s="370">
        <v>0.05</v>
      </c>
      <c r="G322" s="387"/>
    </row>
    <row r="323" spans="1:7">
      <c r="A323" s="380" t="s">
        <v>288</v>
      </c>
      <c r="B323" s="369" t="s">
        <v>2567</v>
      </c>
      <c r="C323" s="381"/>
      <c r="D323" s="381"/>
      <c r="E323" s="381"/>
      <c r="F323" s="370">
        <v>0.05</v>
      </c>
      <c r="G323" s="387"/>
    </row>
    <row r="324" spans="1:7">
      <c r="A324" s="380" t="s">
        <v>288</v>
      </c>
      <c r="B324" s="369" t="s">
        <v>2568</v>
      </c>
      <c r="C324" s="381"/>
      <c r="D324" s="381"/>
      <c r="E324" s="381"/>
      <c r="F324" s="370">
        <v>0.05</v>
      </c>
      <c r="G324" s="387"/>
    </row>
    <row r="325" spans="1:7">
      <c r="A325" s="380" t="s">
        <v>288</v>
      </c>
      <c r="B325" s="369" t="s">
        <v>2569</v>
      </c>
      <c r="C325" s="381"/>
      <c r="D325" s="381"/>
      <c r="E325" s="381"/>
      <c r="F325" s="370">
        <v>0.05</v>
      </c>
      <c r="G325" s="387"/>
    </row>
    <row r="326" ht="14.75" spans="1:7">
      <c r="A326" s="383" t="s">
        <v>288</v>
      </c>
      <c r="B326" s="373" t="s">
        <v>2570</v>
      </c>
      <c r="C326" s="375"/>
      <c r="D326" s="375"/>
      <c r="E326" s="375"/>
      <c r="F326" s="374">
        <v>0.05</v>
      </c>
      <c r="G326" s="388"/>
    </row>
    <row r="327" spans="1:7">
      <c r="A327" s="379" t="s">
        <v>292</v>
      </c>
      <c r="B327" s="365" t="s">
        <v>2571</v>
      </c>
      <c r="C327" s="366">
        <v>0.15</v>
      </c>
      <c r="D327" s="366">
        <v>0.15</v>
      </c>
      <c r="E327" s="366">
        <v>0.15</v>
      </c>
      <c r="F327" s="366">
        <v>0.15</v>
      </c>
      <c r="G327" s="367">
        <v>0.15</v>
      </c>
    </row>
    <row r="328" spans="1:7">
      <c r="A328" s="380" t="s">
        <v>292</v>
      </c>
      <c r="B328" s="369" t="s">
        <v>2572</v>
      </c>
      <c r="C328" s="370">
        <v>0.15</v>
      </c>
      <c r="D328" s="370">
        <v>0.15</v>
      </c>
      <c r="E328" s="370">
        <v>0.15</v>
      </c>
      <c r="F328" s="370">
        <v>0.126</v>
      </c>
      <c r="G328" s="371">
        <v>0.15</v>
      </c>
    </row>
    <row r="329" spans="1:7">
      <c r="A329" s="380" t="s">
        <v>292</v>
      </c>
      <c r="B329" s="369" t="s">
        <v>2573</v>
      </c>
      <c r="C329" s="370">
        <v>0.15</v>
      </c>
      <c r="D329" s="370">
        <v>0.15</v>
      </c>
      <c r="E329" s="370">
        <v>0.15</v>
      </c>
      <c r="F329" s="370">
        <v>0.15</v>
      </c>
      <c r="G329" s="371">
        <v>0.15</v>
      </c>
    </row>
    <row r="330" spans="1:7">
      <c r="A330" s="380" t="s">
        <v>292</v>
      </c>
      <c r="B330" s="369" t="s">
        <v>2574</v>
      </c>
      <c r="C330" s="370">
        <v>0.15</v>
      </c>
      <c r="D330" s="370">
        <v>0.15</v>
      </c>
      <c r="E330" s="370">
        <v>0.15</v>
      </c>
      <c r="F330" s="370">
        <v>0.15</v>
      </c>
      <c r="G330" s="371">
        <v>0.15</v>
      </c>
    </row>
    <row r="331" spans="1:7">
      <c r="A331" s="380" t="s">
        <v>292</v>
      </c>
      <c r="B331" s="369" t="s">
        <v>2575</v>
      </c>
      <c r="C331" s="370">
        <v>0.15</v>
      </c>
      <c r="D331" s="370">
        <v>0.15</v>
      </c>
      <c r="E331" s="370">
        <v>0.15</v>
      </c>
      <c r="F331" s="370">
        <v>0.15</v>
      </c>
      <c r="G331" s="371">
        <v>0.15</v>
      </c>
    </row>
    <row r="332" spans="1:7">
      <c r="A332" s="380" t="s">
        <v>292</v>
      </c>
      <c r="B332" s="369" t="s">
        <v>2576</v>
      </c>
      <c r="C332" s="370">
        <v>0.15</v>
      </c>
      <c r="D332" s="370">
        <v>0.15</v>
      </c>
      <c r="E332" s="370">
        <v>0.15</v>
      </c>
      <c r="F332" s="370">
        <v>0.15</v>
      </c>
      <c r="G332" s="371">
        <v>0.15</v>
      </c>
    </row>
    <row r="333" spans="1:7">
      <c r="A333" s="380" t="s">
        <v>292</v>
      </c>
      <c r="B333" s="369" t="s">
        <v>2577</v>
      </c>
      <c r="C333" s="370">
        <v>0.149</v>
      </c>
      <c r="D333" s="370">
        <v>0.149</v>
      </c>
      <c r="E333" s="370">
        <v>0.15</v>
      </c>
      <c r="F333" s="370">
        <v>0.116</v>
      </c>
      <c r="G333" s="371">
        <v>0.15</v>
      </c>
    </row>
    <row r="334" spans="1:7">
      <c r="A334" s="380" t="s">
        <v>292</v>
      </c>
      <c r="B334" s="369" t="s">
        <v>2578</v>
      </c>
      <c r="C334" s="370">
        <v>0.15</v>
      </c>
      <c r="D334" s="370">
        <v>0.15</v>
      </c>
      <c r="E334" s="370">
        <v>0.15</v>
      </c>
      <c r="F334" s="370">
        <v>0.13</v>
      </c>
      <c r="G334" s="371">
        <v>0.15</v>
      </c>
    </row>
    <row r="335" spans="1:7">
      <c r="A335" s="380" t="s">
        <v>292</v>
      </c>
      <c r="B335" s="369" t="s">
        <v>2579</v>
      </c>
      <c r="C335" s="370">
        <v>0.15</v>
      </c>
      <c r="D335" s="370">
        <v>0.15</v>
      </c>
      <c r="E335" s="370">
        <v>0.15</v>
      </c>
      <c r="F335" s="370">
        <v>0.144</v>
      </c>
      <c r="G335" s="371">
        <v>0.15</v>
      </c>
    </row>
    <row r="336" spans="1:7">
      <c r="A336" s="380" t="s">
        <v>292</v>
      </c>
      <c r="B336" s="369" t="s">
        <v>2580</v>
      </c>
      <c r="C336" s="370">
        <v>0.15</v>
      </c>
      <c r="D336" s="370">
        <v>0.15</v>
      </c>
      <c r="E336" s="370">
        <v>0.15</v>
      </c>
      <c r="F336" s="370">
        <v>0.142</v>
      </c>
      <c r="G336" s="371">
        <v>0.15</v>
      </c>
    </row>
    <row r="337" spans="1:7">
      <c r="A337" s="380" t="s">
        <v>292</v>
      </c>
      <c r="B337" s="369" t="s">
        <v>2581</v>
      </c>
      <c r="C337" s="370">
        <v>0.15</v>
      </c>
      <c r="D337" s="370">
        <v>0.15</v>
      </c>
      <c r="E337" s="370">
        <v>0.15</v>
      </c>
      <c r="F337" s="370">
        <v>0.145</v>
      </c>
      <c r="G337" s="371">
        <v>0.15</v>
      </c>
    </row>
    <row r="338" spans="1:7">
      <c r="A338" s="380" t="s">
        <v>292</v>
      </c>
      <c r="B338" s="369" t="s">
        <v>2582</v>
      </c>
      <c r="C338" s="370">
        <v>0.15</v>
      </c>
      <c r="D338" s="370">
        <v>0.15</v>
      </c>
      <c r="E338" s="370">
        <v>0.15</v>
      </c>
      <c r="F338" s="370">
        <v>0.15</v>
      </c>
      <c r="G338" s="371">
        <v>0.15</v>
      </c>
    </row>
    <row r="339" spans="1:7">
      <c r="A339" s="380" t="s">
        <v>292</v>
      </c>
      <c r="B339" s="369" t="s">
        <v>2583</v>
      </c>
      <c r="C339" s="370">
        <v>0.15</v>
      </c>
      <c r="D339" s="370">
        <v>0.15</v>
      </c>
      <c r="E339" s="370">
        <v>0.15</v>
      </c>
      <c r="F339" s="370">
        <v>0.147</v>
      </c>
      <c r="G339" s="371">
        <v>0.15</v>
      </c>
    </row>
    <row r="340" spans="1:7">
      <c r="A340" s="380" t="s">
        <v>292</v>
      </c>
      <c r="B340" s="369" t="s">
        <v>2584</v>
      </c>
      <c r="C340" s="370">
        <v>0.146</v>
      </c>
      <c r="D340" s="370">
        <v>0.146</v>
      </c>
      <c r="E340" s="370">
        <v>0.15</v>
      </c>
      <c r="F340" s="370">
        <v>0.141</v>
      </c>
      <c r="G340" s="371">
        <v>0.147</v>
      </c>
    </row>
    <row r="341" spans="1:7">
      <c r="A341" s="380" t="s">
        <v>292</v>
      </c>
      <c r="B341" s="369" t="s">
        <v>2585</v>
      </c>
      <c r="C341" s="370">
        <v>0.126</v>
      </c>
      <c r="D341" s="370">
        <v>0.124</v>
      </c>
      <c r="E341" s="370">
        <v>0.141</v>
      </c>
      <c r="F341" s="370">
        <v>0.144</v>
      </c>
      <c r="G341" s="371">
        <v>0.13</v>
      </c>
    </row>
    <row r="342" spans="1:7">
      <c r="A342" s="380" t="s">
        <v>292</v>
      </c>
      <c r="B342" s="369" t="s">
        <v>2586</v>
      </c>
      <c r="C342" s="370">
        <v>0.15</v>
      </c>
      <c r="D342" s="370">
        <v>0.15</v>
      </c>
      <c r="E342" s="370">
        <v>0.15</v>
      </c>
      <c r="F342" s="370">
        <v>0.144</v>
      </c>
      <c r="G342" s="371">
        <v>0.15</v>
      </c>
    </row>
    <row r="343" spans="1:7">
      <c r="A343" s="380" t="s">
        <v>292</v>
      </c>
      <c r="B343" s="369" t="s">
        <v>2587</v>
      </c>
      <c r="C343" s="370">
        <v>0.15</v>
      </c>
      <c r="D343" s="370">
        <v>0.15</v>
      </c>
      <c r="E343" s="370">
        <v>0.15</v>
      </c>
      <c r="F343" s="370">
        <v>0.128</v>
      </c>
      <c r="G343" s="371">
        <v>0.15</v>
      </c>
    </row>
    <row r="344" spans="1:7">
      <c r="A344" s="380" t="s">
        <v>292</v>
      </c>
      <c r="B344" s="369" t="s">
        <v>2588</v>
      </c>
      <c r="C344" s="370">
        <v>0.15</v>
      </c>
      <c r="D344" s="370">
        <v>0.15</v>
      </c>
      <c r="E344" s="370">
        <v>0.15</v>
      </c>
      <c r="F344" s="370">
        <v>0.148</v>
      </c>
      <c r="G344" s="371">
        <v>0.15</v>
      </c>
    </row>
    <row r="345" spans="1:7">
      <c r="A345" s="380" t="s">
        <v>292</v>
      </c>
      <c r="B345" s="369" t="s">
        <v>2589</v>
      </c>
      <c r="C345" s="370">
        <v>0.15</v>
      </c>
      <c r="D345" s="370">
        <v>0.15</v>
      </c>
      <c r="E345" s="370">
        <v>0.15</v>
      </c>
      <c r="F345" s="370">
        <v>0.138</v>
      </c>
      <c r="G345" s="371">
        <v>0.15</v>
      </c>
    </row>
    <row r="346" spans="1:7">
      <c r="A346" s="380" t="s">
        <v>292</v>
      </c>
      <c r="B346" s="369" t="s">
        <v>2590</v>
      </c>
      <c r="C346" s="370">
        <v>0.15</v>
      </c>
      <c r="D346" s="370">
        <v>0.15</v>
      </c>
      <c r="E346" s="370">
        <v>0.15</v>
      </c>
      <c r="F346" s="370">
        <v>0.144</v>
      </c>
      <c r="G346" s="371">
        <v>0.15</v>
      </c>
    </row>
    <row r="347" spans="1:7">
      <c r="A347" s="380" t="s">
        <v>292</v>
      </c>
      <c r="B347" s="369" t="s">
        <v>2591</v>
      </c>
      <c r="C347" s="370">
        <v>0.15</v>
      </c>
      <c r="D347" s="370">
        <v>0.15</v>
      </c>
      <c r="E347" s="370">
        <v>0.15</v>
      </c>
      <c r="F347" s="370">
        <v>0.146</v>
      </c>
      <c r="G347" s="371">
        <v>0.15</v>
      </c>
    </row>
    <row r="348" spans="1:7">
      <c r="A348" s="380" t="s">
        <v>292</v>
      </c>
      <c r="B348" s="369" t="s">
        <v>2592</v>
      </c>
      <c r="C348" s="370">
        <v>0.15</v>
      </c>
      <c r="D348" s="370">
        <v>0.15</v>
      </c>
      <c r="E348" s="370">
        <v>0.15</v>
      </c>
      <c r="F348" s="370">
        <v>0.144</v>
      </c>
      <c r="G348" s="371">
        <v>0.15</v>
      </c>
    </row>
    <row r="349" spans="1:7">
      <c r="A349" s="380" t="s">
        <v>292</v>
      </c>
      <c r="B349" s="369" t="s">
        <v>2593</v>
      </c>
      <c r="C349" s="370">
        <v>0.15</v>
      </c>
      <c r="D349" s="370">
        <v>0.15</v>
      </c>
      <c r="E349" s="370">
        <v>0.15</v>
      </c>
      <c r="F349" s="370">
        <v>0.15</v>
      </c>
      <c r="G349" s="371">
        <v>0.15</v>
      </c>
    </row>
    <row r="350" spans="1:7">
      <c r="A350" s="380" t="s">
        <v>292</v>
      </c>
      <c r="B350" s="369" t="s">
        <v>2594</v>
      </c>
      <c r="C350" s="370">
        <v>0.15</v>
      </c>
      <c r="D350" s="370">
        <v>0.15</v>
      </c>
      <c r="E350" s="370">
        <v>0.15</v>
      </c>
      <c r="F350" s="370">
        <v>0.147</v>
      </c>
      <c r="G350" s="371">
        <v>0.15</v>
      </c>
    </row>
    <row r="351" spans="1:7">
      <c r="A351" s="380" t="s">
        <v>292</v>
      </c>
      <c r="B351" s="369" t="s">
        <v>2595</v>
      </c>
      <c r="C351" s="370">
        <v>0.15</v>
      </c>
      <c r="D351" s="370">
        <v>0.15</v>
      </c>
      <c r="E351" s="370">
        <v>0.15</v>
      </c>
      <c r="F351" s="370">
        <v>0.13</v>
      </c>
      <c r="G351" s="371">
        <v>0.15</v>
      </c>
    </row>
    <row r="352" spans="1:7">
      <c r="A352" s="380" t="s">
        <v>292</v>
      </c>
      <c r="B352" s="369" t="s">
        <v>2596</v>
      </c>
      <c r="C352" s="370">
        <v>0.15</v>
      </c>
      <c r="D352" s="370">
        <v>0.15</v>
      </c>
      <c r="E352" s="370">
        <v>0.15</v>
      </c>
      <c r="F352" s="370">
        <v>0.146</v>
      </c>
      <c r="G352" s="371">
        <v>0.15</v>
      </c>
    </row>
    <row r="353" spans="1:7">
      <c r="A353" s="380" t="s">
        <v>292</v>
      </c>
      <c r="B353" s="369" t="s">
        <v>2597</v>
      </c>
      <c r="C353" s="370">
        <v>0.15</v>
      </c>
      <c r="D353" s="370">
        <v>0.15</v>
      </c>
      <c r="E353" s="370">
        <v>0.15</v>
      </c>
      <c r="F353" s="370">
        <v>0.145</v>
      </c>
      <c r="G353" s="371">
        <v>0.15</v>
      </c>
    </row>
    <row r="354" spans="1:7">
      <c r="A354" s="380" t="s">
        <v>292</v>
      </c>
      <c r="B354" s="369" t="s">
        <v>2598</v>
      </c>
      <c r="C354" s="370">
        <v>0.15</v>
      </c>
      <c r="D354" s="370">
        <v>0.15</v>
      </c>
      <c r="E354" s="370">
        <v>0.15</v>
      </c>
      <c r="F354" s="370">
        <v>0.141</v>
      </c>
      <c r="G354" s="371">
        <v>0.15</v>
      </c>
    </row>
    <row r="355" spans="1:7">
      <c r="A355" s="380" t="s">
        <v>292</v>
      </c>
      <c r="B355" s="369" t="s">
        <v>2599</v>
      </c>
      <c r="C355" s="370">
        <v>0.15</v>
      </c>
      <c r="D355" s="370">
        <v>0.15</v>
      </c>
      <c r="E355" s="370">
        <v>0.15</v>
      </c>
      <c r="F355" s="370">
        <v>0.15</v>
      </c>
      <c r="G355" s="371">
        <v>0.15</v>
      </c>
    </row>
    <row r="356" spans="1:7">
      <c r="A356" s="380" t="s">
        <v>292</v>
      </c>
      <c r="B356" s="369" t="s">
        <v>2600</v>
      </c>
      <c r="C356" s="370">
        <v>0.15</v>
      </c>
      <c r="D356" s="370">
        <v>0.15</v>
      </c>
      <c r="E356" s="370">
        <v>0.15</v>
      </c>
      <c r="F356" s="370">
        <v>0.15</v>
      </c>
      <c r="G356" s="371">
        <v>0.15</v>
      </c>
    </row>
    <row r="357" ht="14.75" spans="1:7">
      <c r="A357" s="383" t="s">
        <v>292</v>
      </c>
      <c r="B357" s="373" t="s">
        <v>2601</v>
      </c>
      <c r="C357" s="374">
        <v>0.126</v>
      </c>
      <c r="D357" s="374">
        <v>0.127</v>
      </c>
      <c r="E357" s="374">
        <v>0.143</v>
      </c>
      <c r="F357" s="374">
        <v>0.125</v>
      </c>
      <c r="G357" s="376">
        <v>0.129</v>
      </c>
    </row>
    <row r="358" spans="1:7">
      <c r="A358" s="379" t="s">
        <v>296</v>
      </c>
      <c r="B358" s="365" t="s">
        <v>2602</v>
      </c>
      <c r="C358" s="366">
        <v>0.15</v>
      </c>
      <c r="D358" s="366">
        <v>0.15</v>
      </c>
      <c r="E358" s="366">
        <v>0.15</v>
      </c>
      <c r="F358" s="366">
        <v>0.15</v>
      </c>
      <c r="G358" s="367">
        <v>0.15</v>
      </c>
    </row>
    <row r="359" spans="1:7">
      <c r="A359" s="380" t="s">
        <v>296</v>
      </c>
      <c r="B359" s="369" t="s">
        <v>2603</v>
      </c>
      <c r="C359" s="370">
        <v>0.1</v>
      </c>
      <c r="D359" s="370">
        <v>0.1</v>
      </c>
      <c r="E359" s="370">
        <v>0.1</v>
      </c>
      <c r="F359" s="370">
        <v>0.1</v>
      </c>
      <c r="G359" s="371">
        <v>0.1</v>
      </c>
    </row>
    <row r="360" spans="1:7">
      <c r="A360" s="380" t="s">
        <v>296</v>
      </c>
      <c r="B360" s="369" t="s">
        <v>2604</v>
      </c>
      <c r="C360" s="370">
        <v>0.15</v>
      </c>
      <c r="D360" s="370">
        <v>0.15</v>
      </c>
      <c r="E360" s="370">
        <v>0.15</v>
      </c>
      <c r="F360" s="370">
        <v>0.149</v>
      </c>
      <c r="G360" s="371">
        <v>0.15</v>
      </c>
    </row>
    <row r="361" spans="1:7">
      <c r="A361" s="380" t="s">
        <v>296</v>
      </c>
      <c r="B361" s="369" t="s">
        <v>2605</v>
      </c>
      <c r="C361" s="370">
        <v>0.15</v>
      </c>
      <c r="D361" s="370">
        <v>0.15</v>
      </c>
      <c r="E361" s="370">
        <v>0.15</v>
      </c>
      <c r="F361" s="370">
        <v>0.115</v>
      </c>
      <c r="G361" s="371">
        <v>0.15</v>
      </c>
    </row>
    <row r="362" spans="1:7">
      <c r="A362" s="380" t="s">
        <v>296</v>
      </c>
      <c r="B362" s="369" t="s">
        <v>2606</v>
      </c>
      <c r="C362" s="370">
        <v>0.15</v>
      </c>
      <c r="D362" s="370">
        <v>0.15</v>
      </c>
      <c r="E362" s="370">
        <v>0.15</v>
      </c>
      <c r="F362" s="370">
        <v>0.106</v>
      </c>
      <c r="G362" s="371">
        <v>0.15</v>
      </c>
    </row>
    <row r="363" spans="1:7">
      <c r="A363" s="380" t="s">
        <v>296</v>
      </c>
      <c r="B363" s="369" t="s">
        <v>2607</v>
      </c>
      <c r="C363" s="370">
        <v>0.15</v>
      </c>
      <c r="D363" s="370">
        <v>0.15</v>
      </c>
      <c r="E363" s="370">
        <v>0.15</v>
      </c>
      <c r="F363" s="370">
        <v>0.147</v>
      </c>
      <c r="G363" s="371">
        <v>0.15</v>
      </c>
    </row>
    <row r="364" spans="1:7">
      <c r="A364" s="380" t="s">
        <v>296</v>
      </c>
      <c r="B364" s="369" t="s">
        <v>2608</v>
      </c>
      <c r="C364" s="370">
        <v>0.15</v>
      </c>
      <c r="D364" s="370">
        <v>0.15</v>
      </c>
      <c r="E364" s="370">
        <v>0.15</v>
      </c>
      <c r="F364" s="370">
        <v>0.148</v>
      </c>
      <c r="G364" s="371">
        <v>0.15</v>
      </c>
    </row>
    <row r="365" spans="1:7">
      <c r="A365" s="380" t="s">
        <v>296</v>
      </c>
      <c r="B365" s="369" t="s">
        <v>2609</v>
      </c>
      <c r="C365" s="370">
        <v>0.15</v>
      </c>
      <c r="D365" s="370">
        <v>0.15</v>
      </c>
      <c r="E365" s="370">
        <v>0.15</v>
      </c>
      <c r="F365" s="370">
        <v>0.15</v>
      </c>
      <c r="G365" s="371">
        <v>0.15</v>
      </c>
    </row>
    <row r="366" spans="1:7">
      <c r="A366" s="380" t="s">
        <v>296</v>
      </c>
      <c r="B366" s="369" t="s">
        <v>2610</v>
      </c>
      <c r="C366" s="370">
        <v>0.15</v>
      </c>
      <c r="D366" s="370">
        <v>0.15</v>
      </c>
      <c r="E366" s="370">
        <v>0.15</v>
      </c>
      <c r="F366" s="370">
        <v>0.15</v>
      </c>
      <c r="G366" s="371">
        <v>0.15</v>
      </c>
    </row>
    <row r="367" spans="1:7">
      <c r="A367" s="380" t="s">
        <v>296</v>
      </c>
      <c r="B367" s="369" t="s">
        <v>2611</v>
      </c>
      <c r="C367" s="370">
        <v>0.15</v>
      </c>
      <c r="D367" s="370">
        <v>0.15</v>
      </c>
      <c r="E367" s="370">
        <v>0.15</v>
      </c>
      <c r="F367" s="370">
        <v>0.147</v>
      </c>
      <c r="G367" s="371">
        <v>0.15</v>
      </c>
    </row>
    <row r="368" spans="1:7">
      <c r="A368" s="380" t="s">
        <v>296</v>
      </c>
      <c r="B368" s="369" t="s">
        <v>2612</v>
      </c>
      <c r="C368" s="370">
        <v>0.15</v>
      </c>
      <c r="D368" s="370">
        <v>0.15</v>
      </c>
      <c r="E368" s="370">
        <v>0.15</v>
      </c>
      <c r="F368" s="370">
        <v>0.136</v>
      </c>
      <c r="G368" s="371">
        <v>0.15</v>
      </c>
    </row>
    <row r="369" spans="1:7">
      <c r="A369" s="380" t="s">
        <v>296</v>
      </c>
      <c r="B369" s="369" t="s">
        <v>2613</v>
      </c>
      <c r="C369" s="370">
        <v>0.15</v>
      </c>
      <c r="D369" s="370">
        <v>0.15</v>
      </c>
      <c r="E369" s="370">
        <v>0.15</v>
      </c>
      <c r="F369" s="370">
        <v>0.144</v>
      </c>
      <c r="G369" s="371">
        <v>0.15</v>
      </c>
    </row>
    <row r="370" spans="1:7">
      <c r="A370" s="380" t="s">
        <v>296</v>
      </c>
      <c r="B370" s="369" t="s">
        <v>2614</v>
      </c>
      <c r="C370" s="370">
        <v>0.15</v>
      </c>
      <c r="D370" s="370">
        <v>0.15</v>
      </c>
      <c r="E370" s="370">
        <v>0.15</v>
      </c>
      <c r="F370" s="370">
        <v>0.146</v>
      </c>
      <c r="G370" s="371">
        <v>0.15</v>
      </c>
    </row>
    <row r="371" spans="1:7">
      <c r="A371" s="380" t="s">
        <v>296</v>
      </c>
      <c r="B371" s="369" t="s">
        <v>2615</v>
      </c>
      <c r="C371" s="370">
        <v>0.15</v>
      </c>
      <c r="D371" s="370">
        <v>0.15</v>
      </c>
      <c r="E371" s="370">
        <v>0.15</v>
      </c>
      <c r="F371" s="370">
        <v>0.12</v>
      </c>
      <c r="G371" s="371">
        <v>0.15</v>
      </c>
    </row>
    <row r="372" spans="1:7">
      <c r="A372" s="380" t="s">
        <v>296</v>
      </c>
      <c r="B372" s="369" t="s">
        <v>2616</v>
      </c>
      <c r="C372" s="370">
        <v>0.15</v>
      </c>
      <c r="D372" s="370">
        <v>0.15</v>
      </c>
      <c r="E372" s="370">
        <v>0.15</v>
      </c>
      <c r="F372" s="370">
        <v>0.143</v>
      </c>
      <c r="G372" s="371">
        <v>0.15</v>
      </c>
    </row>
    <row r="373" spans="1:7">
      <c r="A373" s="380" t="s">
        <v>296</v>
      </c>
      <c r="B373" s="369" t="s">
        <v>2617</v>
      </c>
      <c r="C373" s="370">
        <v>0.15</v>
      </c>
      <c r="D373" s="370">
        <v>0.15</v>
      </c>
      <c r="E373" s="370">
        <v>0.15</v>
      </c>
      <c r="F373" s="370">
        <v>0.146</v>
      </c>
      <c r="G373" s="371">
        <v>0.15</v>
      </c>
    </row>
    <row r="374" spans="1:7">
      <c r="A374" s="380" t="s">
        <v>296</v>
      </c>
      <c r="B374" s="369" t="s">
        <v>2618</v>
      </c>
      <c r="C374" s="370">
        <v>0.15</v>
      </c>
      <c r="D374" s="370">
        <v>0.15</v>
      </c>
      <c r="E374" s="370">
        <v>0.15</v>
      </c>
      <c r="F374" s="370">
        <v>0.144</v>
      </c>
      <c r="G374" s="371">
        <v>0.15</v>
      </c>
    </row>
    <row r="375" spans="1:7">
      <c r="A375" s="380" t="s">
        <v>296</v>
      </c>
      <c r="B375" s="369" t="s">
        <v>2619</v>
      </c>
      <c r="C375" s="370">
        <v>0.15</v>
      </c>
      <c r="D375" s="370">
        <v>0.15</v>
      </c>
      <c r="E375" s="370">
        <v>0.15</v>
      </c>
      <c r="F375" s="370">
        <v>0.13</v>
      </c>
      <c r="G375" s="371">
        <v>0.15</v>
      </c>
    </row>
    <row r="376" spans="1:7">
      <c r="A376" s="380" t="s">
        <v>296</v>
      </c>
      <c r="B376" s="369" t="s">
        <v>2620</v>
      </c>
      <c r="C376" s="370">
        <v>0.15</v>
      </c>
      <c r="D376" s="370">
        <v>0.15</v>
      </c>
      <c r="E376" s="370">
        <v>0.15</v>
      </c>
      <c r="F376" s="370">
        <v>0.142</v>
      </c>
      <c r="G376" s="371">
        <v>0.15</v>
      </c>
    </row>
    <row r="377" ht="14.75" spans="1:7">
      <c r="A377" s="383" t="s">
        <v>296</v>
      </c>
      <c r="B377" s="373" t="s">
        <v>2621</v>
      </c>
      <c r="C377" s="374">
        <v>0.15</v>
      </c>
      <c r="D377" s="374">
        <v>0.15</v>
      </c>
      <c r="E377" s="374">
        <v>0.15</v>
      </c>
      <c r="F377" s="374">
        <v>0.14</v>
      </c>
      <c r="G377" s="376">
        <v>0.15</v>
      </c>
    </row>
    <row r="378" spans="1:7">
      <c r="A378" s="379" t="s">
        <v>300</v>
      </c>
      <c r="B378" s="365" t="s">
        <v>2622</v>
      </c>
      <c r="C378" s="366">
        <v>0.15</v>
      </c>
      <c r="D378" s="366">
        <v>0.15</v>
      </c>
      <c r="E378" s="366">
        <v>0.15</v>
      </c>
      <c r="F378" s="366">
        <v>0.107</v>
      </c>
      <c r="G378" s="367">
        <v>0.15</v>
      </c>
    </row>
    <row r="379" spans="1:7">
      <c r="A379" s="380" t="s">
        <v>300</v>
      </c>
      <c r="B379" s="369" t="s">
        <v>2623</v>
      </c>
      <c r="C379" s="370">
        <v>0.15</v>
      </c>
      <c r="D379" s="370">
        <v>0.15</v>
      </c>
      <c r="E379" s="370">
        <v>0.15</v>
      </c>
      <c r="F379" s="370">
        <v>0.115</v>
      </c>
      <c r="G379" s="371">
        <v>0.149</v>
      </c>
    </row>
    <row r="380" spans="1:7">
      <c r="A380" s="380" t="s">
        <v>300</v>
      </c>
      <c r="B380" s="369" t="s">
        <v>2624</v>
      </c>
      <c r="C380" s="370">
        <v>0.15</v>
      </c>
      <c r="D380" s="370">
        <v>0.15</v>
      </c>
      <c r="E380" s="370">
        <v>0.15</v>
      </c>
      <c r="F380" s="370">
        <v>0.1</v>
      </c>
      <c r="G380" s="371">
        <v>0.148</v>
      </c>
    </row>
    <row r="381" spans="1:7">
      <c r="A381" s="380" t="s">
        <v>300</v>
      </c>
      <c r="B381" s="369" t="s">
        <v>2625</v>
      </c>
      <c r="C381" s="370">
        <v>0.15</v>
      </c>
      <c r="D381" s="370">
        <v>0.15</v>
      </c>
      <c r="E381" s="370">
        <v>0.15</v>
      </c>
      <c r="F381" s="370">
        <v>0.126</v>
      </c>
      <c r="G381" s="371">
        <v>0.15</v>
      </c>
    </row>
    <row r="382" spans="1:7">
      <c r="A382" s="380" t="s">
        <v>300</v>
      </c>
      <c r="B382" s="369" t="s">
        <v>2626</v>
      </c>
      <c r="C382" s="370">
        <v>0.15</v>
      </c>
      <c r="D382" s="370">
        <v>0.15</v>
      </c>
      <c r="E382" s="370">
        <v>0.15</v>
      </c>
      <c r="F382" s="370">
        <v>0.15</v>
      </c>
      <c r="G382" s="371">
        <v>0.15</v>
      </c>
    </row>
    <row r="383" spans="1:7">
      <c r="A383" s="380" t="s">
        <v>300</v>
      </c>
      <c r="B383" s="369" t="s">
        <v>2627</v>
      </c>
      <c r="C383" s="370">
        <v>0.15</v>
      </c>
      <c r="D383" s="370">
        <v>0.15</v>
      </c>
      <c r="E383" s="370">
        <v>0.15</v>
      </c>
      <c r="F383" s="370">
        <v>0.147</v>
      </c>
      <c r="G383" s="371">
        <v>0.15</v>
      </c>
    </row>
    <row r="384" ht="14.75" spans="1:7">
      <c r="A384" s="390" t="s">
        <v>300</v>
      </c>
      <c r="B384" s="391" t="s">
        <v>2628</v>
      </c>
      <c r="C384" s="392">
        <v>0.15</v>
      </c>
      <c r="D384" s="392">
        <v>0.15</v>
      </c>
      <c r="E384" s="392">
        <v>0.15</v>
      </c>
      <c r="F384" s="392">
        <v>0.15</v>
      </c>
      <c r="G384" s="393">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7"/>
  </cols>
  <sheetData>
    <row r="1" spans="1:6">
      <c r="A1" s="348" t="s">
        <v>2629</v>
      </c>
      <c r="B1" s="348"/>
      <c r="C1" s="348"/>
      <c r="D1" s="348"/>
      <c r="E1" s="348"/>
      <c r="F1" s="349"/>
    </row>
    <row r="2" spans="1:6">
      <c r="A2" s="350" t="s">
        <v>2630</v>
      </c>
      <c r="B2" s="351"/>
      <c r="C2" s="351"/>
      <c r="D2" s="351"/>
      <c r="E2" s="351"/>
      <c r="F2" s="351"/>
    </row>
    <row r="3" spans="1:6">
      <c r="A3" s="350" t="s">
        <v>2631</v>
      </c>
      <c r="B3" s="351"/>
      <c r="C3" s="351"/>
      <c r="D3" s="351"/>
      <c r="E3" s="351"/>
      <c r="F3" s="352" t="s">
        <v>2632</v>
      </c>
    </row>
    <row r="4" spans="1:6">
      <c r="A4" s="353" t="s">
        <v>404</v>
      </c>
      <c r="B4" s="353" t="s">
        <v>1924</v>
      </c>
      <c r="C4" s="353" t="s">
        <v>1925</v>
      </c>
      <c r="D4" s="353" t="s">
        <v>2633</v>
      </c>
      <c r="E4" s="353" t="s">
        <v>408</v>
      </c>
      <c r="F4" s="353" t="s">
        <v>280</v>
      </c>
    </row>
    <row r="5" spans="1:6">
      <c r="A5" s="354" t="s">
        <v>208</v>
      </c>
      <c r="B5" s="353"/>
      <c r="C5" s="353"/>
      <c r="D5" s="353"/>
      <c r="E5" s="353"/>
      <c r="F5" s="355"/>
    </row>
    <row r="6" spans="1:6">
      <c r="A6" s="354" t="s">
        <v>230</v>
      </c>
      <c r="B6" s="356">
        <v>35380</v>
      </c>
      <c r="C6" s="356">
        <v>35180</v>
      </c>
      <c r="D6" s="356">
        <v>35030</v>
      </c>
      <c r="E6" s="356">
        <v>13780</v>
      </c>
      <c r="F6" s="356">
        <v>25980</v>
      </c>
    </row>
    <row r="7" spans="1:6">
      <c r="A7" s="354" t="s">
        <v>241</v>
      </c>
      <c r="B7" s="356">
        <v>29960</v>
      </c>
      <c r="C7" s="356">
        <v>29800</v>
      </c>
      <c r="D7" s="356">
        <v>29690</v>
      </c>
      <c r="E7" s="356">
        <v>10100</v>
      </c>
      <c r="F7" s="356">
        <v>21690</v>
      </c>
    </row>
    <row r="8" spans="1:6">
      <c r="A8" s="354" t="s">
        <v>251</v>
      </c>
      <c r="B8" s="356">
        <v>24480</v>
      </c>
      <c r="C8" s="356">
        <v>24380</v>
      </c>
      <c r="D8" s="356">
        <v>25590</v>
      </c>
      <c r="E8" s="356">
        <v>7010</v>
      </c>
      <c r="F8" s="356">
        <v>17060</v>
      </c>
    </row>
    <row r="9" spans="1:6">
      <c r="A9" s="354" t="s">
        <v>259</v>
      </c>
      <c r="B9" s="356">
        <v>19370</v>
      </c>
      <c r="C9" s="356">
        <v>19290</v>
      </c>
      <c r="D9" s="356">
        <v>21280</v>
      </c>
      <c r="E9" s="356">
        <v>4910</v>
      </c>
      <c r="F9" s="356">
        <v>13090</v>
      </c>
    </row>
    <row r="10" spans="1:6">
      <c r="A10" s="354" t="s">
        <v>267</v>
      </c>
      <c r="B10" s="356">
        <v>15050</v>
      </c>
      <c r="C10" s="356">
        <v>14980</v>
      </c>
      <c r="D10" s="356">
        <v>17300</v>
      </c>
      <c r="E10" s="356">
        <v>3450</v>
      </c>
      <c r="F10" s="356">
        <v>9900</v>
      </c>
    </row>
    <row r="11" spans="1:6">
      <c r="A11" s="354" t="s">
        <v>273</v>
      </c>
      <c r="B11" s="356">
        <v>11550</v>
      </c>
      <c r="C11" s="356">
        <v>11490</v>
      </c>
      <c r="D11" s="356">
        <v>13850</v>
      </c>
      <c r="E11" s="356">
        <v>2400</v>
      </c>
      <c r="F11" s="356">
        <v>7390</v>
      </c>
    </row>
    <row r="12" spans="1:6">
      <c r="A12" s="354" t="s">
        <v>278</v>
      </c>
      <c r="B12" s="356">
        <v>8630</v>
      </c>
      <c r="C12" s="356">
        <v>8580</v>
      </c>
      <c r="D12" s="356">
        <v>10740</v>
      </c>
      <c r="E12" s="356">
        <v>1720</v>
      </c>
      <c r="F12" s="356">
        <v>5420</v>
      </c>
    </row>
    <row r="13" spans="1:6">
      <c r="A13" s="354" t="s">
        <v>284</v>
      </c>
      <c r="B13" s="356">
        <v>6620</v>
      </c>
      <c r="C13" s="356">
        <v>6580</v>
      </c>
      <c r="D13" s="356">
        <v>7830</v>
      </c>
      <c r="E13" s="356">
        <v>1260</v>
      </c>
      <c r="F13" s="356">
        <v>4040</v>
      </c>
    </row>
    <row r="14" spans="1:6">
      <c r="A14" s="354" t="s">
        <v>288</v>
      </c>
      <c r="B14" s="356">
        <v>4900</v>
      </c>
      <c r="C14" s="356">
        <v>4860</v>
      </c>
      <c r="D14" s="356">
        <v>5540</v>
      </c>
      <c r="E14" s="356">
        <v>950</v>
      </c>
      <c r="F14" s="356">
        <v>2930</v>
      </c>
    </row>
    <row r="15" spans="1:6">
      <c r="A15" s="354" t="s">
        <v>292</v>
      </c>
      <c r="B15" s="356">
        <v>3380</v>
      </c>
      <c r="C15" s="356">
        <v>3340</v>
      </c>
      <c r="D15" s="356">
        <v>3630</v>
      </c>
      <c r="E15" s="356">
        <v>730</v>
      </c>
      <c r="F15" s="356">
        <v>1990</v>
      </c>
    </row>
    <row r="16" spans="1:6">
      <c r="A16" s="354" t="s">
        <v>296</v>
      </c>
      <c r="B16" s="356">
        <v>2230</v>
      </c>
      <c r="C16" s="356">
        <v>2200</v>
      </c>
      <c r="D16" s="356">
        <v>2180</v>
      </c>
      <c r="E16" s="356">
        <v>570</v>
      </c>
      <c r="F16" s="356">
        <v>1330</v>
      </c>
    </row>
    <row r="17" spans="1:6">
      <c r="A17" s="354" t="s">
        <v>300</v>
      </c>
      <c r="B17" s="356">
        <v>1390</v>
      </c>
      <c r="C17" s="356">
        <v>1360</v>
      </c>
      <c r="D17" s="356">
        <v>1340</v>
      </c>
      <c r="E17" s="356">
        <v>450</v>
      </c>
      <c r="F17" s="35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B8" workbookViewId="0">
      <selection activeCell="H1" sqref="H$1:H$1048576"/>
    </sheetView>
  </sheetViews>
  <sheetFormatPr defaultColWidth="9" defaultRowHeight="14"/>
  <cols>
    <col min="1" max="1" width="13.8727272727273" customWidth="1"/>
    <col min="11" max="17" width="9" hidden="1" customWidth="1"/>
    <col min="25" max="30" width="9" hidden="1" customWidth="1"/>
  </cols>
  <sheetData>
    <row r="1" spans="1:30">
      <c r="A1" s="264">
        <f>基准地价修正!G23</f>
        <v>45861</v>
      </c>
      <c r="B1" s="265" t="s">
        <v>2634</v>
      </c>
      <c r="C1" s="266"/>
      <c r="D1" s="266"/>
      <c r="E1" s="266"/>
      <c r="F1" s="266"/>
      <c r="G1" s="266"/>
      <c r="H1" s="266"/>
      <c r="I1" s="266"/>
      <c r="J1" s="292"/>
      <c r="K1" s="266" t="s">
        <v>2635</v>
      </c>
      <c r="L1" s="266"/>
      <c r="M1" s="266"/>
      <c r="N1" s="266"/>
      <c r="O1" s="266"/>
      <c r="P1" s="266"/>
      <c r="Q1" s="292"/>
      <c r="R1" s="312" t="s">
        <v>2636</v>
      </c>
      <c r="S1" s="263"/>
      <c r="T1" s="263"/>
      <c r="U1" s="263"/>
      <c r="V1" s="263"/>
      <c r="W1" s="263"/>
      <c r="X1" s="292"/>
      <c r="Y1" s="312" t="s">
        <v>2637</v>
      </c>
      <c r="Z1" s="263"/>
      <c r="AA1" s="263"/>
      <c r="AB1" s="263"/>
      <c r="AC1" s="263"/>
      <c r="AD1" s="263"/>
    </row>
    <row r="2" s="256" customFormat="1" ht="14.75" spans="2:44">
      <c r="B2" s="267"/>
      <c r="C2" s="268"/>
      <c r="D2" s="269" t="s">
        <v>2638</v>
      </c>
      <c r="E2" s="270" t="s">
        <v>1924</v>
      </c>
      <c r="F2" s="270" t="s">
        <v>1925</v>
      </c>
      <c r="G2" s="270" t="s">
        <v>412</v>
      </c>
      <c r="H2" s="270" t="s">
        <v>408</v>
      </c>
      <c r="I2" s="270" t="s">
        <v>280</v>
      </c>
      <c r="J2" s="293"/>
      <c r="K2" s="269" t="s">
        <v>2638</v>
      </c>
      <c r="L2" s="270" t="s">
        <v>1924</v>
      </c>
      <c r="M2" s="270" t="s">
        <v>1925</v>
      </c>
      <c r="N2" s="270" t="s">
        <v>412</v>
      </c>
      <c r="O2" s="270" t="s">
        <v>408</v>
      </c>
      <c r="P2" s="270" t="s">
        <v>280</v>
      </c>
      <c r="Q2" s="293"/>
      <c r="R2" s="269" t="s">
        <v>2638</v>
      </c>
      <c r="S2" s="270" t="s">
        <v>1924</v>
      </c>
      <c r="T2" s="270" t="s">
        <v>1925</v>
      </c>
      <c r="U2" s="270" t="s">
        <v>412</v>
      </c>
      <c r="V2" s="270" t="s">
        <v>408</v>
      </c>
      <c r="W2" s="270" t="s">
        <v>280</v>
      </c>
      <c r="X2" s="293"/>
      <c r="Y2" s="269" t="s">
        <v>2638</v>
      </c>
      <c r="Z2" s="270" t="s">
        <v>1924</v>
      </c>
      <c r="AA2" s="270" t="s">
        <v>1925</v>
      </c>
      <c r="AB2" s="270" t="s">
        <v>412</v>
      </c>
      <c r="AC2" s="270" t="s">
        <v>408</v>
      </c>
      <c r="AD2" s="270" t="s">
        <v>280</v>
      </c>
      <c r="AF2" t="s">
        <v>2638</v>
      </c>
      <c r="AG2" t="s">
        <v>1924</v>
      </c>
      <c r="AH2" t="s">
        <v>1925</v>
      </c>
      <c r="AI2" t="s">
        <v>412</v>
      </c>
      <c r="AJ2" t="s">
        <v>408</v>
      </c>
      <c r="AK2" t="s">
        <v>280</v>
      </c>
      <c r="AM2" t="s">
        <v>2638</v>
      </c>
      <c r="AN2" t="s">
        <v>1924</v>
      </c>
      <c r="AO2" t="s">
        <v>1925</v>
      </c>
      <c r="AP2" t="s">
        <v>412</v>
      </c>
      <c r="AQ2" t="s">
        <v>408</v>
      </c>
      <c r="AR2" t="s">
        <v>280</v>
      </c>
    </row>
    <row r="3" s="257" customFormat="1" ht="13" spans="1:30">
      <c r="A3" s="271" t="s">
        <v>2639</v>
      </c>
      <c r="B3" s="272"/>
      <c r="C3" s="273"/>
      <c r="D3" s="273">
        <f>ROUND(AVERAGEIF(D4:D24,"&lt;&gt;0"),2)</f>
        <v>0.39</v>
      </c>
      <c r="E3" s="273">
        <f t="shared" ref="E3:H3" si="0">ROUND(AVERAGEIF(E4:E24,"&lt;&gt;0"),2)</f>
        <v>0.21</v>
      </c>
      <c r="F3" s="273">
        <f t="shared" si="0"/>
        <v>-0.06</v>
      </c>
      <c r="G3" s="273">
        <f t="shared" si="0"/>
        <v>0.46</v>
      </c>
      <c r="H3" s="273">
        <f t="shared" si="0"/>
        <v>0.51</v>
      </c>
      <c r="I3" s="273">
        <f>F3</f>
        <v>-0.06</v>
      </c>
      <c r="J3" s="294"/>
      <c r="K3" s="295">
        <f>ROUND(AVERAGEIF(K4:K24,"&lt;&gt;0"),4)</f>
        <v>0.0039</v>
      </c>
      <c r="L3" s="296">
        <f t="shared" ref="L3:O3" si="1">ROUND(AVERAGEIF(L4:L24,"&lt;&gt;0"),4)</f>
        <v>0.0021</v>
      </c>
      <c r="M3" s="296">
        <f t="shared" si="1"/>
        <v>-0.0006</v>
      </c>
      <c r="N3" s="296">
        <f t="shared" si="1"/>
        <v>0.0046</v>
      </c>
      <c r="O3" s="296">
        <f t="shared" si="1"/>
        <v>0.0051</v>
      </c>
      <c r="P3" s="296">
        <f>M3</f>
        <v>-0.0006</v>
      </c>
      <c r="Q3" s="294"/>
      <c r="R3" s="313">
        <f>ROUND(SUMPRODUCT(PRODUCT(1+K4:K24)),4)</f>
        <v>1.0675</v>
      </c>
      <c r="S3" s="314">
        <f t="shared" ref="S3:V3" si="2">ROUND(SUMPRODUCT(PRODUCT(1+L4:L24)),4)</f>
        <v>1.0355</v>
      </c>
      <c r="T3" s="314">
        <f t="shared" si="2"/>
        <v>0.9888</v>
      </c>
      <c r="U3" s="314">
        <f t="shared" si="2"/>
        <v>1.0798</v>
      </c>
      <c r="V3" s="314">
        <f t="shared" si="2"/>
        <v>1.0911</v>
      </c>
      <c r="W3" s="313">
        <f>T3</f>
        <v>0.9888</v>
      </c>
      <c r="X3" s="294"/>
      <c r="Y3" s="321">
        <f>ROUND(AVERAGEIF(Y11:Y24,"&lt;&gt;0"),4)</f>
        <v>0.0084</v>
      </c>
      <c r="Z3" s="322">
        <f t="shared" ref="Z3:AC3" si="3">ROUND(AVERAGEIF(Z11:Z24,"&lt;&gt;0"),4)</f>
        <v>0.0035</v>
      </c>
      <c r="AA3" s="323">
        <f t="shared" si="3"/>
        <v>0.0008</v>
      </c>
      <c r="AB3" s="321">
        <f t="shared" si="3"/>
        <v>0.0091</v>
      </c>
      <c r="AC3" s="324">
        <f t="shared" si="3"/>
        <v>0.0061</v>
      </c>
      <c r="AD3" s="321">
        <f>AA3</f>
        <v>0.0008</v>
      </c>
    </row>
    <row r="4" s="258" customFormat="1" ht="13" spans="2:30">
      <c r="B4" s="274"/>
      <c r="C4" s="275"/>
      <c r="D4" s="275"/>
      <c r="E4" s="275"/>
      <c r="F4" s="275"/>
      <c r="G4" s="275"/>
      <c r="H4" s="275"/>
      <c r="I4" s="275"/>
      <c r="J4" s="292"/>
      <c r="K4" s="297"/>
      <c r="L4" s="298"/>
      <c r="M4" s="298"/>
      <c r="N4" s="298"/>
      <c r="O4" s="298"/>
      <c r="P4" s="298"/>
      <c r="Q4" s="292"/>
      <c r="R4" s="315"/>
      <c r="S4" s="316"/>
      <c r="T4" s="317"/>
      <c r="U4" s="315"/>
      <c r="V4" s="318"/>
      <c r="W4" s="315"/>
      <c r="X4" s="292"/>
      <c r="Y4" s="302"/>
      <c r="Z4" s="325"/>
      <c r="AA4" s="326"/>
      <c r="AB4" s="302"/>
      <c r="AC4" s="327"/>
      <c r="AD4" s="302"/>
    </row>
    <row r="5" s="259" customFormat="1" spans="1:44">
      <c r="A5" s="133" t="s">
        <v>2640</v>
      </c>
      <c r="B5" s="276">
        <v>2025</v>
      </c>
      <c r="C5" s="277">
        <v>4</v>
      </c>
      <c r="D5" s="278">
        <v>0</v>
      </c>
      <c r="E5" s="278">
        <v>0</v>
      </c>
      <c r="F5" s="278">
        <v>0</v>
      </c>
      <c r="G5" s="278">
        <v>0</v>
      </c>
      <c r="H5" s="278">
        <v>0</v>
      </c>
      <c r="I5" s="299">
        <f t="shared" ref="I5" si="4">F5</f>
        <v>0</v>
      </c>
      <c r="J5" s="300"/>
      <c r="K5" s="301">
        <f t="shared" ref="K5" si="5">D5/100</f>
        <v>0</v>
      </c>
      <c r="L5" s="302">
        <f t="shared" ref="L5" si="6">E5/100</f>
        <v>0</v>
      </c>
      <c r="M5" s="302">
        <f t="shared" ref="M5" si="7">F5/100</f>
        <v>0</v>
      </c>
      <c r="N5" s="302">
        <f t="shared" ref="N5" si="8">G5/100</f>
        <v>0</v>
      </c>
      <c r="O5" s="302">
        <f t="shared" ref="O5" si="9">H5/100</f>
        <v>0</v>
      </c>
      <c r="P5" s="302">
        <f t="shared" ref="P5:P11" si="10">M5</f>
        <v>0</v>
      </c>
      <c r="Q5" s="300"/>
      <c r="R5" s="319">
        <f>ROUND(IF(项目基本情况!$B$8="出让",SUMPRODUCT(PRODUCT(1+K5:$K$24)),SUMPRODUCT(PRODUCT(1+K5:$K$23))),4)</f>
        <v>1.0572</v>
      </c>
      <c r="S5" s="319">
        <f>ROUND(IF(项目基本情况!$B$8="出让",SUMPRODUCT(PRODUCT(1+L5:$L$24)),SUMPRODUCT(PRODUCT(1+L5:$L$23))),4)</f>
        <v>1.0339</v>
      </c>
      <c r="T5" s="319">
        <f>ROUND(IF(项目基本情况!$B$8="出让",SUMPRODUCT(PRODUCT(1+M5:$M$24)),SUMPRODUCT(PRODUCT(1+M5:$M$23))),4)</f>
        <v>0.9913</v>
      </c>
      <c r="U5" s="319">
        <f>ROUND(IF(项目基本情况!$B$8="出让",SUMPRODUCT(PRODUCT(1+N5:$N$24)),SUMPRODUCT(PRODUCT(1+N5:$N$23))),4)</f>
        <v>1.0679</v>
      </c>
      <c r="V5" s="319">
        <f>ROUND(IF(项目基本情况!$B$8="出让",SUMPRODUCT(PRODUCT(1+O5:$O$24)),SUMPRODUCT(PRODUCT(1+O5:$O$23))),4)</f>
        <v>1.0872</v>
      </c>
      <c r="W5" s="319">
        <f t="shared" ref="W5:W11" si="11">T5</f>
        <v>0.9913</v>
      </c>
      <c r="X5" s="300"/>
      <c r="Y5" s="328">
        <f t="shared" ref="Y5:Y11" si="12">IF(D5=0,0,ROUND(AVERAGE(D5:D18)/100,4))</f>
        <v>0</v>
      </c>
      <c r="Z5" s="328">
        <f t="shared" ref="Z5" si="13">IF(E5=0,0,ROUND(AVERAGE(E5:E18)/100,4))</f>
        <v>0</v>
      </c>
      <c r="AA5" s="328">
        <f t="shared" ref="AA5" si="14">IF(F5=0,0,ROUND(AVERAGE(F5:F18)/100,4))</f>
        <v>0</v>
      </c>
      <c r="AB5" s="328">
        <f t="shared" ref="AB5" si="15">IF(G5=0,0,ROUND(AVERAGE(G5:G18)/100,4))</f>
        <v>0</v>
      </c>
      <c r="AC5" s="328">
        <f t="shared" ref="AC5" si="16">IF(H5=0,0,ROUND(AVERAGE(H5:H18)/100,4))</f>
        <v>0</v>
      </c>
      <c r="AD5" s="328">
        <f t="shared" ref="AD5" si="17">AA5</f>
        <v>0</v>
      </c>
      <c r="AF5" s="329">
        <f>$AF$24*R5</f>
        <v>105.72</v>
      </c>
      <c r="AG5" s="329">
        <f t="shared" ref="AG5:AK5" si="18">$AF$24*S5</f>
        <v>103.39</v>
      </c>
      <c r="AH5" s="329">
        <f t="shared" si="18"/>
        <v>99.13</v>
      </c>
      <c r="AI5" s="329">
        <f t="shared" si="18"/>
        <v>106.79</v>
      </c>
      <c r="AJ5" s="329">
        <f t="shared" si="18"/>
        <v>108.72</v>
      </c>
      <c r="AK5" s="329">
        <f t="shared" si="18"/>
        <v>99.13</v>
      </c>
      <c r="AM5" s="341">
        <v>100</v>
      </c>
      <c r="AN5" s="341">
        <v>100</v>
      </c>
      <c r="AO5" s="341">
        <v>100</v>
      </c>
      <c r="AP5" s="341">
        <v>100</v>
      </c>
      <c r="AQ5" s="341">
        <v>100</v>
      </c>
      <c r="AR5" s="341">
        <v>100</v>
      </c>
    </row>
    <row r="6" s="259" customFormat="1" ht="13" spans="1:44">
      <c r="A6" s="133" t="s">
        <v>2641</v>
      </c>
      <c r="B6" s="276">
        <v>2025</v>
      </c>
      <c r="C6" s="277">
        <v>3</v>
      </c>
      <c r="D6" s="278">
        <v>0</v>
      </c>
      <c r="E6" s="278">
        <v>0</v>
      </c>
      <c r="F6" s="278">
        <v>0</v>
      </c>
      <c r="G6" s="278">
        <v>0</v>
      </c>
      <c r="H6" s="278">
        <v>0</v>
      </c>
      <c r="I6" s="299">
        <f t="shared" ref="I6" si="19">F6</f>
        <v>0</v>
      </c>
      <c r="J6" s="300"/>
      <c r="K6" s="301">
        <f t="shared" ref="K6" si="20">D6/100</f>
        <v>0</v>
      </c>
      <c r="L6" s="302">
        <f t="shared" ref="L6" si="21">E6/100</f>
        <v>0</v>
      </c>
      <c r="M6" s="302">
        <f t="shared" ref="M6" si="22">F6/100</f>
        <v>0</v>
      </c>
      <c r="N6" s="302">
        <f t="shared" ref="N6" si="23">G6/100</f>
        <v>0</v>
      </c>
      <c r="O6" s="302">
        <f t="shared" ref="O6" si="24">H6/100</f>
        <v>0</v>
      </c>
      <c r="P6" s="302">
        <f t="shared" si="10"/>
        <v>0</v>
      </c>
      <c r="Q6" s="300"/>
      <c r="R6" s="319">
        <f>ROUND(IF(项目基本情况!$B$8="出让",SUMPRODUCT(PRODUCT(1+K6:$K$24)),SUMPRODUCT(PRODUCT(1+K6:$K$23))),4)</f>
        <v>1.0572</v>
      </c>
      <c r="S6" s="319">
        <f>ROUND(IF(项目基本情况!$B$8="出让",SUMPRODUCT(PRODUCT(1+L6:$L$24)),SUMPRODUCT(PRODUCT(1+L6:$L$23))),4)</f>
        <v>1.0339</v>
      </c>
      <c r="T6" s="319">
        <f>ROUND(IF(项目基本情况!$B$8="出让",SUMPRODUCT(PRODUCT(1+M6:$M$24)),SUMPRODUCT(PRODUCT(1+M6:$M$23))),4)</f>
        <v>0.9913</v>
      </c>
      <c r="U6" s="319">
        <f>ROUND(IF(项目基本情况!$B$8="出让",SUMPRODUCT(PRODUCT(1+N6:$N$24)),SUMPRODUCT(PRODUCT(1+N6:$N$23))),4)</f>
        <v>1.0679</v>
      </c>
      <c r="V6" s="319">
        <f>ROUND(IF(项目基本情况!$B$8="出让",SUMPRODUCT(PRODUCT(1+O6:$O$24)),SUMPRODUCT(PRODUCT(1+O6:$O$23))),4)</f>
        <v>1.0872</v>
      </c>
      <c r="W6" s="319">
        <f t="shared" si="11"/>
        <v>0.9913</v>
      </c>
      <c r="X6" s="300"/>
      <c r="Y6" s="328">
        <f t="shared" si="12"/>
        <v>0</v>
      </c>
      <c r="Z6" s="328">
        <f t="shared" ref="Z6" si="25">IF(E6=0,0,ROUND(AVERAGE(E6:E19)/100,4))</f>
        <v>0</v>
      </c>
      <c r="AA6" s="328">
        <f t="shared" ref="AA6" si="26">IF(F6=0,0,ROUND(AVERAGE(F6:F19)/100,4))</f>
        <v>0</v>
      </c>
      <c r="AB6" s="328">
        <f t="shared" ref="AB6" si="27">IF(G6=0,0,ROUND(AVERAGE(G6:G19)/100,4))</f>
        <v>0</v>
      </c>
      <c r="AC6" s="328">
        <f t="shared" ref="AC6" si="28">IF(H6=0,0,ROUND(AVERAGE(H6:H19)/100,4))</f>
        <v>0</v>
      </c>
      <c r="AD6" s="328">
        <f t="shared" ref="AD6" si="29">AA6</f>
        <v>0</v>
      </c>
      <c r="AF6" s="329">
        <f t="shared" ref="AF6:AF23" si="30">$AF$24*R6</f>
        <v>105.72</v>
      </c>
      <c r="AG6" s="329">
        <f t="shared" ref="AG6:AG23" si="31">$AF$24*S6</f>
        <v>103.39</v>
      </c>
      <c r="AH6" s="329">
        <f t="shared" ref="AH6:AH23" si="32">$AF$24*T6</f>
        <v>99.13</v>
      </c>
      <c r="AI6" s="329">
        <f t="shared" ref="AI6:AI23" si="33">$AF$24*U6</f>
        <v>106.79</v>
      </c>
      <c r="AJ6" s="329">
        <f t="shared" ref="AJ6:AJ23" si="34">$AF$24*V6</f>
        <v>108.72</v>
      </c>
      <c r="AK6" s="329">
        <f t="shared" ref="AK6:AK23" si="35">$AF$24*W6</f>
        <v>99.13</v>
      </c>
      <c r="AM6" s="329">
        <f>AM5/(1+D5/100)</f>
        <v>100</v>
      </c>
      <c r="AN6" s="329">
        <f t="shared" ref="AN6:AR6" si="36">AN5/(1+E5/100)</f>
        <v>100</v>
      </c>
      <c r="AO6" s="329">
        <f t="shared" si="36"/>
        <v>100</v>
      </c>
      <c r="AP6" s="329">
        <f t="shared" si="36"/>
        <v>100</v>
      </c>
      <c r="AQ6" s="329">
        <f t="shared" si="36"/>
        <v>100</v>
      </c>
      <c r="AR6" s="329">
        <f t="shared" si="36"/>
        <v>100</v>
      </c>
    </row>
    <row r="7" s="260" customFormat="1" ht="13" spans="1:44">
      <c r="A7" s="279" t="s">
        <v>2642</v>
      </c>
      <c r="B7" s="280">
        <v>2025</v>
      </c>
      <c r="C7" s="281">
        <v>2</v>
      </c>
      <c r="D7" s="282">
        <v>0</v>
      </c>
      <c r="E7" s="282">
        <v>0</v>
      </c>
      <c r="F7" s="282">
        <v>0</v>
      </c>
      <c r="G7" s="282">
        <v>0</v>
      </c>
      <c r="H7" s="283">
        <v>0</v>
      </c>
      <c r="I7" s="303">
        <f t="shared" ref="I7" si="37">F7</f>
        <v>0</v>
      </c>
      <c r="J7" s="304"/>
      <c r="K7" s="305">
        <f t="shared" ref="K7" si="38">D7/100</f>
        <v>0</v>
      </c>
      <c r="L7" s="306">
        <f t="shared" ref="L7" si="39">E7/100</f>
        <v>0</v>
      </c>
      <c r="M7" s="306">
        <f t="shared" ref="M7" si="40">F7/100</f>
        <v>0</v>
      </c>
      <c r="N7" s="306">
        <f t="shared" ref="N7" si="41">G7/100</f>
        <v>0</v>
      </c>
      <c r="O7" s="306">
        <f t="shared" ref="O7" si="42">H7/100</f>
        <v>0</v>
      </c>
      <c r="P7" s="306">
        <f t="shared" si="10"/>
        <v>0</v>
      </c>
      <c r="Q7" s="304"/>
      <c r="R7" s="304">
        <f>ROUND(IF(项目基本情况!$B$8="出让",SUMPRODUCT(PRODUCT(1+K7:$K$24)),SUMPRODUCT(PRODUCT(1+K7:$K$23))),4)</f>
        <v>1.0572</v>
      </c>
      <c r="S7" s="304">
        <f>ROUND(IF(项目基本情况!$B$8="出让",SUMPRODUCT(PRODUCT(1+L7:$L$24)),SUMPRODUCT(PRODUCT(1+L7:$L$23))),4)</f>
        <v>1.0339</v>
      </c>
      <c r="T7" s="304">
        <f>ROUND(IF(项目基本情况!$B$8="出让",SUMPRODUCT(PRODUCT(1+M7:$M$24)),SUMPRODUCT(PRODUCT(1+M7:$M$23))),4)</f>
        <v>0.9913</v>
      </c>
      <c r="U7" s="304">
        <f>ROUND(IF(项目基本情况!$B$8="出让",SUMPRODUCT(PRODUCT(1+N7:$N$24)),SUMPRODUCT(PRODUCT(1+N7:$N$23))),4)</f>
        <v>1.0679</v>
      </c>
      <c r="V7" s="304">
        <f>ROUND(IF(项目基本情况!$B$8="出让",SUMPRODUCT(PRODUCT(1+O7:$O$24)),SUMPRODUCT(PRODUCT(1+O7:$O$23))),4)</f>
        <v>1.0872</v>
      </c>
      <c r="W7" s="304">
        <f t="shared" si="11"/>
        <v>0.9913</v>
      </c>
      <c r="X7" s="304"/>
      <c r="Y7" s="306">
        <f t="shared" si="12"/>
        <v>0</v>
      </c>
      <c r="Z7" s="306">
        <f t="shared" ref="Z7" si="43">IF(E7=0,0,ROUND(AVERAGE(E7:E20)/100,4))</f>
        <v>0</v>
      </c>
      <c r="AA7" s="306">
        <f t="shared" ref="AA7" si="44">IF(F7=0,0,ROUND(AVERAGE(F7:F20)/100,4))</f>
        <v>0</v>
      </c>
      <c r="AB7" s="306">
        <f t="shared" ref="AB7" si="45">IF(G7=0,0,ROUND(AVERAGE(G7:G20)/100,4))</f>
        <v>0</v>
      </c>
      <c r="AC7" s="306">
        <f t="shared" ref="AC7" si="46">IF(H7=0,0,ROUND(AVERAGE(H7:H20)/100,4))</f>
        <v>0</v>
      </c>
      <c r="AD7" s="306">
        <f t="shared" ref="AD7" si="47">AA7</f>
        <v>0</v>
      </c>
      <c r="AF7" s="330">
        <f t="shared" si="30"/>
        <v>105.72</v>
      </c>
      <c r="AG7" s="330">
        <f t="shared" si="31"/>
        <v>103.39</v>
      </c>
      <c r="AH7" s="330">
        <f t="shared" si="32"/>
        <v>99.13</v>
      </c>
      <c r="AI7" s="330">
        <f t="shared" si="33"/>
        <v>106.79</v>
      </c>
      <c r="AJ7" s="330">
        <f t="shared" si="34"/>
        <v>108.72</v>
      </c>
      <c r="AK7" s="330">
        <f t="shared" si="35"/>
        <v>99.13</v>
      </c>
      <c r="AM7" s="330">
        <f t="shared" ref="AM7:AM24" si="48">AM6/(1+D6/100)</f>
        <v>100</v>
      </c>
      <c r="AN7" s="330">
        <f t="shared" ref="AN7:AN24" si="49">AN6/(1+E6/100)</f>
        <v>100</v>
      </c>
      <c r="AO7" s="330">
        <f t="shared" ref="AO7:AO24" si="50">AO6/(1+F6/100)</f>
        <v>100</v>
      </c>
      <c r="AP7" s="330">
        <f t="shared" ref="AP7:AP24" si="51">AP6/(1+G6/100)</f>
        <v>100</v>
      </c>
      <c r="AQ7" s="330">
        <f t="shared" ref="AQ7:AQ24" si="52">AQ6/(1+H6/100)</f>
        <v>100</v>
      </c>
      <c r="AR7" s="330">
        <f t="shared" ref="AR7:AR24" si="53">AR6/(1+I6/100)</f>
        <v>100</v>
      </c>
    </row>
    <row r="8" s="259" customFormat="1" ht="13" spans="1:44">
      <c r="A8" s="133" t="s">
        <v>2643</v>
      </c>
      <c r="B8" s="276">
        <v>2025</v>
      </c>
      <c r="C8" s="277">
        <v>1</v>
      </c>
      <c r="D8" s="278">
        <v>0.57</v>
      </c>
      <c r="E8" s="278">
        <v>-0.57</v>
      </c>
      <c r="F8" s="278">
        <v>-0.9</v>
      </c>
      <c r="G8" s="278">
        <v>1.12</v>
      </c>
      <c r="H8" s="278">
        <v>0.42</v>
      </c>
      <c r="I8" s="299">
        <f t="shared" ref="I8" si="54">F8</f>
        <v>-0.9</v>
      </c>
      <c r="J8" s="300"/>
      <c r="K8" s="301">
        <f t="shared" ref="K8" si="55">D8/100</f>
        <v>0.0057</v>
      </c>
      <c r="L8" s="302">
        <f t="shared" ref="L8" si="56">E8/100</f>
        <v>-0.0057</v>
      </c>
      <c r="M8" s="302">
        <f t="shared" ref="M8" si="57">F8/100</f>
        <v>-0.009</v>
      </c>
      <c r="N8" s="302">
        <f t="shared" ref="N8" si="58">G8/100</f>
        <v>0.0112</v>
      </c>
      <c r="O8" s="302">
        <f t="shared" ref="O8" si="59">H8/100</f>
        <v>0.0042</v>
      </c>
      <c r="P8" s="302">
        <f t="shared" si="10"/>
        <v>-0.009</v>
      </c>
      <c r="Q8" s="300"/>
      <c r="R8" s="319">
        <f>ROUND(IF(项目基本情况!$B$8="出让",SUMPRODUCT(PRODUCT(1+K8:$K$24)),SUMPRODUCT(PRODUCT(1+K8:$K$23))),4)</f>
        <v>1.0572</v>
      </c>
      <c r="S8" s="319">
        <f>ROUND(IF(项目基本情况!$B$8="出让",SUMPRODUCT(PRODUCT(1+L8:$L$24)),SUMPRODUCT(PRODUCT(1+L8:$L$23))),4)</f>
        <v>1.0339</v>
      </c>
      <c r="T8" s="319">
        <f>ROUND(IF(项目基本情况!$B$8="出让",SUMPRODUCT(PRODUCT(1+M8:$M$24)),SUMPRODUCT(PRODUCT(1+M8:$M$23))),4)</f>
        <v>0.9913</v>
      </c>
      <c r="U8" s="319">
        <f>ROUND(IF(项目基本情况!$B$8="出让",SUMPRODUCT(PRODUCT(1+N8:$N$24)),SUMPRODUCT(PRODUCT(1+N8:$N$23))),4)</f>
        <v>1.0679</v>
      </c>
      <c r="V8" s="319">
        <f>ROUND(IF(项目基本情况!$B$8="出让",SUMPRODUCT(PRODUCT(1+O8:$O$24)),SUMPRODUCT(PRODUCT(1+O8:$O$23))),4)</f>
        <v>1.0872</v>
      </c>
      <c r="W8" s="319">
        <f t="shared" si="11"/>
        <v>0.9913</v>
      </c>
      <c r="X8" s="300"/>
      <c r="Y8" s="328">
        <f t="shared" si="12"/>
        <v>0.003</v>
      </c>
      <c r="Z8" s="328">
        <f t="shared" ref="Z8" si="60">IF(E8=0,0,ROUND(AVERAGE(E8:E21)/100,4))</f>
        <v>0.0016</v>
      </c>
      <c r="AA8" s="328">
        <f t="shared" ref="AA8" si="61">IF(F8=0,0,ROUND(AVERAGE(F8:F21)/100,4))</f>
        <v>-0.0011</v>
      </c>
      <c r="AB8" s="328">
        <f t="shared" ref="AB8" si="62">IF(G8=0,0,ROUND(AVERAGE(G8:G21)/100,4))</f>
        <v>0.0037</v>
      </c>
      <c r="AC8" s="328">
        <f t="shared" ref="AC8" si="63">IF(H8=0,0,ROUND(AVERAGE(H8:H21)/100,4))</f>
        <v>0.0049</v>
      </c>
      <c r="AD8" s="328">
        <f t="shared" ref="AD8" si="64">AA8</f>
        <v>-0.0011</v>
      </c>
      <c r="AF8" s="329">
        <f t="shared" si="30"/>
        <v>105.72</v>
      </c>
      <c r="AG8" s="329">
        <f t="shared" si="31"/>
        <v>103.39</v>
      </c>
      <c r="AH8" s="329">
        <f t="shared" si="32"/>
        <v>99.13</v>
      </c>
      <c r="AI8" s="329">
        <f t="shared" si="33"/>
        <v>106.79</v>
      </c>
      <c r="AJ8" s="329">
        <f t="shared" si="34"/>
        <v>108.72</v>
      </c>
      <c r="AK8" s="329">
        <f t="shared" si="35"/>
        <v>99.13</v>
      </c>
      <c r="AM8" s="329">
        <f t="shared" si="48"/>
        <v>100</v>
      </c>
      <c r="AN8" s="329">
        <f t="shared" si="49"/>
        <v>100</v>
      </c>
      <c r="AO8" s="329">
        <f t="shared" si="50"/>
        <v>100</v>
      </c>
      <c r="AP8" s="329">
        <f t="shared" si="51"/>
        <v>100</v>
      </c>
      <c r="AQ8" s="329">
        <f t="shared" si="52"/>
        <v>100</v>
      </c>
      <c r="AR8" s="329">
        <f t="shared" si="53"/>
        <v>100</v>
      </c>
    </row>
    <row r="9" s="259" customFormat="1" ht="13" spans="1:44">
      <c r="A9" s="133" t="s">
        <v>2644</v>
      </c>
      <c r="B9" s="276">
        <v>2024</v>
      </c>
      <c r="C9" s="277">
        <v>4</v>
      </c>
      <c r="D9" s="278">
        <v>-1.02</v>
      </c>
      <c r="E9" s="278">
        <v>-0.48</v>
      </c>
      <c r="F9" s="278">
        <v>-0.75</v>
      </c>
      <c r="G9" s="278">
        <v>-1.05</v>
      </c>
      <c r="H9" s="278">
        <v>0.08</v>
      </c>
      <c r="I9" s="299">
        <f t="shared" ref="I9" si="65">F9</f>
        <v>-0.75</v>
      </c>
      <c r="J9" s="300"/>
      <c r="K9" s="301">
        <f t="shared" ref="K9" si="66">D9/100</f>
        <v>-0.0102</v>
      </c>
      <c r="L9" s="302">
        <f t="shared" ref="L9" si="67">E9/100</f>
        <v>-0.0048</v>
      </c>
      <c r="M9" s="302">
        <f t="shared" ref="M9" si="68">F9/100</f>
        <v>-0.0075</v>
      </c>
      <c r="N9" s="302">
        <f t="shared" ref="N9" si="69">G9/100</f>
        <v>-0.0105</v>
      </c>
      <c r="O9" s="302">
        <f t="shared" ref="O9" si="70">H9/100</f>
        <v>0.0008</v>
      </c>
      <c r="P9" s="302">
        <f t="shared" si="10"/>
        <v>-0.0075</v>
      </c>
      <c r="Q9" s="300"/>
      <c r="R9" s="319">
        <f>ROUND(IF(项目基本情况!$B$8="出让",SUMPRODUCT(PRODUCT(1+K9:$K$24)),SUMPRODUCT(PRODUCT(1+K9:$K$23))),4)</f>
        <v>1.0512</v>
      </c>
      <c r="S9" s="319">
        <f>ROUND(IF(项目基本情况!$B$8="出让",SUMPRODUCT(PRODUCT(1+L9:$L$24)),SUMPRODUCT(PRODUCT(1+L9:$L$23))),4)</f>
        <v>1.0398</v>
      </c>
      <c r="T9" s="319">
        <f>ROUND(IF(项目基本情况!$B$8="出让",SUMPRODUCT(PRODUCT(1+M9:$M$24)),SUMPRODUCT(PRODUCT(1+M9:$M$23))),4)</f>
        <v>1.0003</v>
      </c>
      <c r="U9" s="319">
        <f>ROUND(IF(项目基本情况!$B$8="出让",SUMPRODUCT(PRODUCT(1+N9:$N$24)),SUMPRODUCT(PRODUCT(1+N9:$N$23))),4)</f>
        <v>1.0561</v>
      </c>
      <c r="V9" s="319">
        <f>ROUND(IF(项目基本情况!$B$8="出让",SUMPRODUCT(PRODUCT(1+O9:$O$24)),SUMPRODUCT(PRODUCT(1+O9:$O$23))),4)</f>
        <v>1.0827</v>
      </c>
      <c r="W9" s="319">
        <f t="shared" si="11"/>
        <v>1.0003</v>
      </c>
      <c r="X9" s="300"/>
      <c r="Y9" s="328">
        <f t="shared" si="12"/>
        <v>0.0029</v>
      </c>
      <c r="Z9" s="328">
        <f t="shared" ref="Z9" si="71">IF(E9=0,0,ROUND(AVERAGE(E9:E22)/100,4))</f>
        <v>0.0023</v>
      </c>
      <c r="AA9" s="328">
        <f t="shared" ref="AA9" si="72">IF(F9=0,0,ROUND(AVERAGE(F9:F22)/100,4))</f>
        <v>-0.0003</v>
      </c>
      <c r="AB9" s="328">
        <f t="shared" ref="AB9" si="73">IF(G9=0,0,ROUND(AVERAGE(G9:G22)/100,4))</f>
        <v>0.0033</v>
      </c>
      <c r="AC9" s="328">
        <f t="shared" ref="AC9" si="74">IF(H9=0,0,ROUND(AVERAGE(H9:H22)/100,4))</f>
        <v>0.005</v>
      </c>
      <c r="AD9" s="328">
        <f t="shared" ref="AD9" si="75">AA9</f>
        <v>-0.0003</v>
      </c>
      <c r="AF9" s="329">
        <f t="shared" si="30"/>
        <v>105.12</v>
      </c>
      <c r="AG9" s="329">
        <f t="shared" si="31"/>
        <v>103.98</v>
      </c>
      <c r="AH9" s="329">
        <f t="shared" si="32"/>
        <v>100.03</v>
      </c>
      <c r="AI9" s="329">
        <f t="shared" si="33"/>
        <v>105.61</v>
      </c>
      <c r="AJ9" s="329">
        <f t="shared" si="34"/>
        <v>108.27</v>
      </c>
      <c r="AK9" s="329">
        <f t="shared" si="35"/>
        <v>100.03</v>
      </c>
      <c r="AM9" s="329">
        <f t="shared" si="48"/>
        <v>99.4332305856617</v>
      </c>
      <c r="AN9" s="329">
        <f t="shared" si="49"/>
        <v>100.573267625465</v>
      </c>
      <c r="AO9" s="329">
        <f t="shared" si="50"/>
        <v>100.908173562059</v>
      </c>
      <c r="AP9" s="329">
        <f t="shared" si="51"/>
        <v>98.8924050632911</v>
      </c>
      <c r="AQ9" s="329">
        <f t="shared" si="52"/>
        <v>99.5817566221868</v>
      </c>
      <c r="AR9" s="329">
        <f t="shared" si="53"/>
        <v>100.908173562059</v>
      </c>
    </row>
    <row r="10" s="259" customFormat="1" ht="13" spans="1:44">
      <c r="A10" s="133" t="s">
        <v>2645</v>
      </c>
      <c r="B10" s="276">
        <v>2024</v>
      </c>
      <c r="C10" s="277">
        <v>3</v>
      </c>
      <c r="D10" s="278">
        <v>-1.19</v>
      </c>
      <c r="E10" s="278">
        <v>-0.47</v>
      </c>
      <c r="F10" s="278">
        <v>-0.29</v>
      </c>
      <c r="G10" s="278">
        <v>-0.74</v>
      </c>
      <c r="H10" s="278">
        <v>-0.21</v>
      </c>
      <c r="I10" s="299">
        <f t="shared" ref="I10" si="76">F10</f>
        <v>-0.29</v>
      </c>
      <c r="J10" s="300"/>
      <c r="K10" s="301">
        <f t="shared" ref="K10" si="77">D10/100</f>
        <v>-0.0119</v>
      </c>
      <c r="L10" s="302">
        <f t="shared" ref="L10" si="78">E10/100</f>
        <v>-0.0047</v>
      </c>
      <c r="M10" s="302">
        <f t="shared" ref="M10" si="79">F10/100</f>
        <v>-0.0029</v>
      </c>
      <c r="N10" s="302">
        <f t="shared" ref="N10" si="80">G10/100</f>
        <v>-0.0074</v>
      </c>
      <c r="O10" s="302">
        <f t="shared" ref="O10" si="81">H10/100</f>
        <v>-0.0021</v>
      </c>
      <c r="P10" s="302">
        <f t="shared" si="10"/>
        <v>-0.0029</v>
      </c>
      <c r="Q10" s="300"/>
      <c r="R10" s="319">
        <f>ROUND(IF(项目基本情况!$B$8="出让",SUMPRODUCT(PRODUCT(1+K10:$K$24)),SUMPRODUCT(PRODUCT(1+K10:$K$23))),4)</f>
        <v>1.062</v>
      </c>
      <c r="S10" s="319">
        <f>ROUND(IF(项目基本情况!$B$8="出让",SUMPRODUCT(PRODUCT(1+L10:$L$24)),SUMPRODUCT(PRODUCT(1+L10:$L$23))),4)</f>
        <v>1.0448</v>
      </c>
      <c r="T10" s="319">
        <f>ROUND(IF(项目基本情况!$B$8="出让",SUMPRODUCT(PRODUCT(1+M10:$M$24)),SUMPRODUCT(PRODUCT(1+M10:$M$23))),4)</f>
        <v>1.0079</v>
      </c>
      <c r="U10" s="319">
        <f>ROUND(IF(项目基本情况!$B$8="出让",SUMPRODUCT(PRODUCT(1+N10:$N$24)),SUMPRODUCT(PRODUCT(1+N10:$N$23))),4)</f>
        <v>1.0673</v>
      </c>
      <c r="V10" s="319">
        <f>ROUND(IF(项目基本情况!$B$8="出让",SUMPRODUCT(PRODUCT(1+O10:$O$24)),SUMPRODUCT(PRODUCT(1+O10:$O$23))),4)</f>
        <v>1.0818</v>
      </c>
      <c r="W10" s="319">
        <f t="shared" si="11"/>
        <v>1.0079</v>
      </c>
      <c r="X10" s="300"/>
      <c r="Y10" s="328">
        <f t="shared" si="12"/>
        <v>0.0043</v>
      </c>
      <c r="Z10" s="328">
        <f t="shared" ref="Z10" si="82">IF(E10=0,0,ROUND(AVERAGE(E10:E23)/100,4))</f>
        <v>0.0031</v>
      </c>
      <c r="AA10" s="328">
        <f t="shared" ref="AA10" si="83">IF(F10=0,0,ROUND(AVERAGE(F10:F23)/100,4))</f>
        <v>0.0006</v>
      </c>
      <c r="AB10" s="328">
        <f t="shared" ref="AB10" si="84">IF(G10=0,0,ROUND(AVERAGE(G10:G23)/100,4))</f>
        <v>0.0047</v>
      </c>
      <c r="AC10" s="328">
        <f t="shared" ref="AC10" si="85">IF(H10=0,0,ROUND(AVERAGE(H10:H23)/100,4))</f>
        <v>0.0056</v>
      </c>
      <c r="AD10" s="328">
        <f t="shared" ref="AD10" si="86">AA10</f>
        <v>0.0006</v>
      </c>
      <c r="AF10" s="329">
        <f t="shared" si="30"/>
        <v>106.2</v>
      </c>
      <c r="AG10" s="329">
        <f t="shared" si="31"/>
        <v>104.48</v>
      </c>
      <c r="AH10" s="329">
        <f t="shared" si="32"/>
        <v>100.79</v>
      </c>
      <c r="AI10" s="329">
        <f t="shared" si="33"/>
        <v>106.73</v>
      </c>
      <c r="AJ10" s="329">
        <f t="shared" si="34"/>
        <v>108.18</v>
      </c>
      <c r="AK10" s="329">
        <f t="shared" si="35"/>
        <v>100.79</v>
      </c>
      <c r="AM10" s="329">
        <f t="shared" si="48"/>
        <v>100.457901177674</v>
      </c>
      <c r="AN10" s="329">
        <f t="shared" si="49"/>
        <v>101.058347694398</v>
      </c>
      <c r="AO10" s="329">
        <f t="shared" si="50"/>
        <v>101.670703840865</v>
      </c>
      <c r="AP10" s="329">
        <f t="shared" si="51"/>
        <v>99.9417938992331</v>
      </c>
      <c r="AQ10" s="329">
        <f t="shared" si="52"/>
        <v>99.5021548982682</v>
      </c>
      <c r="AR10" s="329">
        <f t="shared" si="53"/>
        <v>101.670703840865</v>
      </c>
    </row>
    <row r="11" s="259" customFormat="1" ht="13" spans="1:44">
      <c r="A11" s="284" t="s">
        <v>2646</v>
      </c>
      <c r="B11" s="276">
        <v>2024</v>
      </c>
      <c r="C11" s="277">
        <v>2</v>
      </c>
      <c r="D11" s="278">
        <v>-0.59</v>
      </c>
      <c r="E11" s="278">
        <v>-0.21</v>
      </c>
      <c r="F11" s="278">
        <v>-1.38</v>
      </c>
      <c r="G11" s="278">
        <v>-1.24</v>
      </c>
      <c r="H11" s="285">
        <v>0.34</v>
      </c>
      <c r="I11" s="299">
        <f t="shared" ref="I11:I24" si="87">F11</f>
        <v>-1.38</v>
      </c>
      <c r="J11" s="300"/>
      <c r="K11" s="301">
        <f t="shared" ref="K11:O24" si="88">D11/100</f>
        <v>-0.0059</v>
      </c>
      <c r="L11" s="302">
        <f t="shared" si="88"/>
        <v>-0.0021</v>
      </c>
      <c r="M11" s="302">
        <f t="shared" si="88"/>
        <v>-0.0138</v>
      </c>
      <c r="N11" s="302">
        <f t="shared" si="88"/>
        <v>-0.0124</v>
      </c>
      <c r="O11" s="302">
        <f t="shared" si="88"/>
        <v>0.0034</v>
      </c>
      <c r="P11" s="302">
        <f t="shared" si="10"/>
        <v>-0.0138</v>
      </c>
      <c r="Q11" s="300"/>
      <c r="R11" s="319">
        <f>ROUND(IF(项目基本情况!$B$8="出让",SUMPRODUCT(PRODUCT(1+K11:$K$24)),SUMPRODUCT(PRODUCT(1+K11:$K$23))),4)</f>
        <v>1.0748</v>
      </c>
      <c r="S11" s="319">
        <f>ROUND(IF(项目基本情况!$B$8="出让",SUMPRODUCT(PRODUCT(1+L11:$L$24)),SUMPRODUCT(PRODUCT(1+L11:$L$23))),4)</f>
        <v>1.0498</v>
      </c>
      <c r="T11" s="319">
        <f>ROUND(IF(项目基本情况!$B$8="出让",SUMPRODUCT(PRODUCT(1+M11:$M$24)),SUMPRODUCT(PRODUCT(1+M11:$M$23))),4)</f>
        <v>1.0108</v>
      </c>
      <c r="U11" s="319">
        <f>ROUND(IF(项目基本情况!$B$8="出让",SUMPRODUCT(PRODUCT(1+N11:$N$24)),SUMPRODUCT(PRODUCT(1+N11:$N$23))),4)</f>
        <v>1.0753</v>
      </c>
      <c r="V11" s="319">
        <f>ROUND(IF(项目基本情况!$B$8="出让",SUMPRODUCT(PRODUCT(1+O11:$O$24)),SUMPRODUCT(PRODUCT(1+O11:$O$23))),4)</f>
        <v>1.0841</v>
      </c>
      <c r="W11" s="319">
        <f t="shared" si="11"/>
        <v>1.0108</v>
      </c>
      <c r="X11" s="300"/>
      <c r="Y11" s="328">
        <f t="shared" si="12"/>
        <v>0.0059</v>
      </c>
      <c r="Z11" s="328">
        <f t="shared" ref="Z11:AC11" si="89">IF(E11=0,0,ROUND(AVERAGE(E11:E24)/100,4))</f>
        <v>0.0036</v>
      </c>
      <c r="AA11" s="328">
        <f t="shared" si="89"/>
        <v>0.0006</v>
      </c>
      <c r="AB11" s="328">
        <f t="shared" si="89"/>
        <v>0.006</v>
      </c>
      <c r="AC11" s="328">
        <f t="shared" si="89"/>
        <v>0.006</v>
      </c>
      <c r="AD11" s="328">
        <f t="shared" ref="AD11:AD24" si="90">AA11</f>
        <v>0.0006</v>
      </c>
      <c r="AF11" s="329">
        <f t="shared" si="30"/>
        <v>107.48</v>
      </c>
      <c r="AG11" s="329">
        <f t="shared" si="31"/>
        <v>104.98</v>
      </c>
      <c r="AH11" s="329">
        <f t="shared" si="32"/>
        <v>101.08</v>
      </c>
      <c r="AI11" s="329">
        <f t="shared" si="33"/>
        <v>107.53</v>
      </c>
      <c r="AJ11" s="329">
        <f t="shared" si="34"/>
        <v>108.41</v>
      </c>
      <c r="AK11" s="329">
        <f t="shared" si="35"/>
        <v>101.08</v>
      </c>
      <c r="AM11" s="329">
        <f t="shared" si="48"/>
        <v>101.667747371394</v>
      </c>
      <c r="AN11" s="329">
        <f t="shared" si="49"/>
        <v>101.535564849189</v>
      </c>
      <c r="AO11" s="329">
        <f t="shared" si="50"/>
        <v>101.966406419482</v>
      </c>
      <c r="AP11" s="329">
        <f t="shared" si="51"/>
        <v>100.68687678746</v>
      </c>
      <c r="AQ11" s="329">
        <f t="shared" si="52"/>
        <v>99.7115491514863</v>
      </c>
      <c r="AR11" s="329">
        <f t="shared" si="53"/>
        <v>101.966406419482</v>
      </c>
    </row>
    <row r="12" s="259" customFormat="1" ht="13" spans="1:44">
      <c r="A12" s="284" t="s">
        <v>2647</v>
      </c>
      <c r="B12" s="276">
        <v>2024</v>
      </c>
      <c r="C12" s="277">
        <v>1</v>
      </c>
      <c r="D12" s="278">
        <v>0.08</v>
      </c>
      <c r="E12" s="278">
        <v>0.46</v>
      </c>
      <c r="F12" s="278">
        <v>-0.16</v>
      </c>
      <c r="G12" s="278">
        <v>0.26</v>
      </c>
      <c r="H12" s="285">
        <v>0.59</v>
      </c>
      <c r="I12" s="299">
        <f t="shared" si="87"/>
        <v>-0.16</v>
      </c>
      <c r="J12" s="300"/>
      <c r="K12" s="301">
        <f t="shared" ref="K12" si="91">D12/100</f>
        <v>0.0008</v>
      </c>
      <c r="L12" s="302">
        <f t="shared" ref="L12" si="92">E12/100</f>
        <v>0.0046</v>
      </c>
      <c r="M12" s="302">
        <f t="shared" ref="M12" si="93">F12/100</f>
        <v>-0.0016</v>
      </c>
      <c r="N12" s="302">
        <f t="shared" ref="N12" si="94">G12/100</f>
        <v>0.0026</v>
      </c>
      <c r="O12" s="302">
        <f t="shared" ref="O12" si="95">H12/100</f>
        <v>0.0059</v>
      </c>
      <c r="P12" s="302">
        <f t="shared" ref="P12" si="96">M12</f>
        <v>-0.0016</v>
      </c>
      <c r="Q12" s="300"/>
      <c r="R12" s="319">
        <f>ROUND(IF(项目基本情况!$B$8="出让",SUMPRODUCT(PRODUCT(1+K12:$K$24)),SUMPRODUCT(PRODUCT(1+K12:$K$23))),4)</f>
        <v>1.0812</v>
      </c>
      <c r="S12" s="319">
        <f>ROUND(IF(项目基本情况!$B$8="出让",SUMPRODUCT(PRODUCT(1+L12:$L$24)),SUMPRODUCT(PRODUCT(1+L12:$L$23))),4)</f>
        <v>1.052</v>
      </c>
      <c r="T12" s="319">
        <f>ROUND(IF(项目基本情况!$B$8="出让",SUMPRODUCT(PRODUCT(1+M12:$M$24)),SUMPRODUCT(PRODUCT(1+M12:$M$23))),4)</f>
        <v>1.025</v>
      </c>
      <c r="U12" s="319">
        <f>ROUND(IF(项目基本情况!$B$8="出让",SUMPRODUCT(PRODUCT(1+N12:$N$24)),SUMPRODUCT(PRODUCT(1+N12:$N$23))),4)</f>
        <v>1.0888</v>
      </c>
      <c r="V12" s="319">
        <f>ROUND(IF(项目基本情况!$B$8="出让",SUMPRODUCT(PRODUCT(1+O12:$O$24)),SUMPRODUCT(PRODUCT(1+O12:$O$23))),4)</f>
        <v>1.0804</v>
      </c>
      <c r="W12" s="319">
        <f t="shared" ref="W12" si="97">T12</f>
        <v>1.025</v>
      </c>
      <c r="X12" s="300"/>
      <c r="Y12" s="328"/>
      <c r="Z12" s="328"/>
      <c r="AA12" s="328"/>
      <c r="AB12" s="328"/>
      <c r="AC12" s="328"/>
      <c r="AD12" s="328"/>
      <c r="AF12" s="329">
        <f t="shared" si="30"/>
        <v>108.12</v>
      </c>
      <c r="AG12" s="329">
        <f t="shared" si="31"/>
        <v>105.2</v>
      </c>
      <c r="AH12" s="329">
        <f t="shared" si="32"/>
        <v>102.5</v>
      </c>
      <c r="AI12" s="329">
        <f t="shared" si="33"/>
        <v>108.88</v>
      </c>
      <c r="AJ12" s="329">
        <f t="shared" si="34"/>
        <v>108.04</v>
      </c>
      <c r="AK12" s="329">
        <f t="shared" si="35"/>
        <v>102.5</v>
      </c>
      <c r="AM12" s="329">
        <f t="shared" si="48"/>
        <v>102.271147139517</v>
      </c>
      <c r="AN12" s="329">
        <f t="shared" si="49"/>
        <v>101.749238249513</v>
      </c>
      <c r="AO12" s="329">
        <f t="shared" si="50"/>
        <v>103.39323303537</v>
      </c>
      <c r="AP12" s="329">
        <f t="shared" si="51"/>
        <v>101.951070056157</v>
      </c>
      <c r="AQ12" s="329">
        <f t="shared" si="52"/>
        <v>99.3736786440964</v>
      </c>
      <c r="AR12" s="329">
        <f t="shared" si="53"/>
        <v>103.39323303537</v>
      </c>
    </row>
    <row r="13" s="259" customFormat="1" ht="13" spans="1:44">
      <c r="A13" s="284" t="s">
        <v>2648</v>
      </c>
      <c r="B13" s="276">
        <v>2023</v>
      </c>
      <c r="C13" s="277">
        <v>4</v>
      </c>
      <c r="D13" s="278">
        <v>0.19</v>
      </c>
      <c r="E13" s="278">
        <v>0.24</v>
      </c>
      <c r="F13" s="278">
        <v>-0.16</v>
      </c>
      <c r="G13" s="278">
        <v>0.17</v>
      </c>
      <c r="H13" s="285">
        <v>0.61</v>
      </c>
      <c r="I13" s="299">
        <f t="shared" si="87"/>
        <v>-0.16</v>
      </c>
      <c r="J13" s="300"/>
      <c r="K13" s="301">
        <f t="shared" si="88"/>
        <v>0.0019</v>
      </c>
      <c r="L13" s="302">
        <f t="shared" si="88"/>
        <v>0.0024</v>
      </c>
      <c r="M13" s="302">
        <f t="shared" si="88"/>
        <v>-0.0016</v>
      </c>
      <c r="N13" s="302">
        <f t="shared" si="88"/>
        <v>0.0017</v>
      </c>
      <c r="O13" s="302">
        <f t="shared" si="88"/>
        <v>0.0061</v>
      </c>
      <c r="P13" s="302">
        <f t="shared" ref="P13" si="98">M13</f>
        <v>-0.0016</v>
      </c>
      <c r="Q13" s="300"/>
      <c r="R13" s="319">
        <f>ROUND(IF(项目基本情况!$B$8="出让",SUMPRODUCT(PRODUCT(1+K13:$K$24)),SUMPRODUCT(PRODUCT(1+K13:$K$23))),4)</f>
        <v>1.0804</v>
      </c>
      <c r="S13" s="319">
        <f>ROUND(IF(项目基本情况!$B$8="出让",SUMPRODUCT(PRODUCT(1+L13:$L$24)),SUMPRODUCT(PRODUCT(1+L13:$L$23))),4)</f>
        <v>1.0472</v>
      </c>
      <c r="T13" s="319">
        <f>ROUND(IF(项目基本情况!$B$8="出让",SUMPRODUCT(PRODUCT(1+M13:$M$24)),SUMPRODUCT(PRODUCT(1+M13:$M$23))),4)</f>
        <v>1.0266</v>
      </c>
      <c r="U13" s="319">
        <f>ROUND(IF(项目基本情况!$B$8="出让",SUMPRODUCT(PRODUCT(1+N13:$N$24)),SUMPRODUCT(PRODUCT(1+N13:$N$23))),4)</f>
        <v>1.0859</v>
      </c>
      <c r="V13" s="319">
        <f>ROUND(IF(项目基本情况!$B$8="出让",SUMPRODUCT(PRODUCT(1+O13:$O$24)),SUMPRODUCT(PRODUCT(1+O13:$O$23))),4)</f>
        <v>1.0741</v>
      </c>
      <c r="W13" s="319">
        <f t="shared" ref="W13" si="99">T13</f>
        <v>1.0266</v>
      </c>
      <c r="X13" s="300"/>
      <c r="Y13" s="328"/>
      <c r="Z13" s="328"/>
      <c r="AA13" s="328"/>
      <c r="AB13" s="328"/>
      <c r="AC13" s="328"/>
      <c r="AD13" s="328"/>
      <c r="AF13" s="329">
        <f t="shared" si="30"/>
        <v>108.04</v>
      </c>
      <c r="AG13" s="329">
        <f t="shared" si="31"/>
        <v>104.72</v>
      </c>
      <c r="AH13" s="329">
        <f t="shared" si="32"/>
        <v>102.66</v>
      </c>
      <c r="AI13" s="329">
        <f t="shared" si="33"/>
        <v>108.59</v>
      </c>
      <c r="AJ13" s="329">
        <f t="shared" si="34"/>
        <v>107.41</v>
      </c>
      <c r="AK13" s="329">
        <f t="shared" si="35"/>
        <v>102.66</v>
      </c>
      <c r="AM13" s="329">
        <f t="shared" si="48"/>
        <v>102.189395623018</v>
      </c>
      <c r="AN13" s="329">
        <f t="shared" si="49"/>
        <v>101.283334908932</v>
      </c>
      <c r="AO13" s="329">
        <f t="shared" si="50"/>
        <v>103.55892731908</v>
      </c>
      <c r="AP13" s="329">
        <f t="shared" si="51"/>
        <v>101.686684675999</v>
      </c>
      <c r="AQ13" s="329">
        <f t="shared" si="52"/>
        <v>98.7908128482915</v>
      </c>
      <c r="AR13" s="329">
        <f t="shared" si="53"/>
        <v>103.55892731908</v>
      </c>
    </row>
    <row r="14" s="259" customFormat="1" ht="13" spans="1:44">
      <c r="A14" s="284" t="s">
        <v>2649</v>
      </c>
      <c r="B14" s="276">
        <v>2023</v>
      </c>
      <c r="C14" s="277">
        <v>3</v>
      </c>
      <c r="D14" s="278">
        <v>0.25</v>
      </c>
      <c r="E14" s="278">
        <v>0.5</v>
      </c>
      <c r="F14" s="278">
        <v>0.31</v>
      </c>
      <c r="G14" s="278">
        <v>0.21</v>
      </c>
      <c r="H14" s="285">
        <v>0.43</v>
      </c>
      <c r="I14" s="299">
        <f t="shared" si="87"/>
        <v>0.31</v>
      </c>
      <c r="J14" s="300"/>
      <c r="K14" s="301">
        <f t="shared" ref="K14:K16" si="100">D14/100</f>
        <v>0.0025</v>
      </c>
      <c r="L14" s="302">
        <f t="shared" ref="L14:L16" si="101">E14/100</f>
        <v>0.005</v>
      </c>
      <c r="M14" s="302">
        <f t="shared" ref="M14:M16" si="102">F14/100</f>
        <v>0.0031</v>
      </c>
      <c r="N14" s="302">
        <f t="shared" ref="N14:N16" si="103">G14/100</f>
        <v>0.0021</v>
      </c>
      <c r="O14" s="302">
        <f t="shared" ref="O14:O16" si="104">H14/100</f>
        <v>0.0043</v>
      </c>
      <c r="P14" s="302">
        <f t="shared" ref="P14:P16" si="105">M14</f>
        <v>0.0031</v>
      </c>
      <c r="Q14" s="300"/>
      <c r="R14" s="319">
        <f>ROUND(IF(项目基本情况!$B$8="出让",SUMPRODUCT(PRODUCT(1+K14:$K$24)),SUMPRODUCT(PRODUCT(1+K14:$K$23))),4)</f>
        <v>1.0783</v>
      </c>
      <c r="S14" s="319">
        <f>ROUND(IF(项目基本情况!$B$8="出让",SUMPRODUCT(PRODUCT(1+L14:$L$24)),SUMPRODUCT(PRODUCT(1+L14:$L$23))),4)</f>
        <v>1.0447</v>
      </c>
      <c r="T14" s="319">
        <f>ROUND(IF(项目基本情况!$B$8="出让",SUMPRODUCT(PRODUCT(1+M14:$M$24)),SUMPRODUCT(PRODUCT(1+M14:$M$23))),4)</f>
        <v>1.0282</v>
      </c>
      <c r="U14" s="319">
        <f>ROUND(IF(项目基本情况!$B$8="出让",SUMPRODUCT(PRODUCT(1+N14:$N$24)),SUMPRODUCT(PRODUCT(1+N14:$N$23))),4)</f>
        <v>1.0841</v>
      </c>
      <c r="V14" s="319">
        <f>ROUND(IF(项目基本情况!$B$8="出让",SUMPRODUCT(PRODUCT(1+O14:$O$24)),SUMPRODUCT(PRODUCT(1+O14:$O$23))),4)</f>
        <v>1.0675</v>
      </c>
      <c r="W14" s="319">
        <f t="shared" ref="W14:W15" si="106">T14</f>
        <v>1.0282</v>
      </c>
      <c r="X14" s="300"/>
      <c r="Y14" s="328"/>
      <c r="Z14" s="328"/>
      <c r="AA14" s="328"/>
      <c r="AB14" s="328"/>
      <c r="AC14" s="328"/>
      <c r="AD14" s="328"/>
      <c r="AF14" s="329">
        <f t="shared" si="30"/>
        <v>107.83</v>
      </c>
      <c r="AG14" s="329">
        <f t="shared" si="31"/>
        <v>104.47</v>
      </c>
      <c r="AH14" s="329">
        <f t="shared" si="32"/>
        <v>102.82</v>
      </c>
      <c r="AI14" s="329">
        <f t="shared" si="33"/>
        <v>108.41</v>
      </c>
      <c r="AJ14" s="329">
        <f t="shared" si="34"/>
        <v>106.75</v>
      </c>
      <c r="AK14" s="329">
        <f t="shared" si="35"/>
        <v>102.82</v>
      </c>
      <c r="AM14" s="329">
        <f t="shared" si="48"/>
        <v>101.995603975465</v>
      </c>
      <c r="AN14" s="329">
        <f t="shared" si="49"/>
        <v>101.040836900371</v>
      </c>
      <c r="AO14" s="329">
        <f t="shared" si="50"/>
        <v>103.724887138502</v>
      </c>
      <c r="AP14" s="329">
        <f t="shared" si="51"/>
        <v>101.51411068783</v>
      </c>
      <c r="AQ14" s="329">
        <f t="shared" si="52"/>
        <v>98.1918426083804</v>
      </c>
      <c r="AR14" s="329">
        <f t="shared" si="53"/>
        <v>103.724887138502</v>
      </c>
    </row>
    <row r="15" s="259" customFormat="1" ht="13" spans="1:44">
      <c r="A15" s="284" t="s">
        <v>2650</v>
      </c>
      <c r="B15" s="276">
        <v>2023</v>
      </c>
      <c r="C15" s="277">
        <v>2</v>
      </c>
      <c r="D15" s="278">
        <v>0.91</v>
      </c>
      <c r="E15" s="278">
        <v>0.66</v>
      </c>
      <c r="F15" s="278">
        <v>0.47</v>
      </c>
      <c r="G15" s="278">
        <v>0.96</v>
      </c>
      <c r="H15" s="285">
        <v>0.71</v>
      </c>
      <c r="I15" s="299">
        <f t="shared" si="87"/>
        <v>0.47</v>
      </c>
      <c r="J15" s="300"/>
      <c r="K15" s="301">
        <f t="shared" si="100"/>
        <v>0.0091</v>
      </c>
      <c r="L15" s="302">
        <f t="shared" si="101"/>
        <v>0.0066</v>
      </c>
      <c r="M15" s="302">
        <f t="shared" si="102"/>
        <v>0.0047</v>
      </c>
      <c r="N15" s="302">
        <f t="shared" si="103"/>
        <v>0.0096</v>
      </c>
      <c r="O15" s="302">
        <f t="shared" si="104"/>
        <v>0.0071</v>
      </c>
      <c r="P15" s="302">
        <f t="shared" si="105"/>
        <v>0.0047</v>
      </c>
      <c r="Q15" s="300"/>
      <c r="R15" s="319">
        <f>ROUND(IF(项目基本情况!$B$8="出让",SUMPRODUCT(PRODUCT(1+K15:$K$24)),SUMPRODUCT(PRODUCT(1+K15:$K$23))),4)</f>
        <v>1.0756</v>
      </c>
      <c r="S15" s="319">
        <f>ROUND(IF(项目基本情况!$B$8="出让",SUMPRODUCT(PRODUCT(1+L15:$L$24)),SUMPRODUCT(PRODUCT(1+L15:$L$23))),4)</f>
        <v>1.0395</v>
      </c>
      <c r="T15" s="319">
        <f>ROUND(IF(项目基本情况!$B$8="出让",SUMPRODUCT(PRODUCT(1+M15:$M$24)),SUMPRODUCT(PRODUCT(1+M15:$M$23))),4)</f>
        <v>1.0251</v>
      </c>
      <c r="U15" s="319">
        <f>ROUND(IF(项目基本情况!$B$8="出让",SUMPRODUCT(PRODUCT(1+N15:$N$24)),SUMPRODUCT(PRODUCT(1+N15:$N$23))),4)</f>
        <v>1.0818</v>
      </c>
      <c r="V15" s="319">
        <f>ROUND(IF(项目基本情况!$B$8="出让",SUMPRODUCT(PRODUCT(1+O15:$O$24)),SUMPRODUCT(PRODUCT(1+O15:$O$23))),4)</f>
        <v>1.063</v>
      </c>
      <c r="W15" s="319">
        <f t="shared" si="106"/>
        <v>1.0251</v>
      </c>
      <c r="X15" s="300"/>
      <c r="Y15" s="328"/>
      <c r="Z15" s="328"/>
      <c r="AA15" s="328"/>
      <c r="AB15" s="328"/>
      <c r="AC15" s="328"/>
      <c r="AD15" s="328"/>
      <c r="AF15" s="329">
        <f t="shared" si="30"/>
        <v>107.56</v>
      </c>
      <c r="AG15" s="329">
        <f t="shared" si="31"/>
        <v>103.95</v>
      </c>
      <c r="AH15" s="329">
        <f t="shared" si="32"/>
        <v>102.51</v>
      </c>
      <c r="AI15" s="329">
        <f t="shared" si="33"/>
        <v>108.18</v>
      </c>
      <c r="AJ15" s="329">
        <f t="shared" si="34"/>
        <v>106.3</v>
      </c>
      <c r="AK15" s="329">
        <f t="shared" si="35"/>
        <v>102.51</v>
      </c>
      <c r="AM15" s="329">
        <f t="shared" si="48"/>
        <v>101.741250848344</v>
      </c>
      <c r="AN15" s="329">
        <f t="shared" si="49"/>
        <v>100.538146169524</v>
      </c>
      <c r="AO15" s="329">
        <f t="shared" si="50"/>
        <v>103.404333704019</v>
      </c>
      <c r="AP15" s="329">
        <f t="shared" si="51"/>
        <v>101.301377794461</v>
      </c>
      <c r="AQ15" s="329">
        <f t="shared" si="52"/>
        <v>97.7714254788214</v>
      </c>
      <c r="AR15" s="329">
        <f t="shared" si="53"/>
        <v>103.404333704019</v>
      </c>
    </row>
    <row r="16" s="259" customFormat="1" ht="13" spans="1:44">
      <c r="A16" s="284" t="s">
        <v>2651</v>
      </c>
      <c r="B16" s="276">
        <v>2023</v>
      </c>
      <c r="C16" s="277">
        <v>1</v>
      </c>
      <c r="D16" s="278">
        <v>0.89</v>
      </c>
      <c r="E16" s="278">
        <v>0.74</v>
      </c>
      <c r="F16" s="278">
        <v>0.57</v>
      </c>
      <c r="G16" s="278">
        <v>0.92</v>
      </c>
      <c r="H16" s="285">
        <v>0.5</v>
      </c>
      <c r="I16" s="299">
        <f t="shared" si="87"/>
        <v>0.57</v>
      </c>
      <c r="J16" s="300"/>
      <c r="K16" s="301">
        <f t="shared" si="100"/>
        <v>0.0089</v>
      </c>
      <c r="L16" s="302">
        <f t="shared" si="101"/>
        <v>0.0074</v>
      </c>
      <c r="M16" s="302">
        <f t="shared" si="102"/>
        <v>0.0057</v>
      </c>
      <c r="N16" s="302">
        <f t="shared" si="103"/>
        <v>0.0092</v>
      </c>
      <c r="O16" s="302">
        <f t="shared" si="104"/>
        <v>0.005</v>
      </c>
      <c r="P16" s="302">
        <f t="shared" si="105"/>
        <v>0.0057</v>
      </c>
      <c r="Q16" s="300"/>
      <c r="R16" s="319">
        <f>ROUND(IF(项目基本情况!$B$8="出让",SUMPRODUCT(PRODUCT(1+K16:$K$24)),SUMPRODUCT(PRODUCT(1+K16:$K$23))),4)</f>
        <v>1.0659</v>
      </c>
      <c r="S16" s="319">
        <f>ROUND(IF(项目基本情况!$B$8="出让",SUMPRODUCT(PRODUCT(1+L16:$L$24)),SUMPRODUCT(PRODUCT(1+L16:$L$23))),4)</f>
        <v>1.0326</v>
      </c>
      <c r="T16" s="319">
        <f>ROUND(IF(项目基本情况!$B$8="出让",SUMPRODUCT(PRODUCT(1+M16:$M$24)),SUMPRODUCT(PRODUCT(1+M16:$M$23))),4)</f>
        <v>1.0203</v>
      </c>
      <c r="U16" s="319">
        <f>ROUND(IF(项目基本情况!$B$8="出让",SUMPRODUCT(PRODUCT(1+N16:$N$24)),SUMPRODUCT(PRODUCT(1+N16:$N$23))),4)</f>
        <v>1.0715</v>
      </c>
      <c r="V16" s="319">
        <f>ROUND(IF(项目基本情况!$B$8="出让",SUMPRODUCT(PRODUCT(1+O16:$O$24)),SUMPRODUCT(PRODUCT(1+O16:$O$23))),4)</f>
        <v>1.0555</v>
      </c>
      <c r="W16" s="319">
        <f t="shared" ref="W16:W23" si="107">T16</f>
        <v>1.0203</v>
      </c>
      <c r="X16" s="300"/>
      <c r="Y16" s="328"/>
      <c r="Z16" s="328"/>
      <c r="AA16" s="328"/>
      <c r="AB16" s="328"/>
      <c r="AC16" s="328"/>
      <c r="AD16" s="328"/>
      <c r="AF16" s="329">
        <f t="shared" si="30"/>
        <v>106.59</v>
      </c>
      <c r="AG16" s="329">
        <f t="shared" si="31"/>
        <v>103.26</v>
      </c>
      <c r="AH16" s="329">
        <f t="shared" si="32"/>
        <v>102.03</v>
      </c>
      <c r="AI16" s="329">
        <f t="shared" si="33"/>
        <v>107.15</v>
      </c>
      <c r="AJ16" s="329">
        <f t="shared" si="34"/>
        <v>105.55</v>
      </c>
      <c r="AK16" s="329">
        <f t="shared" si="35"/>
        <v>102.03</v>
      </c>
      <c r="AM16" s="329">
        <f t="shared" si="48"/>
        <v>100.823754680749</v>
      </c>
      <c r="AN16" s="329">
        <f t="shared" si="49"/>
        <v>99.878945131655</v>
      </c>
      <c r="AO16" s="329">
        <f t="shared" si="50"/>
        <v>102.920606851816</v>
      </c>
      <c r="AP16" s="329">
        <f t="shared" si="51"/>
        <v>100.338131729855</v>
      </c>
      <c r="AQ16" s="329">
        <f t="shared" si="52"/>
        <v>97.0821422687136</v>
      </c>
      <c r="AR16" s="329">
        <f t="shared" si="53"/>
        <v>102.920606851816</v>
      </c>
    </row>
    <row r="17" s="259" customFormat="1" ht="13" spans="1:44">
      <c r="A17" s="284" t="s">
        <v>2652</v>
      </c>
      <c r="B17" s="276">
        <v>2022</v>
      </c>
      <c r="C17" s="277">
        <v>4</v>
      </c>
      <c r="D17" s="278">
        <v>0.62</v>
      </c>
      <c r="E17" s="278">
        <v>0.2</v>
      </c>
      <c r="F17" s="278">
        <v>0.11</v>
      </c>
      <c r="G17" s="278">
        <v>0.69</v>
      </c>
      <c r="H17" s="285">
        <v>0.53</v>
      </c>
      <c r="I17" s="299">
        <f t="shared" si="87"/>
        <v>0.11</v>
      </c>
      <c r="J17" s="300"/>
      <c r="K17" s="301">
        <f t="shared" si="88"/>
        <v>0.0062</v>
      </c>
      <c r="L17" s="302">
        <f t="shared" si="88"/>
        <v>0.002</v>
      </c>
      <c r="M17" s="302">
        <f t="shared" si="88"/>
        <v>0.0011</v>
      </c>
      <c r="N17" s="302">
        <f t="shared" si="88"/>
        <v>0.0069</v>
      </c>
      <c r="O17" s="302">
        <f t="shared" si="88"/>
        <v>0.0053</v>
      </c>
      <c r="P17" s="302">
        <f t="shared" ref="P17:P24" si="108">M17</f>
        <v>0.0011</v>
      </c>
      <c r="Q17" s="300"/>
      <c r="R17" s="319">
        <f>ROUND(IF(项目基本情况!$B$8="出让",SUMPRODUCT(PRODUCT(1+K17:$K$24)),SUMPRODUCT(PRODUCT(1+K17:$K$23))),4)</f>
        <v>1.0565</v>
      </c>
      <c r="S17" s="319">
        <f>ROUND(IF(项目基本情况!$B$8="出让",SUMPRODUCT(PRODUCT(1+L17:$L$24)),SUMPRODUCT(PRODUCT(1+L17:$L$23))),4)</f>
        <v>1.0251</v>
      </c>
      <c r="T17" s="319">
        <f>ROUND(IF(项目基本情况!$B$8="出让",SUMPRODUCT(PRODUCT(1+M17:$M$24)),SUMPRODUCT(PRODUCT(1+M17:$M$23))),4)</f>
        <v>1.0145</v>
      </c>
      <c r="U17" s="319">
        <f>ROUND(IF(项目基本情况!$B$8="出让",SUMPRODUCT(PRODUCT(1+N17:$N$24)),SUMPRODUCT(PRODUCT(1+N17:$N$23))),4)</f>
        <v>1.0618</v>
      </c>
      <c r="V17" s="319">
        <f>ROUND(IF(项目基本情况!$B$8="出让",SUMPRODUCT(PRODUCT(1+O17:$O$24)),SUMPRODUCT(PRODUCT(1+O17:$O$23))),4)</f>
        <v>1.0502</v>
      </c>
      <c r="W17" s="319">
        <f t="shared" si="107"/>
        <v>1.0145</v>
      </c>
      <c r="X17" s="300"/>
      <c r="Y17" s="328">
        <f>IF(D17=0,0,ROUND(AVERAGE(D17:D25)/100,4))</f>
        <v>0.0081</v>
      </c>
      <c r="Z17" s="328">
        <f t="shared" ref="Z17:AC17" si="109">IF(E17=0,0,ROUND(AVERAGE(E17:E24)/100,4))</f>
        <v>0.0033</v>
      </c>
      <c r="AA17" s="328">
        <f t="shared" si="109"/>
        <v>0.0015</v>
      </c>
      <c r="AB17" s="328">
        <f t="shared" si="109"/>
        <v>0.0089</v>
      </c>
      <c r="AC17" s="328">
        <f t="shared" si="109"/>
        <v>0.0066</v>
      </c>
      <c r="AD17" s="328">
        <f t="shared" si="90"/>
        <v>0.0015</v>
      </c>
      <c r="AF17" s="329">
        <f t="shared" si="30"/>
        <v>105.65</v>
      </c>
      <c r="AG17" s="329">
        <f t="shared" si="31"/>
        <v>102.51</v>
      </c>
      <c r="AH17" s="329">
        <f t="shared" si="32"/>
        <v>101.45</v>
      </c>
      <c r="AI17" s="329">
        <f t="shared" si="33"/>
        <v>106.18</v>
      </c>
      <c r="AJ17" s="329">
        <f t="shared" si="34"/>
        <v>105.02</v>
      </c>
      <c r="AK17" s="329">
        <f t="shared" si="35"/>
        <v>101.45</v>
      </c>
      <c r="AM17" s="329">
        <f t="shared" si="48"/>
        <v>99.9343390630878</v>
      </c>
      <c r="AN17" s="329">
        <f t="shared" si="49"/>
        <v>99.1452701326732</v>
      </c>
      <c r="AO17" s="329">
        <f t="shared" si="50"/>
        <v>102.337284331128</v>
      </c>
      <c r="AP17" s="329">
        <f t="shared" si="51"/>
        <v>99.4234361175731</v>
      </c>
      <c r="AQ17" s="329">
        <f t="shared" si="52"/>
        <v>96.5991465360334</v>
      </c>
      <c r="AR17" s="329">
        <f t="shared" si="53"/>
        <v>102.337284331128</v>
      </c>
    </row>
    <row r="18" s="259" customFormat="1" ht="13" spans="1:44">
      <c r="A18" s="284" t="s">
        <v>2653</v>
      </c>
      <c r="B18" s="276">
        <v>2022</v>
      </c>
      <c r="C18" s="277">
        <v>3</v>
      </c>
      <c r="D18" s="278">
        <v>0.66</v>
      </c>
      <c r="E18" s="278">
        <v>0.32</v>
      </c>
      <c r="F18" s="278">
        <v>0.23</v>
      </c>
      <c r="G18" s="278">
        <v>0.72</v>
      </c>
      <c r="H18" s="285">
        <v>0.63</v>
      </c>
      <c r="I18" s="299">
        <f t="shared" si="87"/>
        <v>0.23</v>
      </c>
      <c r="J18" s="300"/>
      <c r="K18" s="301">
        <f t="shared" si="88"/>
        <v>0.0066</v>
      </c>
      <c r="L18" s="302">
        <f t="shared" si="88"/>
        <v>0.0032</v>
      </c>
      <c r="M18" s="302">
        <f t="shared" si="88"/>
        <v>0.0023</v>
      </c>
      <c r="N18" s="302">
        <f t="shared" si="88"/>
        <v>0.0072</v>
      </c>
      <c r="O18" s="302">
        <f t="shared" si="88"/>
        <v>0.0063</v>
      </c>
      <c r="P18" s="302">
        <f t="shared" si="108"/>
        <v>0.0023</v>
      </c>
      <c r="Q18" s="300"/>
      <c r="R18" s="319">
        <f>ROUND(IF(项目基本情况!$B$8="出让",SUMPRODUCT(PRODUCT(1+K18:$K$24)),SUMPRODUCT(PRODUCT(1+K18:$K$23))),4)</f>
        <v>1.05</v>
      </c>
      <c r="S18" s="319">
        <f>ROUND(IF(项目基本情况!$B$8="出让",SUMPRODUCT(PRODUCT(1+L18:$L$24)),SUMPRODUCT(PRODUCT(1+L18:$L$23))),4)</f>
        <v>1.023</v>
      </c>
      <c r="T18" s="319">
        <f>ROUND(IF(项目基本情况!$B$8="出让",SUMPRODUCT(PRODUCT(1+M18:$M$24)),SUMPRODUCT(PRODUCT(1+M18:$M$23))),4)</f>
        <v>1.0134</v>
      </c>
      <c r="U18" s="319">
        <f>ROUND(IF(项目基本情况!$B$8="出让",SUMPRODUCT(PRODUCT(1+N18:$N$24)),SUMPRODUCT(PRODUCT(1+N18:$N$23))),4)</f>
        <v>1.0545</v>
      </c>
      <c r="V18" s="319">
        <f>ROUND(IF(项目基本情况!$B$8="出让",SUMPRODUCT(PRODUCT(1+O18:$O$24)),SUMPRODUCT(PRODUCT(1+O18:$O$23))),4)</f>
        <v>1.0447</v>
      </c>
      <c r="W18" s="319">
        <f t="shared" si="107"/>
        <v>1.0134</v>
      </c>
      <c r="X18" s="300"/>
      <c r="Y18" s="328">
        <f>IF(D18=0,0,ROUND(AVERAGE(D18:D24)/100,4))</f>
        <v>0.0084</v>
      </c>
      <c r="Z18" s="328">
        <f t="shared" ref="Z18:AC18" si="110">IF(E18=0,0,ROUND(AVERAGE(E18:E24)/100,4))</f>
        <v>0.0035</v>
      </c>
      <c r="AA18" s="328">
        <f t="shared" si="110"/>
        <v>0.0015</v>
      </c>
      <c r="AB18" s="328">
        <f t="shared" si="110"/>
        <v>0.0092</v>
      </c>
      <c r="AC18" s="328">
        <f t="shared" si="110"/>
        <v>0.0068</v>
      </c>
      <c r="AD18" s="328">
        <f t="shared" si="90"/>
        <v>0.0015</v>
      </c>
      <c r="AF18" s="329">
        <f t="shared" si="30"/>
        <v>105</v>
      </c>
      <c r="AG18" s="329">
        <f t="shared" si="31"/>
        <v>102.3</v>
      </c>
      <c r="AH18" s="329">
        <f t="shared" si="32"/>
        <v>101.34</v>
      </c>
      <c r="AI18" s="329">
        <f t="shared" si="33"/>
        <v>105.45</v>
      </c>
      <c r="AJ18" s="329">
        <f t="shared" si="34"/>
        <v>104.47</v>
      </c>
      <c r="AK18" s="329">
        <f t="shared" si="35"/>
        <v>101.34</v>
      </c>
      <c r="AM18" s="329">
        <f t="shared" si="48"/>
        <v>99.3185639664955</v>
      </c>
      <c r="AN18" s="329">
        <f t="shared" si="49"/>
        <v>98.9473753819094</v>
      </c>
      <c r="AO18" s="329">
        <f t="shared" si="50"/>
        <v>102.224837010417</v>
      </c>
      <c r="AP18" s="329">
        <f t="shared" si="51"/>
        <v>98.7421155204817</v>
      </c>
      <c r="AQ18" s="329">
        <f t="shared" si="52"/>
        <v>96.089870223847</v>
      </c>
      <c r="AR18" s="329">
        <f t="shared" si="53"/>
        <v>102.224837010417</v>
      </c>
    </row>
    <row r="19" s="259" customFormat="1" ht="13" spans="1:44">
      <c r="A19" s="284" t="s">
        <v>2654</v>
      </c>
      <c r="B19" s="276">
        <v>2022</v>
      </c>
      <c r="C19" s="277">
        <v>2</v>
      </c>
      <c r="D19" s="278">
        <v>0.93</v>
      </c>
      <c r="E19" s="278">
        <v>0.15</v>
      </c>
      <c r="F19" s="278">
        <v>0.01</v>
      </c>
      <c r="G19" s="278">
        <v>1.05</v>
      </c>
      <c r="H19" s="285">
        <v>1.08</v>
      </c>
      <c r="I19" s="299">
        <f t="shared" si="87"/>
        <v>0.01</v>
      </c>
      <c r="J19" s="300"/>
      <c r="K19" s="301">
        <f t="shared" si="88"/>
        <v>0.0093</v>
      </c>
      <c r="L19" s="302">
        <f t="shared" si="88"/>
        <v>0.0015</v>
      </c>
      <c r="M19" s="302">
        <f t="shared" si="88"/>
        <v>0.0001</v>
      </c>
      <c r="N19" s="302">
        <f t="shared" si="88"/>
        <v>0.0105</v>
      </c>
      <c r="O19" s="302">
        <f t="shared" si="88"/>
        <v>0.0108</v>
      </c>
      <c r="P19" s="302">
        <f t="shared" si="108"/>
        <v>0.0001</v>
      </c>
      <c r="Q19" s="300"/>
      <c r="R19" s="319">
        <f>ROUND(IF(项目基本情况!$B$8="出让",SUMPRODUCT(PRODUCT(1+K19:$K$24)),SUMPRODUCT(PRODUCT(1+K19:$K$23))),4)</f>
        <v>1.0431</v>
      </c>
      <c r="S19" s="319">
        <f>ROUND(IF(项目基本情况!$B$8="出让",SUMPRODUCT(PRODUCT(1+L19:$L$24)),SUMPRODUCT(PRODUCT(1+L19:$L$23))),4)</f>
        <v>1.0197</v>
      </c>
      <c r="T19" s="319">
        <f>ROUND(IF(项目基本情况!$B$8="出让",SUMPRODUCT(PRODUCT(1+M19:$M$24)),SUMPRODUCT(PRODUCT(1+M19:$M$23))),4)</f>
        <v>1.011</v>
      </c>
      <c r="U19" s="319">
        <f>ROUND(IF(项目基本情况!$B$8="出让",SUMPRODUCT(PRODUCT(1+N19:$N$24)),SUMPRODUCT(PRODUCT(1+N19:$N$23))),4)</f>
        <v>1.0469</v>
      </c>
      <c r="V19" s="319">
        <f>ROUND(IF(项目基本情况!$B$8="出让",SUMPRODUCT(PRODUCT(1+O19:$O$24)),SUMPRODUCT(PRODUCT(1+O19:$O$23))),4)</f>
        <v>1.0382</v>
      </c>
      <c r="W19" s="319">
        <f t="shared" si="107"/>
        <v>1.011</v>
      </c>
      <c r="X19" s="300"/>
      <c r="Y19" s="328">
        <f>IF(D19=0,0,ROUND(AVERAGE(D19:D24)/100,4))</f>
        <v>0.0087</v>
      </c>
      <c r="Z19" s="328">
        <f t="shared" ref="Z19:AC19" si="111">IF(E19=0,0,ROUND(AVERAGE(E19:E24)/100,4))</f>
        <v>0.0035</v>
      </c>
      <c r="AA19" s="328">
        <f t="shared" si="111"/>
        <v>0.0014</v>
      </c>
      <c r="AB19" s="328">
        <f t="shared" si="111"/>
        <v>0.0095</v>
      </c>
      <c r="AC19" s="328">
        <f t="shared" si="111"/>
        <v>0.0069</v>
      </c>
      <c r="AD19" s="328">
        <f t="shared" si="90"/>
        <v>0.0014</v>
      </c>
      <c r="AF19" s="329">
        <f t="shared" si="30"/>
        <v>104.31</v>
      </c>
      <c r="AG19" s="329">
        <f t="shared" si="31"/>
        <v>101.97</v>
      </c>
      <c r="AH19" s="329">
        <f t="shared" si="32"/>
        <v>101.1</v>
      </c>
      <c r="AI19" s="329">
        <f t="shared" si="33"/>
        <v>104.69</v>
      </c>
      <c r="AJ19" s="329">
        <f t="shared" si="34"/>
        <v>103.82</v>
      </c>
      <c r="AK19" s="329">
        <f t="shared" si="35"/>
        <v>101.1</v>
      </c>
      <c r="AM19" s="329">
        <f t="shared" si="48"/>
        <v>98.6673593944919</v>
      </c>
      <c r="AN19" s="329">
        <f t="shared" si="49"/>
        <v>98.6317537698458</v>
      </c>
      <c r="AO19" s="329">
        <f t="shared" si="50"/>
        <v>101.990259413765</v>
      </c>
      <c r="AP19" s="329">
        <f t="shared" si="51"/>
        <v>98.0362544881669</v>
      </c>
      <c r="AQ19" s="329">
        <f t="shared" si="52"/>
        <v>95.4882939718245</v>
      </c>
      <c r="AR19" s="329">
        <f t="shared" si="53"/>
        <v>101.990259413765</v>
      </c>
    </row>
    <row r="20" s="259" customFormat="1" ht="13" spans="1:44">
      <c r="A20" s="284" t="s">
        <v>2655</v>
      </c>
      <c r="B20" s="276">
        <v>2022</v>
      </c>
      <c r="C20" s="277">
        <v>1</v>
      </c>
      <c r="D20" s="278">
        <v>0.89</v>
      </c>
      <c r="E20" s="278">
        <v>0.44</v>
      </c>
      <c r="F20" s="278">
        <v>0.37</v>
      </c>
      <c r="G20" s="278">
        <v>0.96</v>
      </c>
      <c r="H20" s="285">
        <v>0.64</v>
      </c>
      <c r="I20" s="299">
        <f t="shared" si="87"/>
        <v>0.37</v>
      </c>
      <c r="J20" s="300"/>
      <c r="K20" s="301">
        <f t="shared" si="88"/>
        <v>0.0089</v>
      </c>
      <c r="L20" s="302">
        <f t="shared" si="88"/>
        <v>0.0044</v>
      </c>
      <c r="M20" s="302">
        <f t="shared" si="88"/>
        <v>0.0037</v>
      </c>
      <c r="N20" s="302">
        <f t="shared" si="88"/>
        <v>0.0096</v>
      </c>
      <c r="O20" s="302">
        <f t="shared" si="88"/>
        <v>0.0064</v>
      </c>
      <c r="P20" s="302">
        <f t="shared" si="108"/>
        <v>0.0037</v>
      </c>
      <c r="Q20" s="300"/>
      <c r="R20" s="319">
        <f>ROUND(IF(项目基本情况!$B$8="出让",SUMPRODUCT(PRODUCT(1+K20:$K$24)),SUMPRODUCT(PRODUCT(1+K20:$K$23))),4)</f>
        <v>1.0335</v>
      </c>
      <c r="S20" s="319">
        <f>ROUND(IF(项目基本情况!$B$8="出让",SUMPRODUCT(PRODUCT(1+L20:$L$24)),SUMPRODUCT(PRODUCT(1+L20:$L$23))),4)</f>
        <v>1.0182</v>
      </c>
      <c r="T20" s="319">
        <f>ROUND(IF(项目基本情况!$B$8="出让",SUMPRODUCT(PRODUCT(1+M20:$M$24)),SUMPRODUCT(PRODUCT(1+M20:$M$23))),4)</f>
        <v>1.0109</v>
      </c>
      <c r="U20" s="319">
        <f>ROUND(IF(项目基本情况!$B$8="出让",SUMPRODUCT(PRODUCT(1+N20:$N$24)),SUMPRODUCT(PRODUCT(1+N20:$N$23))),4)</f>
        <v>1.0361</v>
      </c>
      <c r="V20" s="319">
        <f>ROUND(IF(项目基本情况!$B$8="出让",SUMPRODUCT(PRODUCT(1+O20:$O$24)),SUMPRODUCT(PRODUCT(1+O20:$O$23))),4)</f>
        <v>1.0271</v>
      </c>
      <c r="W20" s="319">
        <f t="shared" si="107"/>
        <v>1.0109</v>
      </c>
      <c r="X20" s="300"/>
      <c r="Y20" s="328">
        <f>IF(D20=0,0,ROUND(AVERAGE(D20:D24)/100,4))</f>
        <v>0.0086</v>
      </c>
      <c r="Z20" s="328">
        <f t="shared" ref="Z20:AC20" si="112">IF(E20=0,0,ROUND(AVERAGE(E20:E24)/100,4))</f>
        <v>0.0039</v>
      </c>
      <c r="AA20" s="328">
        <f t="shared" si="112"/>
        <v>0.0017</v>
      </c>
      <c r="AB20" s="328">
        <f t="shared" si="112"/>
        <v>0.0093</v>
      </c>
      <c r="AC20" s="328">
        <f t="shared" si="112"/>
        <v>0.0061</v>
      </c>
      <c r="AD20" s="328">
        <f t="shared" si="90"/>
        <v>0.0017</v>
      </c>
      <c r="AF20" s="329">
        <f t="shared" si="30"/>
        <v>103.35</v>
      </c>
      <c r="AG20" s="329">
        <f t="shared" si="31"/>
        <v>101.82</v>
      </c>
      <c r="AH20" s="329">
        <f t="shared" si="32"/>
        <v>101.09</v>
      </c>
      <c r="AI20" s="329">
        <f t="shared" si="33"/>
        <v>103.61</v>
      </c>
      <c r="AJ20" s="329">
        <f t="shared" si="34"/>
        <v>102.71</v>
      </c>
      <c r="AK20" s="329">
        <f t="shared" si="35"/>
        <v>101.09</v>
      </c>
      <c r="AM20" s="329">
        <f t="shared" si="48"/>
        <v>97.7582080595382</v>
      </c>
      <c r="AN20" s="329">
        <f t="shared" si="49"/>
        <v>98.4840277282535</v>
      </c>
      <c r="AO20" s="329">
        <f t="shared" si="50"/>
        <v>101.980061407624</v>
      </c>
      <c r="AP20" s="329">
        <f t="shared" si="51"/>
        <v>97.017570003134</v>
      </c>
      <c r="AQ20" s="329">
        <f t="shared" si="52"/>
        <v>94.4680391490152</v>
      </c>
      <c r="AR20" s="329">
        <f t="shared" si="53"/>
        <v>101.980061407624</v>
      </c>
    </row>
    <row r="21" s="259" customFormat="1" ht="13" spans="1:44">
      <c r="A21" s="284" t="s">
        <v>2656</v>
      </c>
      <c r="B21" s="276">
        <v>2021</v>
      </c>
      <c r="C21" s="277">
        <v>4</v>
      </c>
      <c r="D21" s="278">
        <v>1.03</v>
      </c>
      <c r="E21" s="278">
        <v>0.24</v>
      </c>
      <c r="F21" s="278">
        <v>0.07</v>
      </c>
      <c r="G21" s="278">
        <v>1.17</v>
      </c>
      <c r="H21" s="285">
        <v>0.55</v>
      </c>
      <c r="I21" s="299">
        <f t="shared" si="87"/>
        <v>0.07</v>
      </c>
      <c r="J21" s="300"/>
      <c r="K21" s="301">
        <f t="shared" si="88"/>
        <v>0.0103</v>
      </c>
      <c r="L21" s="302">
        <f t="shared" si="88"/>
        <v>0.0024</v>
      </c>
      <c r="M21" s="302">
        <f t="shared" si="88"/>
        <v>0.0007</v>
      </c>
      <c r="N21" s="302">
        <f t="shared" si="88"/>
        <v>0.0117</v>
      </c>
      <c r="O21" s="302">
        <f t="shared" si="88"/>
        <v>0.0055</v>
      </c>
      <c r="P21" s="302">
        <f t="shared" si="108"/>
        <v>0.0007</v>
      </c>
      <c r="Q21" s="300"/>
      <c r="R21" s="319">
        <f>ROUND(IF(项目基本情况!$B$8="出让",SUMPRODUCT(PRODUCT(1+K21:$K$24)),SUMPRODUCT(PRODUCT(1+K21:$K$23))),4)</f>
        <v>1.0244</v>
      </c>
      <c r="S21" s="319">
        <f>ROUND(IF(项目基本情况!$B$8="出让",SUMPRODUCT(PRODUCT(1+L21:$L$24)),SUMPRODUCT(PRODUCT(1+L21:$L$23))),4)</f>
        <v>1.0138</v>
      </c>
      <c r="T21" s="319">
        <f>ROUND(IF(项目基本情况!$B$8="出让",SUMPRODUCT(PRODUCT(1+M21:$M$24)),SUMPRODUCT(PRODUCT(1+M21:$M$23))),4)</f>
        <v>1.0072</v>
      </c>
      <c r="U21" s="319">
        <f>ROUND(IF(项目基本情况!$B$8="出让",SUMPRODUCT(PRODUCT(1+N21:$N$24)),SUMPRODUCT(PRODUCT(1+N21:$N$23))),4)</f>
        <v>1.0262</v>
      </c>
      <c r="V21" s="319">
        <f>ROUND(IF(项目基本情况!$B$8="出让",SUMPRODUCT(PRODUCT(1+O21:$O$24)),SUMPRODUCT(PRODUCT(1+O21:$O$23))),4)</f>
        <v>1.0205</v>
      </c>
      <c r="W21" s="319">
        <f t="shared" si="107"/>
        <v>1.0072</v>
      </c>
      <c r="X21" s="300"/>
      <c r="Y21" s="328">
        <f>IF(D21=0,0,ROUND(AVERAGE(D21:D24)/100,4))</f>
        <v>0.0085</v>
      </c>
      <c r="Z21" s="328">
        <f t="shared" ref="Z21:AC21" si="113">IF(E21=0,0,ROUND(AVERAGE(E21:E24)/100,4))</f>
        <v>0.0038</v>
      </c>
      <c r="AA21" s="328">
        <f t="shared" si="113"/>
        <v>0.0012</v>
      </c>
      <c r="AB21" s="328">
        <f t="shared" si="113"/>
        <v>0.0093</v>
      </c>
      <c r="AC21" s="328">
        <f t="shared" si="113"/>
        <v>0.006</v>
      </c>
      <c r="AD21" s="328">
        <f t="shared" si="90"/>
        <v>0.0012</v>
      </c>
      <c r="AF21" s="329">
        <f t="shared" si="30"/>
        <v>102.44</v>
      </c>
      <c r="AG21" s="329">
        <f t="shared" si="31"/>
        <v>101.38</v>
      </c>
      <c r="AH21" s="329">
        <f t="shared" si="32"/>
        <v>100.72</v>
      </c>
      <c r="AI21" s="329">
        <f t="shared" si="33"/>
        <v>102.62</v>
      </c>
      <c r="AJ21" s="329">
        <f t="shared" si="34"/>
        <v>102.05</v>
      </c>
      <c r="AK21" s="329">
        <f t="shared" si="35"/>
        <v>100.72</v>
      </c>
      <c r="AM21" s="329">
        <f t="shared" si="48"/>
        <v>96.8958351269087</v>
      </c>
      <c r="AN21" s="329">
        <f t="shared" si="49"/>
        <v>98.0525963045136</v>
      </c>
      <c r="AO21" s="329">
        <f t="shared" si="50"/>
        <v>101.604126140903</v>
      </c>
      <c r="AP21" s="329">
        <f t="shared" si="51"/>
        <v>96.0950574515987</v>
      </c>
      <c r="AQ21" s="329">
        <f t="shared" si="52"/>
        <v>93.8672885025985</v>
      </c>
      <c r="AR21" s="329">
        <f t="shared" si="53"/>
        <v>101.604126140903</v>
      </c>
    </row>
    <row r="22" s="259" customFormat="1" ht="13" spans="1:44">
      <c r="A22" s="284" t="s">
        <v>2657</v>
      </c>
      <c r="B22" s="276">
        <v>2021</v>
      </c>
      <c r="C22" s="277">
        <v>3</v>
      </c>
      <c r="D22" s="278">
        <v>0.47</v>
      </c>
      <c r="E22" s="278">
        <v>0.41</v>
      </c>
      <c r="F22" s="278">
        <v>0.24</v>
      </c>
      <c r="G22" s="278">
        <v>0.48</v>
      </c>
      <c r="H22" s="285">
        <v>0.48</v>
      </c>
      <c r="I22" s="299">
        <f t="shared" si="87"/>
        <v>0.24</v>
      </c>
      <c r="J22" s="300"/>
      <c r="K22" s="301">
        <f t="shared" si="88"/>
        <v>0.0047</v>
      </c>
      <c r="L22" s="302">
        <f t="shared" si="88"/>
        <v>0.0041</v>
      </c>
      <c r="M22" s="302">
        <f t="shared" si="88"/>
        <v>0.0024</v>
      </c>
      <c r="N22" s="302">
        <f t="shared" si="88"/>
        <v>0.0048</v>
      </c>
      <c r="O22" s="302">
        <f t="shared" si="88"/>
        <v>0.0048</v>
      </c>
      <c r="P22" s="302">
        <f t="shared" si="108"/>
        <v>0.0024</v>
      </c>
      <c r="Q22" s="300"/>
      <c r="R22" s="319">
        <f>ROUND(IF(项目基本情况!$B$8="出让",SUMPRODUCT(PRODUCT(1+K22:$K$24)),SUMPRODUCT(PRODUCT(1+K22:$K$23))),4)</f>
        <v>1.0139</v>
      </c>
      <c r="S22" s="319">
        <f>ROUND(IF(项目基本情况!$B$8="出让",SUMPRODUCT(PRODUCT(1+L22:$L$24)),SUMPRODUCT(PRODUCT(1+L22:$L$23))),4)</f>
        <v>1.0113</v>
      </c>
      <c r="T22" s="319">
        <f>ROUND(IF(项目基本情况!$B$8="出让",SUMPRODUCT(PRODUCT(1+M22:$M$24)),SUMPRODUCT(PRODUCT(1+M22:$M$23))),4)</f>
        <v>1.0065</v>
      </c>
      <c r="U22" s="319">
        <f>ROUND(IF(项目基本情况!$B$8="出让",SUMPRODUCT(PRODUCT(1+N22:$N$24)),SUMPRODUCT(PRODUCT(1+N22:$N$23))),4)</f>
        <v>1.0143</v>
      </c>
      <c r="V22" s="319">
        <f>ROUND(IF(项目基本情况!$B$8="出让",SUMPRODUCT(PRODUCT(1+O22:$O$24)),SUMPRODUCT(PRODUCT(1+O22:$O$23))),4)</f>
        <v>1.0149</v>
      </c>
      <c r="W22" s="319">
        <f t="shared" si="107"/>
        <v>1.0065</v>
      </c>
      <c r="X22" s="300"/>
      <c r="Y22" s="328">
        <f>IF(D22=0,0,ROUND(AVERAGE(D22:D24)/100,4))</f>
        <v>0.0079</v>
      </c>
      <c r="Z22" s="328">
        <f>IF(E22=0,0,ROUND(AVERAGE(E22:E24)/100,4))</f>
        <v>0.0043</v>
      </c>
      <c r="AA22" s="328">
        <f>IF(F22=0,0,ROUND(AVERAGE(F22:F24)/100,4))</f>
        <v>0.0013</v>
      </c>
      <c r="AB22" s="328">
        <f>IF(G22=0,0,ROUND(AVERAGE(G22:G24)/100,4))</f>
        <v>0.0085</v>
      </c>
      <c r="AC22" s="328">
        <f>IF(H22=0,0,ROUND(AVERAGE(H22:H24)/100,4))</f>
        <v>0.0062</v>
      </c>
      <c r="AD22" s="328">
        <f t="shared" si="90"/>
        <v>0.0013</v>
      </c>
      <c r="AF22" s="329">
        <f t="shared" si="30"/>
        <v>101.39</v>
      </c>
      <c r="AG22" s="329">
        <f t="shared" si="31"/>
        <v>101.13</v>
      </c>
      <c r="AH22" s="329">
        <f t="shared" si="32"/>
        <v>100.65</v>
      </c>
      <c r="AI22" s="329">
        <f t="shared" si="33"/>
        <v>101.43</v>
      </c>
      <c r="AJ22" s="329">
        <f t="shared" si="34"/>
        <v>101.49</v>
      </c>
      <c r="AK22" s="329">
        <f t="shared" si="35"/>
        <v>100.65</v>
      </c>
      <c r="AM22" s="329">
        <f t="shared" si="48"/>
        <v>95.9079829030077</v>
      </c>
      <c r="AN22" s="329">
        <f t="shared" si="49"/>
        <v>97.8178335041038</v>
      </c>
      <c r="AO22" s="329">
        <f t="shared" si="50"/>
        <v>101.5330530038</v>
      </c>
      <c r="AP22" s="329">
        <f t="shared" si="51"/>
        <v>94.9837476046246</v>
      </c>
      <c r="AQ22" s="329">
        <f t="shared" si="52"/>
        <v>93.3538423695659</v>
      </c>
      <c r="AR22" s="329">
        <f t="shared" si="53"/>
        <v>101.5330530038</v>
      </c>
    </row>
    <row r="23" s="259" customFormat="1" ht="13" spans="1:44">
      <c r="A23" s="284" t="s">
        <v>2658</v>
      </c>
      <c r="B23" s="276">
        <v>2021</v>
      </c>
      <c r="C23" s="277">
        <v>2</v>
      </c>
      <c r="D23" s="278">
        <v>0.92</v>
      </c>
      <c r="E23" s="278">
        <v>0.72</v>
      </c>
      <c r="F23" s="278">
        <v>0.41</v>
      </c>
      <c r="G23" s="278">
        <v>0.95</v>
      </c>
      <c r="H23" s="285">
        <v>1.01</v>
      </c>
      <c r="I23" s="299">
        <f t="shared" si="87"/>
        <v>0.41</v>
      </c>
      <c r="J23" s="300"/>
      <c r="K23" s="301">
        <f t="shared" si="88"/>
        <v>0.0092</v>
      </c>
      <c r="L23" s="302">
        <f t="shared" si="88"/>
        <v>0.0072</v>
      </c>
      <c r="M23" s="302">
        <f t="shared" si="88"/>
        <v>0.0041</v>
      </c>
      <c r="N23" s="302">
        <f t="shared" si="88"/>
        <v>0.0095</v>
      </c>
      <c r="O23" s="302">
        <f t="shared" si="88"/>
        <v>0.0101</v>
      </c>
      <c r="P23" s="302">
        <f t="shared" si="108"/>
        <v>0.0041</v>
      </c>
      <c r="Q23" s="300"/>
      <c r="R23" s="319">
        <f>ROUND(IF(项目基本情况!$B$8="出让",SUMPRODUCT(PRODUCT(1+K23:$K$24)),SUMPRODUCT(PRODUCT(1+K23:$K$23))),4)</f>
        <v>1.0092</v>
      </c>
      <c r="S23" s="319">
        <f>ROUND(IF(项目基本情况!$B$8="出让",SUMPRODUCT(PRODUCT(1+L23:$L$24)),SUMPRODUCT(PRODUCT(1+L23:$L$23))),4)</f>
        <v>1.0072</v>
      </c>
      <c r="T23" s="319">
        <f>ROUND(IF(项目基本情况!$B$8="出让",SUMPRODUCT(PRODUCT(1+M23:$M$24)),SUMPRODUCT(PRODUCT(1+M23:$M$23))),4)</f>
        <v>1.0041</v>
      </c>
      <c r="U23" s="319">
        <f>ROUND(IF(项目基本情况!$B$8="出让",SUMPRODUCT(PRODUCT(1+N23:$N$24)),SUMPRODUCT(PRODUCT(1+N23:$N$23))),4)</f>
        <v>1.0095</v>
      </c>
      <c r="V23" s="319">
        <f>ROUND(IF(项目基本情况!$B$8="出让",SUMPRODUCT(PRODUCT(1+O23:$O$24)),SUMPRODUCT(PRODUCT(1+O23:$O$23))),4)</f>
        <v>1.0101</v>
      </c>
      <c r="W23" s="319">
        <f t="shared" si="107"/>
        <v>1.0041</v>
      </c>
      <c r="X23" s="300"/>
      <c r="Y23" s="328">
        <f>IF(D23=0,0,ROUND(AVERAGE(D23:D24)/100,4))</f>
        <v>0.0095</v>
      </c>
      <c r="Z23" s="328">
        <f>IF(E23=0,0,ROUND(AVERAGE(E23:E24)/100,4))</f>
        <v>0.0044</v>
      </c>
      <c r="AA23" s="328">
        <f>IF(F23=0,0,ROUND(AVERAGE(F23:F24)/100,4))</f>
        <v>0.0008</v>
      </c>
      <c r="AB23" s="328">
        <f>IF(G23=0,0,ROUND(AVERAGE(G23:G24)/100,4))</f>
        <v>0.0103</v>
      </c>
      <c r="AC23" s="328">
        <f>IF(H23=0,0,ROUND(AVERAGE(H23:H24)/100,4))</f>
        <v>0.0069</v>
      </c>
      <c r="AD23" s="328">
        <f t="shared" si="90"/>
        <v>0.0008</v>
      </c>
      <c r="AF23" s="329">
        <f t="shared" si="30"/>
        <v>100.92</v>
      </c>
      <c r="AG23" s="329">
        <f t="shared" si="31"/>
        <v>100.72</v>
      </c>
      <c r="AH23" s="329">
        <f t="shared" si="32"/>
        <v>100.41</v>
      </c>
      <c r="AI23" s="329">
        <f t="shared" si="33"/>
        <v>100.95</v>
      </c>
      <c r="AJ23" s="329">
        <f t="shared" si="34"/>
        <v>101.01</v>
      </c>
      <c r="AK23" s="329">
        <f t="shared" si="35"/>
        <v>100.41</v>
      </c>
      <c r="AM23" s="329">
        <f t="shared" si="48"/>
        <v>95.4593240798325</v>
      </c>
      <c r="AN23" s="329">
        <f t="shared" si="49"/>
        <v>97.4184179903434</v>
      </c>
      <c r="AO23" s="329">
        <f t="shared" si="50"/>
        <v>101.289957106744</v>
      </c>
      <c r="AP23" s="329">
        <f t="shared" si="51"/>
        <v>94.530003587405</v>
      </c>
      <c r="AQ23" s="329">
        <f t="shared" si="52"/>
        <v>92.9078845238514</v>
      </c>
      <c r="AR23" s="329">
        <f t="shared" si="53"/>
        <v>101.289957106744</v>
      </c>
    </row>
    <row r="24" s="261" customFormat="1" ht="14.75" spans="1:44">
      <c r="A24" s="286" t="s">
        <v>2659</v>
      </c>
      <c r="B24" s="287">
        <v>2021</v>
      </c>
      <c r="C24" s="288">
        <v>1</v>
      </c>
      <c r="D24" s="289">
        <v>0.97</v>
      </c>
      <c r="E24" s="289">
        <v>0.16</v>
      </c>
      <c r="F24" s="289">
        <v>-0.25</v>
      </c>
      <c r="G24" s="289">
        <v>1.11</v>
      </c>
      <c r="H24" s="290">
        <v>0.36</v>
      </c>
      <c r="I24" s="307">
        <f t="shared" si="87"/>
        <v>-0.25</v>
      </c>
      <c r="J24" s="308"/>
      <c r="K24" s="309">
        <f t="shared" si="88"/>
        <v>0.0097</v>
      </c>
      <c r="L24" s="310">
        <f t="shared" si="88"/>
        <v>0.0016</v>
      </c>
      <c r="M24" s="310">
        <f>F24/100</f>
        <v>-0.0025</v>
      </c>
      <c r="N24" s="310">
        <f t="shared" si="88"/>
        <v>0.0111</v>
      </c>
      <c r="O24" s="310">
        <f t="shared" si="88"/>
        <v>0.0036</v>
      </c>
      <c r="P24" s="310">
        <f t="shared" si="108"/>
        <v>-0.0025</v>
      </c>
      <c r="Q24" s="308"/>
      <c r="R24" s="320">
        <v>1</v>
      </c>
      <c r="S24" s="320">
        <v>1</v>
      </c>
      <c r="T24" s="320">
        <v>1</v>
      </c>
      <c r="U24" s="320">
        <v>1</v>
      </c>
      <c r="V24" s="320">
        <v>1</v>
      </c>
      <c r="W24" s="320">
        <f t="shared" ref="W24" si="114">T24</f>
        <v>1</v>
      </c>
      <c r="X24" s="308"/>
      <c r="Y24" s="310">
        <f>IF(D24=0,0,ROUND(AVERAGE(D24:D24)/100,4))</f>
        <v>0.0097</v>
      </c>
      <c r="Z24" s="310">
        <f>IF(E24=0,0,ROUND(AVERAGE(E24:E24)/100,4))</f>
        <v>0.0016</v>
      </c>
      <c r="AA24" s="310">
        <f>IF(F24=0,0,ROUND(AVERAGE(F24:F24)/100,4))</f>
        <v>-0.0025</v>
      </c>
      <c r="AB24" s="310">
        <f>IF(G24=0,0,ROUND(AVERAGE(G24:G24)/100,4))</f>
        <v>0.0111</v>
      </c>
      <c r="AC24" s="310">
        <f>IF(H24=0,0,ROUND(AVERAGE(H24:H24)/100,4))</f>
        <v>0.0036</v>
      </c>
      <c r="AD24" s="310">
        <f t="shared" si="90"/>
        <v>-0.0025</v>
      </c>
      <c r="AF24" s="331">
        <v>100</v>
      </c>
      <c r="AG24" s="331">
        <v>100</v>
      </c>
      <c r="AH24" s="331">
        <v>100</v>
      </c>
      <c r="AI24" s="331">
        <v>100</v>
      </c>
      <c r="AJ24" s="331">
        <v>100</v>
      </c>
      <c r="AK24" s="331">
        <v>100</v>
      </c>
      <c r="AM24" s="342">
        <f t="shared" si="48"/>
        <v>94.5891043200877</v>
      </c>
      <c r="AN24" s="342">
        <f t="shared" si="49"/>
        <v>96.7220194503012</v>
      </c>
      <c r="AO24" s="342">
        <f t="shared" si="50"/>
        <v>100.876364014286</v>
      </c>
      <c r="AP24" s="342">
        <f t="shared" si="51"/>
        <v>93.6404196011937</v>
      </c>
      <c r="AQ24" s="342">
        <f t="shared" si="52"/>
        <v>91.9788976575106</v>
      </c>
      <c r="AR24" s="342">
        <f t="shared" si="53"/>
        <v>100.876364014286</v>
      </c>
    </row>
    <row r="25" s="262" customFormat="1" ht="14.75"/>
    <row r="26" s="262" customFormat="1" spans="1:1">
      <c r="A26" s="291" t="s">
        <v>2660</v>
      </c>
    </row>
    <row r="27" s="262" customFormat="1" spans="9:9">
      <c r="I27" s="311" t="s">
        <v>1561</v>
      </c>
    </row>
    <row r="28" s="262" customFormat="1"/>
    <row r="29" s="263" customFormat="1" ht="13" spans="2:25">
      <c r="B29" s="265" t="s">
        <v>2661</v>
      </c>
      <c r="C29" s="266"/>
      <c r="D29" s="266"/>
      <c r="E29" s="266"/>
      <c r="F29" s="266"/>
      <c r="G29" s="266"/>
      <c r="H29" s="266"/>
      <c r="I29" s="266"/>
      <c r="J29" s="292"/>
      <c r="K29" s="266" t="s">
        <v>2635</v>
      </c>
      <c r="L29" s="266"/>
      <c r="M29" s="266"/>
      <c r="N29" s="266"/>
      <c r="O29" s="266"/>
      <c r="P29" s="266"/>
      <c r="Q29" s="292"/>
      <c r="R29" s="312" t="s">
        <v>2636</v>
      </c>
      <c r="X29" s="292"/>
      <c r="Y29" s="312" t="s">
        <v>2637</v>
      </c>
    </row>
    <row r="30" s="256" customFormat="1" ht="14.75" spans="2:44">
      <c r="B30" s="267"/>
      <c r="C30" s="268"/>
      <c r="D30" s="269" t="s">
        <v>2638</v>
      </c>
      <c r="E30" s="270" t="s">
        <v>1924</v>
      </c>
      <c r="F30" s="270" t="s">
        <v>1925</v>
      </c>
      <c r="G30" s="270" t="s">
        <v>412</v>
      </c>
      <c r="H30" s="270"/>
      <c r="I30" s="270" t="s">
        <v>280</v>
      </c>
      <c r="J30" s="293"/>
      <c r="K30" s="269" t="s">
        <v>2638</v>
      </c>
      <c r="L30" s="270" t="s">
        <v>1924</v>
      </c>
      <c r="M30" s="270" t="s">
        <v>1925</v>
      </c>
      <c r="N30" s="270" t="s">
        <v>412</v>
      </c>
      <c r="O30" s="270"/>
      <c r="P30" s="270" t="s">
        <v>280</v>
      </c>
      <c r="Q30" s="293"/>
      <c r="R30" s="269" t="s">
        <v>2638</v>
      </c>
      <c r="S30" s="270" t="s">
        <v>1924</v>
      </c>
      <c r="T30" s="270" t="s">
        <v>1925</v>
      </c>
      <c r="U30" s="270" t="s">
        <v>412</v>
      </c>
      <c r="V30" s="270"/>
      <c r="W30" s="270" t="s">
        <v>280</v>
      </c>
      <c r="X30" s="293"/>
      <c r="Y30" s="269" t="s">
        <v>2638</v>
      </c>
      <c r="Z30" s="270" t="s">
        <v>1924</v>
      </c>
      <c r="AA30" s="270" t="s">
        <v>1925</v>
      </c>
      <c r="AB30" s="270" t="s">
        <v>412</v>
      </c>
      <c r="AC30" s="270"/>
      <c r="AD30" s="270" t="s">
        <v>280</v>
      </c>
      <c r="AG30" t="s">
        <v>1924</v>
      </c>
      <c r="AH30" t="s">
        <v>1925</v>
      </c>
      <c r="AI30" t="s">
        <v>412</v>
      </c>
      <c r="AJ30"/>
      <c r="AK30" t="s">
        <v>280</v>
      </c>
      <c r="AN30" t="s">
        <v>1924</v>
      </c>
      <c r="AO30" t="s">
        <v>1925</v>
      </c>
      <c r="AP30" t="s">
        <v>412</v>
      </c>
      <c r="AQ30"/>
      <c r="AR30" t="s">
        <v>280</v>
      </c>
    </row>
    <row r="31" s="257" customFormat="1" ht="13" spans="1:30">
      <c r="A31" s="271" t="s">
        <v>2639</v>
      </c>
      <c r="B31" s="272"/>
      <c r="C31" s="273"/>
      <c r="D31" s="273"/>
      <c r="E31" s="273">
        <f t="shared" ref="E31:G31" si="115">ROUND(AVERAGEIF(E32:E52,"&lt;&gt;0"),2)</f>
        <v>0.11</v>
      </c>
      <c r="F31" s="273">
        <f t="shared" si="115"/>
        <v>0.07</v>
      </c>
      <c r="G31" s="273">
        <f t="shared" si="115"/>
        <v>0.26</v>
      </c>
      <c r="H31" s="273"/>
      <c r="I31" s="273">
        <f>F31</f>
        <v>0.07</v>
      </c>
      <c r="J31" s="294"/>
      <c r="K31" s="295"/>
      <c r="L31" s="296">
        <f t="shared" ref="L31:N31" si="116">ROUND(AVERAGEIF(L32:L52,"&lt;&gt;0"),4)</f>
        <v>0.0011</v>
      </c>
      <c r="M31" s="296">
        <f t="shared" si="116"/>
        <v>0.0007</v>
      </c>
      <c r="N31" s="296">
        <f t="shared" si="116"/>
        <v>0.0026</v>
      </c>
      <c r="O31" s="296"/>
      <c r="P31" s="296">
        <f>M31</f>
        <v>0.0007</v>
      </c>
      <c r="Q31" s="294"/>
      <c r="R31" s="313"/>
      <c r="S31" s="314">
        <f>ROUND(SUMPRODUCT(PRODUCT(1+L32:L52)),4)</f>
        <v>1.0185</v>
      </c>
      <c r="T31" s="314">
        <f t="shared" ref="T31:U31" si="117">ROUND(SUMPRODUCT(PRODUCT(1+M32:M52)),4)</f>
        <v>1.012</v>
      </c>
      <c r="U31" s="314">
        <f t="shared" si="117"/>
        <v>1.0436</v>
      </c>
      <c r="V31" s="314"/>
      <c r="W31" s="313">
        <f>T31</f>
        <v>1.012</v>
      </c>
      <c r="X31" s="294"/>
      <c r="Y31" s="321"/>
      <c r="Z31" s="322">
        <f t="shared" ref="Z31:AB31" si="118">ROUND(AVERAGEIF(Z32:Z52,"&lt;&gt;0"),4)</f>
        <v>0.0036</v>
      </c>
      <c r="AA31" s="323">
        <f t="shared" si="118"/>
        <v>0.003</v>
      </c>
      <c r="AB31" s="321">
        <f t="shared" si="118"/>
        <v>0.007</v>
      </c>
      <c r="AC31" s="324"/>
      <c r="AD31" s="321">
        <f>AA31</f>
        <v>0.003</v>
      </c>
    </row>
    <row r="32" s="258" customFormat="1" ht="13" spans="2:30">
      <c r="B32" s="274"/>
      <c r="C32" s="275"/>
      <c r="D32" s="275"/>
      <c r="E32" s="275"/>
      <c r="F32" s="275"/>
      <c r="G32" s="275"/>
      <c r="H32" s="275"/>
      <c r="I32" s="275"/>
      <c r="J32" s="292"/>
      <c r="K32" s="297"/>
      <c r="L32" s="298"/>
      <c r="M32" s="298"/>
      <c r="N32" s="298"/>
      <c r="O32" s="298"/>
      <c r="P32" s="298"/>
      <c r="Q32" s="292"/>
      <c r="R32" s="315"/>
      <c r="S32" s="316"/>
      <c r="T32" s="317"/>
      <c r="U32" s="315"/>
      <c r="V32" s="318"/>
      <c r="W32" s="315"/>
      <c r="X32" s="292"/>
      <c r="Y32" s="302"/>
      <c r="Z32" s="325"/>
      <c r="AA32" s="326"/>
      <c r="AB32" s="302"/>
      <c r="AC32" s="327"/>
      <c r="AD32" s="302"/>
    </row>
    <row r="33" s="259" customFormat="1" spans="1:44">
      <c r="A33" s="133" t="s">
        <v>2640</v>
      </c>
      <c r="B33" s="276">
        <v>2025</v>
      </c>
      <c r="C33" s="277">
        <v>4</v>
      </c>
      <c r="D33" s="278"/>
      <c r="E33" s="278">
        <v>0</v>
      </c>
      <c r="F33" s="278">
        <v>0</v>
      </c>
      <c r="G33" s="278">
        <v>0</v>
      </c>
      <c r="H33" s="278"/>
      <c r="I33" s="299">
        <f t="shared" ref="I33" si="119">F33</f>
        <v>0</v>
      </c>
      <c r="J33" s="300"/>
      <c r="K33" s="301"/>
      <c r="L33" s="302">
        <f t="shared" ref="L33" si="120">E33/100</f>
        <v>0</v>
      </c>
      <c r="M33" s="302">
        <f t="shared" ref="M33" si="121">F33/100</f>
        <v>0</v>
      </c>
      <c r="N33" s="302">
        <f t="shared" ref="N33" si="122">G33/100</f>
        <v>0</v>
      </c>
      <c r="O33" s="302"/>
      <c r="P33" s="302">
        <f t="shared" ref="P33:P39" si="123">M33</f>
        <v>0</v>
      </c>
      <c r="Q33" s="300"/>
      <c r="R33" s="319"/>
      <c r="S33" s="319">
        <f>ROUND(IF(项目基本情况!$B$8="出让",SUMPRODUCT(PRODUCT(1+L33:L$52)),SUMPRODUCT(PRODUCT(1+L33:L$51))),4)</f>
        <v>1.0149</v>
      </c>
      <c r="T33" s="319">
        <f>ROUND(IF(项目基本情况!$B$8="出让",SUMPRODUCT(PRODUCT(1+M33:M$52)),SUMPRODUCT(PRODUCT(1+M33:M$51))),4)</f>
        <v>1.0072</v>
      </c>
      <c r="U33" s="319">
        <f>ROUND(IF(项目基本情况!$B$8="出让",SUMPRODUCT(PRODUCT(1+N33:N$52)),SUMPRODUCT(PRODUCT(1+N33:N$51))),4)</f>
        <v>1.0335</v>
      </c>
      <c r="V33" s="319"/>
      <c r="W33" s="319">
        <f t="shared" ref="W33:W39" si="124">T33</f>
        <v>1.0072</v>
      </c>
      <c r="X33" s="300"/>
      <c r="Y33" s="328"/>
      <c r="Z33" s="332">
        <f t="shared" ref="Z33" si="125">IF(E33=0,0,ROUND(AVERAGE(E33:E46)/100,4))</f>
        <v>0</v>
      </c>
      <c r="AA33" s="332">
        <f t="shared" ref="AA33" si="126">IF(F33=0,0,ROUND(AVERAGE(F33:F46)/100,4))</f>
        <v>0</v>
      </c>
      <c r="AB33" s="332">
        <f t="shared" ref="AB33" si="127">IF(G33=0,0,ROUND(AVERAGE(G33:G46)/100,4))</f>
        <v>0</v>
      </c>
      <c r="AC33" s="333"/>
      <c r="AD33" s="328">
        <f t="shared" ref="AD33:AD39" si="128">IF(I33=0,0,ROUND(AVERAGE(I33:I46)/100,4))</f>
        <v>0</v>
      </c>
      <c r="AG33" s="329">
        <f t="shared" ref="AG33:AG51" si="129">$AG$52*S33</f>
        <v>101.49</v>
      </c>
      <c r="AH33" s="329">
        <f t="shared" ref="AH33:AH50" si="130">$AG$52*T33</f>
        <v>100.72</v>
      </c>
      <c r="AI33" s="329">
        <f t="shared" ref="AI33:AI50" si="131">$AG$52*U33</f>
        <v>103.35</v>
      </c>
      <c r="AJ33" s="343"/>
      <c r="AK33" s="329">
        <f t="shared" ref="AK33:AK50" si="132">$AG$52*W33</f>
        <v>100.72</v>
      </c>
      <c r="AN33" s="344">
        <v>100</v>
      </c>
      <c r="AO33" s="344">
        <v>100</v>
      </c>
      <c r="AP33" s="344">
        <v>100</v>
      </c>
      <c r="AQ33" s="344"/>
      <c r="AR33" s="344">
        <v>100</v>
      </c>
    </row>
    <row r="34" s="259" customFormat="1" ht="13" spans="1:44">
      <c r="A34" s="133" t="s">
        <v>2641</v>
      </c>
      <c r="B34" s="276">
        <v>2025</v>
      </c>
      <c r="C34" s="277">
        <v>3</v>
      </c>
      <c r="D34" s="278"/>
      <c r="E34" s="278">
        <v>0</v>
      </c>
      <c r="F34" s="278">
        <v>0</v>
      </c>
      <c r="G34" s="278">
        <v>0</v>
      </c>
      <c r="H34" s="278"/>
      <c r="I34" s="299">
        <f t="shared" ref="I34" si="133">F34</f>
        <v>0</v>
      </c>
      <c r="J34" s="300"/>
      <c r="K34" s="301"/>
      <c r="L34" s="302">
        <f t="shared" ref="L34" si="134">E34/100</f>
        <v>0</v>
      </c>
      <c r="M34" s="302">
        <f t="shared" ref="M34" si="135">F34/100</f>
        <v>0</v>
      </c>
      <c r="N34" s="302">
        <f t="shared" ref="N34" si="136">G34/100</f>
        <v>0</v>
      </c>
      <c r="O34" s="302"/>
      <c r="P34" s="302">
        <f t="shared" si="123"/>
        <v>0</v>
      </c>
      <c r="Q34" s="300"/>
      <c r="R34" s="319"/>
      <c r="S34" s="319">
        <f>ROUND(IF(项目基本情况!$B$8="出让",SUMPRODUCT(PRODUCT(1+L34:L$52)),SUMPRODUCT(PRODUCT(1+L34:L$51))),4)</f>
        <v>1.0149</v>
      </c>
      <c r="T34" s="319">
        <f>ROUND(IF(项目基本情况!$B$8="出让",SUMPRODUCT(PRODUCT(1+M34:M$52)),SUMPRODUCT(PRODUCT(1+M34:M$51))),4)</f>
        <v>1.0072</v>
      </c>
      <c r="U34" s="319">
        <f>ROUND(IF(项目基本情况!$B$8="出让",SUMPRODUCT(PRODUCT(1+N34:N$52)),SUMPRODUCT(PRODUCT(1+N34:N$51))),4)</f>
        <v>1.0335</v>
      </c>
      <c r="V34" s="319"/>
      <c r="W34" s="319">
        <f t="shared" si="124"/>
        <v>1.0072</v>
      </c>
      <c r="X34" s="300"/>
      <c r="Y34" s="328"/>
      <c r="Z34" s="332">
        <f t="shared" ref="Z34" si="137">IF(E34=0,0,ROUND(AVERAGE(E34:E47)/100,4))</f>
        <v>0</v>
      </c>
      <c r="AA34" s="332">
        <f t="shared" ref="AA34" si="138">IF(F34=0,0,ROUND(AVERAGE(F34:F47)/100,4))</f>
        <v>0</v>
      </c>
      <c r="AB34" s="332">
        <f t="shared" ref="AB34" si="139">IF(G34=0,0,ROUND(AVERAGE(G34:G47)/100,4))</f>
        <v>0</v>
      </c>
      <c r="AC34" s="333"/>
      <c r="AD34" s="328">
        <f t="shared" si="128"/>
        <v>0</v>
      </c>
      <c r="AG34" s="329">
        <f t="shared" si="129"/>
        <v>101.49</v>
      </c>
      <c r="AH34" s="329">
        <f t="shared" si="130"/>
        <v>100.72</v>
      </c>
      <c r="AI34" s="329">
        <f t="shared" si="131"/>
        <v>103.35</v>
      </c>
      <c r="AJ34" s="343"/>
      <c r="AK34" s="329">
        <f t="shared" si="132"/>
        <v>100.72</v>
      </c>
      <c r="AN34" s="329">
        <f>AN33/(1+E33/100)</f>
        <v>100</v>
      </c>
      <c r="AO34" s="329">
        <f t="shared" ref="AO34:AR34" si="140">AO33/(1+F33/100)</f>
        <v>100</v>
      </c>
      <c r="AP34" s="329">
        <f t="shared" si="140"/>
        <v>100</v>
      </c>
      <c r="AQ34" s="329"/>
      <c r="AR34" s="329">
        <f t="shared" si="140"/>
        <v>100</v>
      </c>
    </row>
    <row r="35" s="260" customFormat="1" ht="13" spans="1:44">
      <c r="A35" s="279" t="s">
        <v>2642</v>
      </c>
      <c r="B35" s="280">
        <v>2025</v>
      </c>
      <c r="C35" s="281">
        <v>2</v>
      </c>
      <c r="D35" s="282"/>
      <c r="E35" s="282">
        <v>0</v>
      </c>
      <c r="F35" s="282">
        <v>0</v>
      </c>
      <c r="G35" s="282">
        <v>0</v>
      </c>
      <c r="H35" s="283"/>
      <c r="I35" s="303">
        <f t="shared" ref="I35" si="141">F35</f>
        <v>0</v>
      </c>
      <c r="J35" s="304"/>
      <c r="K35" s="305"/>
      <c r="L35" s="306">
        <f t="shared" ref="L35" si="142">E35/100</f>
        <v>0</v>
      </c>
      <c r="M35" s="306">
        <f t="shared" ref="M35" si="143">F35/100</f>
        <v>0</v>
      </c>
      <c r="N35" s="306">
        <f t="shared" ref="N35" si="144">G35/100</f>
        <v>0</v>
      </c>
      <c r="O35" s="306"/>
      <c r="P35" s="306">
        <f t="shared" si="123"/>
        <v>0</v>
      </c>
      <c r="Q35" s="304"/>
      <c r="R35" s="304"/>
      <c r="S35" s="304">
        <f>ROUND(IF(项目基本情况!$B$8="出让",SUMPRODUCT(PRODUCT(1+L35:L$52)),SUMPRODUCT(PRODUCT(1+L35:L$51))),4)</f>
        <v>1.0149</v>
      </c>
      <c r="T35" s="304">
        <f>ROUND(IF(项目基本情况!$B$8="出让",SUMPRODUCT(PRODUCT(1+M35:M$52)),SUMPRODUCT(PRODUCT(1+M35:M$51))),4)</f>
        <v>1.0072</v>
      </c>
      <c r="U35" s="304">
        <f>ROUND(IF(项目基本情况!$B$8="出让",SUMPRODUCT(PRODUCT(1+N35:N$52)),SUMPRODUCT(PRODUCT(1+N35:N$51))),4)</f>
        <v>1.0335</v>
      </c>
      <c r="V35" s="304"/>
      <c r="W35" s="304">
        <f t="shared" si="124"/>
        <v>1.0072</v>
      </c>
      <c r="X35" s="304"/>
      <c r="Y35" s="306"/>
      <c r="Z35" s="334">
        <f t="shared" ref="Z35" si="145">IF(E35=0,0,ROUND(AVERAGE(E35:E48)/100,4))</f>
        <v>0</v>
      </c>
      <c r="AA35" s="335">
        <f t="shared" ref="AA35" si="146">IF(F35=0,0,ROUND(AVERAGE(F35:F48)/100,4))</f>
        <v>0</v>
      </c>
      <c r="AB35" s="306">
        <f t="shared" ref="AB35" si="147">IF(G35=0,0,ROUND(AVERAGE(G35:G48)/100,4))</f>
        <v>0</v>
      </c>
      <c r="AC35" s="336"/>
      <c r="AD35" s="306">
        <f t="shared" si="128"/>
        <v>0</v>
      </c>
      <c r="AG35" s="330">
        <f t="shared" si="129"/>
        <v>101.49</v>
      </c>
      <c r="AH35" s="330">
        <f t="shared" si="130"/>
        <v>100.72</v>
      </c>
      <c r="AI35" s="330">
        <f t="shared" si="131"/>
        <v>103.35</v>
      </c>
      <c r="AJ35" s="345"/>
      <c r="AK35" s="330">
        <f t="shared" si="132"/>
        <v>100.72</v>
      </c>
      <c r="AN35" s="330">
        <f t="shared" ref="AN35:AN52" si="148">AN34/(1+E34/100)</f>
        <v>100</v>
      </c>
      <c r="AO35" s="330">
        <f t="shared" ref="AO35" si="149">AO34/(1+F34/100)</f>
        <v>100</v>
      </c>
      <c r="AP35" s="330">
        <f t="shared" ref="AP35" si="150">AP34/(1+G34/100)</f>
        <v>100</v>
      </c>
      <c r="AQ35" s="330"/>
      <c r="AR35" s="330">
        <f t="shared" ref="AR35" si="151">AR34/(1+I34/100)</f>
        <v>100</v>
      </c>
    </row>
    <row r="36" s="259" customFormat="1" ht="13" spans="1:44">
      <c r="A36" s="133" t="s">
        <v>2643</v>
      </c>
      <c r="B36" s="276">
        <v>2025</v>
      </c>
      <c r="C36" s="277">
        <v>1</v>
      </c>
      <c r="D36" s="278"/>
      <c r="E36" s="278">
        <v>-1.47</v>
      </c>
      <c r="F36" s="278">
        <v>-0.98</v>
      </c>
      <c r="G36" s="278">
        <v>-0.51</v>
      </c>
      <c r="H36" s="278"/>
      <c r="I36" s="299">
        <f t="shared" ref="I36" si="152">F36</f>
        <v>-0.98</v>
      </c>
      <c r="J36" s="300"/>
      <c r="K36" s="301"/>
      <c r="L36" s="302">
        <f t="shared" ref="L36" si="153">E36/100</f>
        <v>-0.0147</v>
      </c>
      <c r="M36" s="302">
        <f t="shared" ref="M36" si="154">F36/100</f>
        <v>-0.0098</v>
      </c>
      <c r="N36" s="302">
        <f t="shared" ref="N36" si="155">G36/100</f>
        <v>-0.0051</v>
      </c>
      <c r="O36" s="302"/>
      <c r="P36" s="302">
        <f t="shared" si="123"/>
        <v>-0.0098</v>
      </c>
      <c r="Q36" s="300"/>
      <c r="R36" s="319"/>
      <c r="S36" s="319">
        <f>ROUND(IF(项目基本情况!$B$8="出让",SUMPRODUCT(PRODUCT(1+L36:L$52)),SUMPRODUCT(PRODUCT(1+L36:L$51))),4)</f>
        <v>1.0149</v>
      </c>
      <c r="T36" s="319">
        <f>ROUND(IF(项目基本情况!$B$8="出让",SUMPRODUCT(PRODUCT(1+M36:M$52)),SUMPRODUCT(PRODUCT(1+M36:M$51))),4)</f>
        <v>1.0072</v>
      </c>
      <c r="U36" s="319">
        <f>ROUND(IF(项目基本情况!$B$8="出让",SUMPRODUCT(PRODUCT(1+N36:N$52)),SUMPRODUCT(PRODUCT(1+N36:N$51))),4)</f>
        <v>1.0335</v>
      </c>
      <c r="V36" s="319"/>
      <c r="W36" s="319">
        <f t="shared" si="124"/>
        <v>1.0072</v>
      </c>
      <c r="X36" s="300"/>
      <c r="Y36" s="328"/>
      <c r="Z36" s="332">
        <f t="shared" ref="Z36" si="156">IF(E36=0,0,ROUND(AVERAGE(E36:E49)/100,4))</f>
        <v>0.0004</v>
      </c>
      <c r="AA36" s="332">
        <f t="shared" ref="AA36" si="157">IF(F36=0,0,ROUND(AVERAGE(F36:F49)/100,4))</f>
        <v>0</v>
      </c>
      <c r="AB36" s="332">
        <f t="shared" ref="AB36" si="158">IF(G36=0,0,ROUND(AVERAGE(G36:G49)/100,4))</f>
        <v>0.001</v>
      </c>
      <c r="AC36" s="333"/>
      <c r="AD36" s="328">
        <f t="shared" si="128"/>
        <v>0</v>
      </c>
      <c r="AG36" s="329">
        <f t="shared" si="129"/>
        <v>101.49</v>
      </c>
      <c r="AH36" s="329">
        <f t="shared" si="130"/>
        <v>100.72</v>
      </c>
      <c r="AI36" s="329">
        <f t="shared" si="131"/>
        <v>103.35</v>
      </c>
      <c r="AJ36" s="343"/>
      <c r="AK36" s="329">
        <f t="shared" si="132"/>
        <v>100.72</v>
      </c>
      <c r="AN36" s="329">
        <f t="shared" si="148"/>
        <v>100</v>
      </c>
      <c r="AO36" s="329">
        <f t="shared" ref="AO36:AO52" si="159">AO35/(1+F35/100)</f>
        <v>100</v>
      </c>
      <c r="AP36" s="329">
        <f t="shared" ref="AP36:AP52" si="160">AP35/(1+G35/100)</f>
        <v>100</v>
      </c>
      <c r="AQ36" s="329"/>
      <c r="AR36" s="329">
        <f t="shared" ref="AR36:AR52" si="161">AR35/(1+I35/100)</f>
        <v>100</v>
      </c>
    </row>
    <row r="37" s="259" customFormat="1" ht="13" spans="1:44">
      <c r="A37" s="133" t="s">
        <v>2644</v>
      </c>
      <c r="B37" s="276">
        <v>2024</v>
      </c>
      <c r="C37" s="277">
        <v>4</v>
      </c>
      <c r="D37" s="278"/>
      <c r="E37" s="278">
        <v>-0.61</v>
      </c>
      <c r="F37" s="278">
        <v>-0.71</v>
      </c>
      <c r="G37" s="278">
        <v>-0.88</v>
      </c>
      <c r="H37" s="278"/>
      <c r="I37" s="299">
        <f t="shared" ref="I37" si="162">F37</f>
        <v>-0.71</v>
      </c>
      <c r="J37" s="300"/>
      <c r="K37" s="301"/>
      <c r="L37" s="302">
        <f t="shared" ref="L37" si="163">E37/100</f>
        <v>-0.0061</v>
      </c>
      <c r="M37" s="302">
        <f t="shared" ref="M37" si="164">F37/100</f>
        <v>-0.0071</v>
      </c>
      <c r="N37" s="302">
        <f t="shared" ref="N37" si="165">G37/100</f>
        <v>-0.0088</v>
      </c>
      <c r="O37" s="302"/>
      <c r="P37" s="302">
        <f t="shared" si="123"/>
        <v>-0.0071</v>
      </c>
      <c r="Q37" s="300"/>
      <c r="R37" s="319"/>
      <c r="S37" s="319">
        <f>ROUND(IF(项目基本情况!$B$8="出让",SUMPRODUCT(PRODUCT(1+L37:L$52)),SUMPRODUCT(PRODUCT(1+L37:L$51))),4)</f>
        <v>1.0301</v>
      </c>
      <c r="T37" s="319">
        <f>ROUND(IF(项目基本情况!$B$8="出让",SUMPRODUCT(PRODUCT(1+M37:M$52)),SUMPRODUCT(PRODUCT(1+M37:M$51))),4)</f>
        <v>1.0171</v>
      </c>
      <c r="U37" s="319">
        <f>ROUND(IF(项目基本情况!$B$8="出让",SUMPRODUCT(PRODUCT(1+N37:N$52)),SUMPRODUCT(PRODUCT(1+N37:N$51))),4)</f>
        <v>1.0388</v>
      </c>
      <c r="V37" s="319"/>
      <c r="W37" s="319">
        <f t="shared" si="124"/>
        <v>1.0171</v>
      </c>
      <c r="X37" s="300"/>
      <c r="Y37" s="328"/>
      <c r="Z37" s="332">
        <f t="shared" ref="Z37" si="166">IF(E37=0,0,ROUND(AVERAGE(E37:E50)/100,4))</f>
        <v>0.0017</v>
      </c>
      <c r="AA37" s="332">
        <f t="shared" ref="AA37" si="167">IF(F37=0,0,ROUND(AVERAGE(F37:F50)/100,4))</f>
        <v>0.0009</v>
      </c>
      <c r="AB37" s="332">
        <f t="shared" ref="AB37" si="168">IF(G37=0,0,ROUND(AVERAGE(G37:G50)/100,4))</f>
        <v>0.002</v>
      </c>
      <c r="AC37" s="333"/>
      <c r="AD37" s="328">
        <f t="shared" si="128"/>
        <v>0.0009</v>
      </c>
      <c r="AG37" s="329">
        <f t="shared" si="129"/>
        <v>103.01</v>
      </c>
      <c r="AH37" s="329">
        <f t="shared" si="130"/>
        <v>101.71</v>
      </c>
      <c r="AI37" s="329">
        <f t="shared" si="131"/>
        <v>103.88</v>
      </c>
      <c r="AJ37" s="343"/>
      <c r="AK37" s="329">
        <f t="shared" si="132"/>
        <v>101.71</v>
      </c>
      <c r="AN37" s="329">
        <f t="shared" si="148"/>
        <v>101.491931391454</v>
      </c>
      <c r="AO37" s="329">
        <f t="shared" si="159"/>
        <v>100.989699050697</v>
      </c>
      <c r="AP37" s="329">
        <f t="shared" si="160"/>
        <v>100.512614333099</v>
      </c>
      <c r="AQ37" s="329"/>
      <c r="AR37" s="329">
        <f t="shared" si="161"/>
        <v>100.989699050697</v>
      </c>
    </row>
    <row r="38" s="259" customFormat="1" ht="13" spans="1:44">
      <c r="A38" s="133" t="s">
        <v>2645</v>
      </c>
      <c r="B38" s="276">
        <v>2024</v>
      </c>
      <c r="C38" s="277">
        <v>3</v>
      </c>
      <c r="D38" s="278"/>
      <c r="E38" s="278">
        <v>-0.66</v>
      </c>
      <c r="F38" s="278">
        <v>-0.52</v>
      </c>
      <c r="G38" s="278">
        <v>-2.87</v>
      </c>
      <c r="H38" s="278"/>
      <c r="I38" s="299">
        <f t="shared" ref="I38" si="169">F38</f>
        <v>-0.52</v>
      </c>
      <c r="J38" s="300"/>
      <c r="K38" s="301"/>
      <c r="L38" s="302">
        <f t="shared" ref="L38" si="170">E38/100</f>
        <v>-0.0066</v>
      </c>
      <c r="M38" s="302">
        <f t="shared" ref="M38" si="171">F38/100</f>
        <v>-0.0052</v>
      </c>
      <c r="N38" s="302">
        <f t="shared" ref="N38" si="172">G38/100</f>
        <v>-0.0287</v>
      </c>
      <c r="O38" s="302"/>
      <c r="P38" s="302">
        <f t="shared" si="123"/>
        <v>-0.0052</v>
      </c>
      <c r="Q38" s="300"/>
      <c r="R38" s="319"/>
      <c r="S38" s="319">
        <f>ROUND(IF(项目基本情况!$B$8="出让",SUMPRODUCT(PRODUCT(1+L38:L$52)),SUMPRODUCT(PRODUCT(1+L38:L$51))),4)</f>
        <v>1.0364</v>
      </c>
      <c r="T38" s="319">
        <f>ROUND(IF(项目基本情况!$B$8="出让",SUMPRODUCT(PRODUCT(1+M38:M$52)),SUMPRODUCT(PRODUCT(1+M38:M$51))),4)</f>
        <v>1.0244</v>
      </c>
      <c r="U38" s="319">
        <f>ROUND(IF(项目基本情况!$B$8="出让",SUMPRODUCT(PRODUCT(1+N38:N$52)),SUMPRODUCT(PRODUCT(1+N38:N$51))),4)</f>
        <v>1.048</v>
      </c>
      <c r="V38" s="319"/>
      <c r="W38" s="319">
        <f t="shared" si="124"/>
        <v>1.0244</v>
      </c>
      <c r="X38" s="300"/>
      <c r="Y38" s="328"/>
      <c r="Z38" s="332">
        <f t="shared" ref="Z38:AB39" si="173">IF(E38=0,0,ROUND(AVERAGE(E38:E51)/100,4))</f>
        <v>0.0026</v>
      </c>
      <c r="AA38" s="332">
        <f t="shared" si="173"/>
        <v>0.0017</v>
      </c>
      <c r="AB38" s="332">
        <f t="shared" si="173"/>
        <v>0.0034</v>
      </c>
      <c r="AC38" s="333"/>
      <c r="AD38" s="328">
        <f t="shared" si="128"/>
        <v>0.0017</v>
      </c>
      <c r="AG38" s="329">
        <f t="shared" si="129"/>
        <v>103.64</v>
      </c>
      <c r="AH38" s="329">
        <f t="shared" si="130"/>
        <v>102.44</v>
      </c>
      <c r="AI38" s="329">
        <f t="shared" si="131"/>
        <v>104.8</v>
      </c>
      <c r="AJ38" s="343"/>
      <c r="AK38" s="329">
        <f t="shared" si="132"/>
        <v>102.44</v>
      </c>
      <c r="AN38" s="329">
        <f t="shared" si="148"/>
        <v>102.114831865836</v>
      </c>
      <c r="AO38" s="329">
        <f t="shared" si="159"/>
        <v>101.711853208477</v>
      </c>
      <c r="AP38" s="329">
        <f t="shared" si="160"/>
        <v>101.404978140737</v>
      </c>
      <c r="AQ38" s="329"/>
      <c r="AR38" s="329">
        <f t="shared" si="161"/>
        <v>101.711853208477</v>
      </c>
    </row>
    <row r="39" s="259" customFormat="1" ht="13" spans="1:44">
      <c r="A39" s="284" t="s">
        <v>2646</v>
      </c>
      <c r="B39" s="276">
        <v>2024</v>
      </c>
      <c r="C39" s="277">
        <v>2</v>
      </c>
      <c r="D39" s="278"/>
      <c r="E39" s="278">
        <v>-0.31</v>
      </c>
      <c r="F39" s="278">
        <v>-0.39</v>
      </c>
      <c r="G39" s="278">
        <v>1.23</v>
      </c>
      <c r="H39" s="285"/>
      <c r="I39" s="299">
        <f t="shared" ref="I39:I52" si="174">F39</f>
        <v>-0.39</v>
      </c>
      <c r="J39" s="300"/>
      <c r="K39" s="301"/>
      <c r="L39" s="302">
        <f t="shared" ref="L39:N52" si="175">E39/100</f>
        <v>-0.0031</v>
      </c>
      <c r="M39" s="302">
        <f t="shared" si="175"/>
        <v>-0.0039</v>
      </c>
      <c r="N39" s="302">
        <f t="shared" si="175"/>
        <v>0.0123</v>
      </c>
      <c r="O39" s="302"/>
      <c r="P39" s="302">
        <f t="shared" si="123"/>
        <v>-0.0039</v>
      </c>
      <c r="Q39" s="300"/>
      <c r="R39" s="319"/>
      <c r="S39" s="319">
        <f>ROUND(IF(项目基本情况!$B$8="出让",SUMPRODUCT(PRODUCT(1+L39:L$52)),SUMPRODUCT(PRODUCT(1+L39:L$51))),4)</f>
        <v>1.0433</v>
      </c>
      <c r="T39" s="319">
        <f>ROUND(IF(项目基本情况!$B$8="出让",SUMPRODUCT(PRODUCT(1+M39:M$52)),SUMPRODUCT(PRODUCT(1+M39:M$51))),4)</f>
        <v>1.0298</v>
      </c>
      <c r="U39" s="319">
        <f>ROUND(IF(项目基本情况!$B$8="出让",SUMPRODUCT(PRODUCT(1+N39:N$52)),SUMPRODUCT(PRODUCT(1+N39:N$51))),4)</f>
        <v>1.079</v>
      </c>
      <c r="V39" s="319"/>
      <c r="W39" s="319">
        <f t="shared" si="124"/>
        <v>1.0298</v>
      </c>
      <c r="X39" s="300"/>
      <c r="Y39" s="328"/>
      <c r="Z39" s="332">
        <f t="shared" si="173"/>
        <v>0.0033</v>
      </c>
      <c r="AA39" s="337">
        <f t="shared" si="173"/>
        <v>0.0024</v>
      </c>
      <c r="AB39" s="328">
        <f t="shared" si="173"/>
        <v>0.0062</v>
      </c>
      <c r="AC39" s="333"/>
      <c r="AD39" s="328">
        <f t="shared" si="128"/>
        <v>0.0024</v>
      </c>
      <c r="AG39" s="329">
        <f t="shared" si="129"/>
        <v>104.33</v>
      </c>
      <c r="AH39" s="329">
        <f t="shared" si="130"/>
        <v>102.98</v>
      </c>
      <c r="AI39" s="329">
        <f t="shared" si="131"/>
        <v>107.9</v>
      </c>
      <c r="AJ39" s="343"/>
      <c r="AK39" s="329">
        <f t="shared" si="132"/>
        <v>102.98</v>
      </c>
      <c r="AN39" s="329">
        <f t="shared" si="148"/>
        <v>102.79326743088</v>
      </c>
      <c r="AO39" s="329">
        <f t="shared" si="159"/>
        <v>102.243519509929</v>
      </c>
      <c r="AP39" s="329">
        <f t="shared" si="160"/>
        <v>104.401295316316</v>
      </c>
      <c r="AQ39" s="329"/>
      <c r="AR39" s="329">
        <f t="shared" si="161"/>
        <v>102.243519509929</v>
      </c>
    </row>
    <row r="40" s="259" customFormat="1" ht="13" spans="1:44">
      <c r="A40" s="284" t="s">
        <v>2647</v>
      </c>
      <c r="B40" s="276">
        <v>2024</v>
      </c>
      <c r="C40" s="277">
        <v>1</v>
      </c>
      <c r="D40" s="278"/>
      <c r="E40" s="278">
        <v>0.25</v>
      </c>
      <c r="F40" s="278">
        <v>0.4</v>
      </c>
      <c r="G40" s="278">
        <v>-0.63</v>
      </c>
      <c r="H40" s="285"/>
      <c r="I40" s="299">
        <f t="shared" ref="I40:I41" si="176">F40</f>
        <v>0.4</v>
      </c>
      <c r="J40" s="300"/>
      <c r="K40" s="301"/>
      <c r="L40" s="302">
        <f t="shared" ref="L40" si="177">E40/100</f>
        <v>0.0025</v>
      </c>
      <c r="M40" s="302">
        <f t="shared" ref="M40" si="178">F40/100</f>
        <v>0.004</v>
      </c>
      <c r="N40" s="302">
        <f t="shared" ref="N40" si="179">G40/100</f>
        <v>-0.0063</v>
      </c>
      <c r="O40" s="302"/>
      <c r="P40" s="302">
        <f t="shared" ref="P40" si="180">M40</f>
        <v>0.004</v>
      </c>
      <c r="Q40" s="300"/>
      <c r="R40" s="319"/>
      <c r="S40" s="319">
        <f>ROUND(IF(项目基本情况!$B$8="出让",SUMPRODUCT(PRODUCT(1+L40:L$52)),SUMPRODUCT(PRODUCT(1+L40:L$51))),4)</f>
        <v>1.0465</v>
      </c>
      <c r="T40" s="319">
        <f>ROUND(IF(项目基本情况!$B$8="出让",SUMPRODUCT(PRODUCT(1+M40:M$52)),SUMPRODUCT(PRODUCT(1+M40:M$51))),4)</f>
        <v>1.0338</v>
      </c>
      <c r="U40" s="319">
        <f>ROUND(IF(项目基本情况!$B$8="出让",SUMPRODUCT(PRODUCT(1+N40:N$52)),SUMPRODUCT(PRODUCT(1+N40:N$51))),4)</f>
        <v>1.0659</v>
      </c>
      <c r="V40" s="319"/>
      <c r="W40" s="319">
        <f t="shared" ref="W40" si="181">T40</f>
        <v>1.0338</v>
      </c>
      <c r="X40" s="300"/>
      <c r="Y40" s="328"/>
      <c r="Z40" s="332"/>
      <c r="AA40" s="337"/>
      <c r="AB40" s="328"/>
      <c r="AC40" s="333"/>
      <c r="AD40" s="328"/>
      <c r="AG40" s="329">
        <f t="shared" si="129"/>
        <v>104.65</v>
      </c>
      <c r="AH40" s="329">
        <f t="shared" si="130"/>
        <v>103.38</v>
      </c>
      <c r="AI40" s="329">
        <f t="shared" si="131"/>
        <v>106.59</v>
      </c>
      <c r="AJ40" s="343"/>
      <c r="AK40" s="329">
        <f t="shared" si="132"/>
        <v>103.38</v>
      </c>
      <c r="AN40" s="329">
        <f t="shared" si="148"/>
        <v>103.112917475052</v>
      </c>
      <c r="AO40" s="329">
        <f t="shared" si="159"/>
        <v>102.643830448678</v>
      </c>
      <c r="AP40" s="329">
        <f t="shared" si="160"/>
        <v>103.132762339539</v>
      </c>
      <c r="AQ40" s="329"/>
      <c r="AR40" s="329">
        <f t="shared" si="161"/>
        <v>102.643830448678</v>
      </c>
    </row>
    <row r="41" s="259" customFormat="1" ht="13" spans="1:44">
      <c r="A41" s="284" t="s">
        <v>2648</v>
      </c>
      <c r="B41" s="276">
        <v>2023</v>
      </c>
      <c r="C41" s="277">
        <v>4</v>
      </c>
      <c r="D41" s="278"/>
      <c r="E41" s="278">
        <v>0.07</v>
      </c>
      <c r="F41" s="278">
        <v>0.09</v>
      </c>
      <c r="G41" s="278">
        <v>0.03</v>
      </c>
      <c r="H41" s="285"/>
      <c r="I41" s="299">
        <f t="shared" si="176"/>
        <v>0.09</v>
      </c>
      <c r="J41" s="300"/>
      <c r="K41" s="301"/>
      <c r="L41" s="302">
        <f t="shared" si="175"/>
        <v>0.0007</v>
      </c>
      <c r="M41" s="302">
        <f t="shared" si="175"/>
        <v>0.0009</v>
      </c>
      <c r="N41" s="302">
        <f t="shared" si="175"/>
        <v>0.0003</v>
      </c>
      <c r="O41" s="302"/>
      <c r="P41" s="302">
        <f t="shared" ref="P41" si="182">M41</f>
        <v>0.0009</v>
      </c>
      <c r="Q41" s="300"/>
      <c r="R41" s="319"/>
      <c r="S41" s="319">
        <f>ROUND(IF(项目基本情况!$B$8="出让",SUMPRODUCT(PRODUCT(1+L41:L$52)),SUMPRODUCT(PRODUCT(1+L41:L$51))),4)</f>
        <v>1.0439</v>
      </c>
      <c r="T41" s="319">
        <f>ROUND(IF(项目基本情况!$B$8="出让",SUMPRODUCT(PRODUCT(1+M41:M$52)),SUMPRODUCT(PRODUCT(1+M41:M$51))),4)</f>
        <v>1.0297</v>
      </c>
      <c r="U41" s="319">
        <f>ROUND(IF(项目基本情况!$B$8="出让",SUMPRODUCT(PRODUCT(1+N41:N$52)),SUMPRODUCT(PRODUCT(1+N41:N$51))),4)</f>
        <v>1.0727</v>
      </c>
      <c r="V41" s="319"/>
      <c r="W41" s="319">
        <f t="shared" ref="W41" si="183">T41</f>
        <v>1.0297</v>
      </c>
      <c r="X41" s="300"/>
      <c r="Y41" s="328"/>
      <c r="Z41" s="332"/>
      <c r="AA41" s="337"/>
      <c r="AB41" s="328"/>
      <c r="AC41" s="333"/>
      <c r="AD41" s="328"/>
      <c r="AG41" s="329">
        <f t="shared" si="129"/>
        <v>104.39</v>
      </c>
      <c r="AH41" s="329">
        <f t="shared" si="130"/>
        <v>102.97</v>
      </c>
      <c r="AI41" s="329">
        <f t="shared" si="131"/>
        <v>107.27</v>
      </c>
      <c r="AJ41" s="343"/>
      <c r="AK41" s="329">
        <f t="shared" si="132"/>
        <v>102.97</v>
      </c>
      <c r="AN41" s="329">
        <f t="shared" si="148"/>
        <v>102.855778029978</v>
      </c>
      <c r="AO41" s="329">
        <f t="shared" si="159"/>
        <v>102.234890885138</v>
      </c>
      <c r="AP41" s="329">
        <f t="shared" si="160"/>
        <v>103.786618033148</v>
      </c>
      <c r="AQ41" s="329"/>
      <c r="AR41" s="329">
        <f t="shared" si="161"/>
        <v>102.234890885138</v>
      </c>
    </row>
    <row r="42" s="259" customFormat="1" ht="13" spans="1:44">
      <c r="A42" s="284" t="s">
        <v>2649</v>
      </c>
      <c r="B42" s="276">
        <v>2023</v>
      </c>
      <c r="C42" s="277">
        <v>3</v>
      </c>
      <c r="D42" s="278"/>
      <c r="E42" s="278">
        <v>0.35</v>
      </c>
      <c r="F42" s="278">
        <v>0.17</v>
      </c>
      <c r="G42" s="278">
        <v>0.52</v>
      </c>
      <c r="H42" s="285"/>
      <c r="I42" s="299">
        <f t="shared" si="174"/>
        <v>0.17</v>
      </c>
      <c r="J42" s="300"/>
      <c r="K42" s="301"/>
      <c r="L42" s="302">
        <f t="shared" ref="L42:L44" si="184">E42/100</f>
        <v>0.0035</v>
      </c>
      <c r="M42" s="302">
        <f t="shared" ref="M42:M44" si="185">F42/100</f>
        <v>0.0017</v>
      </c>
      <c r="N42" s="302">
        <f t="shared" ref="N42:N44" si="186">G42/100</f>
        <v>0.0052</v>
      </c>
      <c r="O42" s="302"/>
      <c r="P42" s="302">
        <f t="shared" ref="P42:P44" si="187">M42</f>
        <v>0.0017</v>
      </c>
      <c r="Q42" s="300"/>
      <c r="R42" s="319"/>
      <c r="S42" s="319">
        <f>ROUND(IF(项目基本情况!$B$8="出让",SUMPRODUCT(PRODUCT(1+L42:L$52)),SUMPRODUCT(PRODUCT(1+L42:L$51))),4)</f>
        <v>1.0432</v>
      </c>
      <c r="T42" s="319">
        <f>ROUND(IF(项目基本情况!$B$8="出让",SUMPRODUCT(PRODUCT(1+M42:M$52)),SUMPRODUCT(PRODUCT(1+M42:M$51))),4)</f>
        <v>1.0287</v>
      </c>
      <c r="U42" s="319">
        <f>ROUND(IF(项目基本情况!$B$8="出让",SUMPRODUCT(PRODUCT(1+N42:N$52)),SUMPRODUCT(PRODUCT(1+N42:N$51))),4)</f>
        <v>1.0723</v>
      </c>
      <c r="V42" s="319"/>
      <c r="W42" s="319">
        <f t="shared" ref="W42:W44" si="188">T42</f>
        <v>1.0287</v>
      </c>
      <c r="X42" s="300"/>
      <c r="Y42" s="328"/>
      <c r="Z42" s="332"/>
      <c r="AA42" s="337"/>
      <c r="AB42" s="328"/>
      <c r="AC42" s="333"/>
      <c r="AD42" s="328"/>
      <c r="AG42" s="329">
        <f t="shared" si="129"/>
        <v>104.32</v>
      </c>
      <c r="AH42" s="329">
        <f t="shared" si="130"/>
        <v>102.87</v>
      </c>
      <c r="AI42" s="329">
        <f t="shared" si="131"/>
        <v>107.23</v>
      </c>
      <c r="AJ42" s="343"/>
      <c r="AK42" s="329">
        <f t="shared" si="132"/>
        <v>102.87</v>
      </c>
      <c r="AN42" s="329">
        <f t="shared" si="148"/>
        <v>102.783829349433</v>
      </c>
      <c r="AO42" s="329">
        <f t="shared" si="159"/>
        <v>102.142962219141</v>
      </c>
      <c r="AP42" s="329">
        <f t="shared" si="160"/>
        <v>103.755491385732</v>
      </c>
      <c r="AQ42" s="329"/>
      <c r="AR42" s="329">
        <f t="shared" si="161"/>
        <v>102.142962219141</v>
      </c>
    </row>
    <row r="43" s="259" customFormat="1" ht="13" spans="1:44">
      <c r="A43" s="284" t="s">
        <v>2650</v>
      </c>
      <c r="B43" s="276">
        <v>2023</v>
      </c>
      <c r="C43" s="277">
        <v>2</v>
      </c>
      <c r="D43" s="278"/>
      <c r="E43" s="278">
        <v>0.5</v>
      </c>
      <c r="F43" s="278">
        <v>0.45</v>
      </c>
      <c r="G43" s="278">
        <v>0.89</v>
      </c>
      <c r="H43" s="285"/>
      <c r="I43" s="299">
        <f t="shared" si="174"/>
        <v>0.45</v>
      </c>
      <c r="J43" s="300"/>
      <c r="K43" s="301"/>
      <c r="L43" s="302">
        <f t="shared" si="184"/>
        <v>0.005</v>
      </c>
      <c r="M43" s="302">
        <f t="shared" si="185"/>
        <v>0.0045</v>
      </c>
      <c r="N43" s="302">
        <f t="shared" si="186"/>
        <v>0.0089</v>
      </c>
      <c r="O43" s="302"/>
      <c r="P43" s="302">
        <f t="shared" si="187"/>
        <v>0.0045</v>
      </c>
      <c r="Q43" s="300"/>
      <c r="R43" s="319"/>
      <c r="S43" s="319">
        <f>ROUND(IF(项目基本情况!$B$8="出让",SUMPRODUCT(PRODUCT(1+L43:L$52)),SUMPRODUCT(PRODUCT(1+L43:L$51))),4)</f>
        <v>1.0396</v>
      </c>
      <c r="T43" s="319">
        <f>ROUND(IF(项目基本情况!$B$8="出让",SUMPRODUCT(PRODUCT(1+M43:M$52)),SUMPRODUCT(PRODUCT(1+M43:M$51))),4)</f>
        <v>1.027</v>
      </c>
      <c r="U43" s="319">
        <f>ROUND(IF(项目基本情况!$B$8="出让",SUMPRODUCT(PRODUCT(1+N43:N$52)),SUMPRODUCT(PRODUCT(1+N43:N$51))),4)</f>
        <v>1.0668</v>
      </c>
      <c r="V43" s="319"/>
      <c r="W43" s="319">
        <f t="shared" si="188"/>
        <v>1.027</v>
      </c>
      <c r="X43" s="300"/>
      <c r="Y43" s="328"/>
      <c r="Z43" s="332"/>
      <c r="AA43" s="337"/>
      <c r="AB43" s="328"/>
      <c r="AC43" s="333"/>
      <c r="AD43" s="328"/>
      <c r="AG43" s="329">
        <f t="shared" si="129"/>
        <v>103.96</v>
      </c>
      <c r="AH43" s="329">
        <f t="shared" si="130"/>
        <v>102.7</v>
      </c>
      <c r="AI43" s="329">
        <f t="shared" si="131"/>
        <v>106.68</v>
      </c>
      <c r="AJ43" s="343"/>
      <c r="AK43" s="329">
        <f t="shared" si="132"/>
        <v>102.7</v>
      </c>
      <c r="AN43" s="329">
        <f t="shared" si="148"/>
        <v>102.425340657133</v>
      </c>
      <c r="AO43" s="329">
        <f t="shared" si="159"/>
        <v>101.969613875552</v>
      </c>
      <c r="AP43" s="329">
        <f t="shared" si="160"/>
        <v>103.218753865631</v>
      </c>
      <c r="AQ43" s="329"/>
      <c r="AR43" s="329">
        <f t="shared" si="161"/>
        <v>101.969613875552</v>
      </c>
    </row>
    <row r="44" s="259" customFormat="1" ht="13" spans="1:44">
      <c r="A44" s="284" t="s">
        <v>2651</v>
      </c>
      <c r="B44" s="276">
        <v>2023</v>
      </c>
      <c r="C44" s="277">
        <v>1</v>
      </c>
      <c r="D44" s="278"/>
      <c r="E44" s="278">
        <v>0.55</v>
      </c>
      <c r="F44" s="278">
        <v>0.59</v>
      </c>
      <c r="G44" s="278">
        <v>0.64</v>
      </c>
      <c r="H44" s="285"/>
      <c r="I44" s="299">
        <f t="shared" si="174"/>
        <v>0.59</v>
      </c>
      <c r="J44" s="300"/>
      <c r="K44" s="301"/>
      <c r="L44" s="302">
        <f t="shared" si="184"/>
        <v>0.0055</v>
      </c>
      <c r="M44" s="302">
        <f t="shared" si="185"/>
        <v>0.0059</v>
      </c>
      <c r="N44" s="302">
        <f t="shared" si="186"/>
        <v>0.0064</v>
      </c>
      <c r="O44" s="302"/>
      <c r="P44" s="302">
        <f t="shared" si="187"/>
        <v>0.0059</v>
      </c>
      <c r="Q44" s="300"/>
      <c r="R44" s="319"/>
      <c r="S44" s="319">
        <f>ROUND(IF(项目基本情况!$B$8="出让",SUMPRODUCT(PRODUCT(1+L44:L$52)),SUMPRODUCT(PRODUCT(1+L44:L$51))),4)</f>
        <v>1.0344</v>
      </c>
      <c r="T44" s="319">
        <f>ROUND(IF(项目基本情况!$B$8="出让",SUMPRODUCT(PRODUCT(1+M44:M$52)),SUMPRODUCT(PRODUCT(1+M44:M$51))),4)</f>
        <v>1.0224</v>
      </c>
      <c r="U44" s="319">
        <f>ROUND(IF(项目基本情况!$B$8="出让",SUMPRODUCT(PRODUCT(1+N44:N$52)),SUMPRODUCT(PRODUCT(1+N44:N$51))),4)</f>
        <v>1.0574</v>
      </c>
      <c r="V44" s="319"/>
      <c r="W44" s="319">
        <f t="shared" si="188"/>
        <v>1.0224</v>
      </c>
      <c r="X44" s="300"/>
      <c r="Y44" s="328"/>
      <c r="Z44" s="332"/>
      <c r="AA44" s="337"/>
      <c r="AB44" s="328"/>
      <c r="AC44" s="333"/>
      <c r="AD44" s="328"/>
      <c r="AG44" s="329">
        <f t="shared" si="129"/>
        <v>103.44</v>
      </c>
      <c r="AH44" s="329">
        <f t="shared" si="130"/>
        <v>102.24</v>
      </c>
      <c r="AI44" s="329">
        <f t="shared" si="131"/>
        <v>105.74</v>
      </c>
      <c r="AJ44" s="343"/>
      <c r="AK44" s="329">
        <f t="shared" si="132"/>
        <v>102.24</v>
      </c>
      <c r="AN44" s="329">
        <f t="shared" si="148"/>
        <v>101.915761847893</v>
      </c>
      <c r="AO44" s="329">
        <f t="shared" si="159"/>
        <v>101.512806247439</v>
      </c>
      <c r="AP44" s="329">
        <f t="shared" si="160"/>
        <v>102.308210789604</v>
      </c>
      <c r="AQ44" s="329"/>
      <c r="AR44" s="329">
        <f t="shared" si="161"/>
        <v>101.512806247439</v>
      </c>
    </row>
    <row r="45" s="259" customFormat="1" ht="13" spans="1:44">
      <c r="A45" s="284" t="s">
        <v>2652</v>
      </c>
      <c r="B45" s="276">
        <v>2022</v>
      </c>
      <c r="C45" s="277">
        <v>4</v>
      </c>
      <c r="D45" s="278"/>
      <c r="E45" s="278">
        <v>0.45</v>
      </c>
      <c r="F45" s="278">
        <v>0.2</v>
      </c>
      <c r="G45" s="278">
        <v>0.38</v>
      </c>
      <c r="H45" s="285"/>
      <c r="I45" s="299">
        <f t="shared" si="174"/>
        <v>0.2</v>
      </c>
      <c r="J45" s="300"/>
      <c r="K45" s="301"/>
      <c r="L45" s="302">
        <f t="shared" si="175"/>
        <v>0.0045</v>
      </c>
      <c r="M45" s="302">
        <f t="shared" si="175"/>
        <v>0.002</v>
      </c>
      <c r="N45" s="302">
        <f t="shared" si="175"/>
        <v>0.0038</v>
      </c>
      <c r="O45" s="302"/>
      <c r="P45" s="302">
        <f t="shared" ref="P45:P52" si="189">M45</f>
        <v>0.002</v>
      </c>
      <c r="Q45" s="300"/>
      <c r="R45" s="319"/>
      <c r="S45" s="319">
        <f>ROUND(IF(项目基本情况!$B$8="出让",SUMPRODUCT(PRODUCT(1+L45:L$52)),SUMPRODUCT(PRODUCT(1+L45:L$51))),4)</f>
        <v>1.0287</v>
      </c>
      <c r="T45" s="319">
        <f>ROUND(IF(项目基本情况!$B$8="出让",SUMPRODUCT(PRODUCT(1+M45:M$52)),SUMPRODUCT(PRODUCT(1+M45:M$51))),4)</f>
        <v>1.0164</v>
      </c>
      <c r="U45" s="319">
        <f>ROUND(IF(项目基本情况!$B$8="出让",SUMPRODUCT(PRODUCT(1+N45:N$52)),SUMPRODUCT(PRODUCT(1+N45:N$51))),4)</f>
        <v>1.0506</v>
      </c>
      <c r="V45" s="319"/>
      <c r="W45" s="319">
        <f t="shared" ref="W45:W52" si="190">T45</f>
        <v>1.0164</v>
      </c>
      <c r="X45" s="300"/>
      <c r="Y45" s="328"/>
      <c r="Z45" s="332">
        <f t="shared" ref="Z45:AD52" si="191">IF(E45=0,0,ROUND(AVERAGE(E45:E53)/100,4))</f>
        <v>0.004</v>
      </c>
      <c r="AA45" s="337">
        <f t="shared" si="191"/>
        <v>0.0026</v>
      </c>
      <c r="AB45" s="328">
        <f t="shared" si="191"/>
        <v>0.0074</v>
      </c>
      <c r="AC45" s="333"/>
      <c r="AD45" s="328">
        <f t="shared" si="191"/>
        <v>0.0026</v>
      </c>
      <c r="AG45" s="329">
        <f t="shared" si="129"/>
        <v>102.87</v>
      </c>
      <c r="AH45" s="329">
        <f t="shared" si="130"/>
        <v>101.64</v>
      </c>
      <c r="AI45" s="329">
        <f t="shared" si="131"/>
        <v>105.06</v>
      </c>
      <c r="AJ45" s="343"/>
      <c r="AK45" s="329">
        <f t="shared" si="132"/>
        <v>101.64</v>
      </c>
      <c r="AN45" s="329">
        <f t="shared" si="148"/>
        <v>101.35829124604</v>
      </c>
      <c r="AO45" s="329">
        <f t="shared" si="159"/>
        <v>100.917393625051</v>
      </c>
      <c r="AP45" s="329">
        <f t="shared" si="160"/>
        <v>101.657602135934</v>
      </c>
      <c r="AQ45" s="329"/>
      <c r="AR45" s="329">
        <f t="shared" si="161"/>
        <v>100.917393625051</v>
      </c>
    </row>
    <row r="46" s="259" customFormat="1" ht="13" spans="1:44">
      <c r="A46" s="284" t="s">
        <v>2653</v>
      </c>
      <c r="B46" s="276">
        <v>2022</v>
      </c>
      <c r="C46" s="277">
        <v>3</v>
      </c>
      <c r="D46" s="278"/>
      <c r="E46" s="278">
        <v>0.3</v>
      </c>
      <c r="F46" s="278">
        <v>0.29</v>
      </c>
      <c r="G46" s="278">
        <v>0.83</v>
      </c>
      <c r="H46" s="285"/>
      <c r="I46" s="299">
        <f t="shared" si="174"/>
        <v>0.29</v>
      </c>
      <c r="J46" s="300"/>
      <c r="K46" s="301"/>
      <c r="L46" s="302">
        <f t="shared" si="175"/>
        <v>0.003</v>
      </c>
      <c r="M46" s="302">
        <f t="shared" si="175"/>
        <v>0.0029</v>
      </c>
      <c r="N46" s="302">
        <f t="shared" si="175"/>
        <v>0.0083</v>
      </c>
      <c r="O46" s="302"/>
      <c r="P46" s="302">
        <f t="shared" si="189"/>
        <v>0.0029</v>
      </c>
      <c r="Q46" s="300"/>
      <c r="R46" s="319"/>
      <c r="S46" s="319">
        <f>ROUND(IF(项目基本情况!$B$8="出让",SUMPRODUCT(PRODUCT(1+L46:L$52)),SUMPRODUCT(PRODUCT(1+L46:L$51))),4)</f>
        <v>1.0241</v>
      </c>
      <c r="T46" s="319">
        <f>ROUND(IF(项目基本情况!$B$8="出让",SUMPRODUCT(PRODUCT(1+M46:M$52)),SUMPRODUCT(PRODUCT(1+M46:M$51))),4)</f>
        <v>1.0144</v>
      </c>
      <c r="U46" s="319">
        <f>ROUND(IF(项目基本情况!$B$8="出让",SUMPRODUCT(PRODUCT(1+N46:N$52)),SUMPRODUCT(PRODUCT(1+N46:N$51))),4)</f>
        <v>1.0467</v>
      </c>
      <c r="V46" s="319"/>
      <c r="W46" s="319">
        <f t="shared" si="190"/>
        <v>1.0144</v>
      </c>
      <c r="X46" s="300"/>
      <c r="Y46" s="328"/>
      <c r="Z46" s="332">
        <f t="shared" si="191"/>
        <v>0.0039</v>
      </c>
      <c r="AA46" s="337">
        <f t="shared" si="191"/>
        <v>0.0027</v>
      </c>
      <c r="AB46" s="328">
        <f t="shared" si="191"/>
        <v>0.0079</v>
      </c>
      <c r="AC46" s="333"/>
      <c r="AD46" s="328">
        <f t="shared" si="191"/>
        <v>0.0027</v>
      </c>
      <c r="AG46" s="329">
        <f t="shared" si="129"/>
        <v>102.41</v>
      </c>
      <c r="AH46" s="329">
        <f t="shared" si="130"/>
        <v>101.44</v>
      </c>
      <c r="AI46" s="329">
        <f t="shared" si="131"/>
        <v>104.67</v>
      </c>
      <c r="AJ46" s="343"/>
      <c r="AK46" s="329">
        <f t="shared" si="132"/>
        <v>101.44</v>
      </c>
      <c r="AN46" s="329">
        <f t="shared" si="148"/>
        <v>100.904222245934</v>
      </c>
      <c r="AO46" s="329">
        <f t="shared" si="159"/>
        <v>100.715961701648</v>
      </c>
      <c r="AP46" s="329">
        <f t="shared" si="160"/>
        <v>101.272765626553</v>
      </c>
      <c r="AQ46" s="329"/>
      <c r="AR46" s="329">
        <f t="shared" si="161"/>
        <v>100.715961701648</v>
      </c>
    </row>
    <row r="47" s="259" customFormat="1" ht="13" spans="1:44">
      <c r="A47" s="284" t="s">
        <v>2654</v>
      </c>
      <c r="B47" s="276">
        <v>2022</v>
      </c>
      <c r="C47" s="277">
        <v>2</v>
      </c>
      <c r="D47" s="278"/>
      <c r="E47" s="278">
        <v>-0.11</v>
      </c>
      <c r="F47" s="278">
        <v>-0.13</v>
      </c>
      <c r="G47" s="278">
        <v>0.53</v>
      </c>
      <c r="H47" s="285"/>
      <c r="I47" s="299">
        <f t="shared" si="174"/>
        <v>-0.13</v>
      </c>
      <c r="J47" s="300"/>
      <c r="K47" s="301"/>
      <c r="L47" s="302">
        <f t="shared" si="175"/>
        <v>-0.0011</v>
      </c>
      <c r="M47" s="302">
        <f t="shared" si="175"/>
        <v>-0.0013</v>
      </c>
      <c r="N47" s="302">
        <f t="shared" si="175"/>
        <v>0.0053</v>
      </c>
      <c r="O47" s="302"/>
      <c r="P47" s="302">
        <f t="shared" si="189"/>
        <v>-0.0013</v>
      </c>
      <c r="Q47" s="300"/>
      <c r="R47" s="319"/>
      <c r="S47" s="319">
        <f>ROUND(IF(项目基本情况!$B$8="出让",SUMPRODUCT(PRODUCT(1+L47:L$52)),SUMPRODUCT(PRODUCT(1+L47:L$51))),4)</f>
        <v>1.0211</v>
      </c>
      <c r="T47" s="319">
        <f>ROUND(IF(项目基本情况!$B$8="出让",SUMPRODUCT(PRODUCT(1+M47:M$52)),SUMPRODUCT(PRODUCT(1+M47:M$51))),4)</f>
        <v>1.0114</v>
      </c>
      <c r="U47" s="319">
        <f>ROUND(IF(项目基本情况!$B$8="出让",SUMPRODUCT(PRODUCT(1+N47:N$52)),SUMPRODUCT(PRODUCT(1+N47:N$51))),4)</f>
        <v>1.0381</v>
      </c>
      <c r="V47" s="319"/>
      <c r="W47" s="319">
        <f t="shared" si="190"/>
        <v>1.0114</v>
      </c>
      <c r="X47" s="300"/>
      <c r="Y47" s="328"/>
      <c r="Z47" s="332">
        <f t="shared" si="191"/>
        <v>0.0041</v>
      </c>
      <c r="AA47" s="337">
        <f t="shared" si="191"/>
        <v>0.0027</v>
      </c>
      <c r="AB47" s="328">
        <f t="shared" si="191"/>
        <v>0.0079</v>
      </c>
      <c r="AC47" s="333"/>
      <c r="AD47" s="328">
        <f t="shared" si="191"/>
        <v>0.0027</v>
      </c>
      <c r="AG47" s="329">
        <f t="shared" si="129"/>
        <v>102.11</v>
      </c>
      <c r="AH47" s="329">
        <f t="shared" si="130"/>
        <v>101.14</v>
      </c>
      <c r="AI47" s="329">
        <f t="shared" si="131"/>
        <v>103.81</v>
      </c>
      <c r="AJ47" s="343"/>
      <c r="AK47" s="329">
        <f t="shared" si="132"/>
        <v>101.14</v>
      </c>
      <c r="AN47" s="329">
        <f t="shared" si="148"/>
        <v>100.602415000931</v>
      </c>
      <c r="AO47" s="329">
        <f t="shared" si="159"/>
        <v>100.424729984692</v>
      </c>
      <c r="AP47" s="329">
        <f t="shared" si="160"/>
        <v>100.439120922893</v>
      </c>
      <c r="AQ47" s="329"/>
      <c r="AR47" s="329">
        <f t="shared" si="161"/>
        <v>100.424729984692</v>
      </c>
    </row>
    <row r="48" s="259" customFormat="1" ht="13" spans="1:44">
      <c r="A48" s="284" t="s">
        <v>2655</v>
      </c>
      <c r="B48" s="276">
        <v>2022</v>
      </c>
      <c r="C48" s="277">
        <v>1</v>
      </c>
      <c r="D48" s="278"/>
      <c r="E48" s="278">
        <v>0.6</v>
      </c>
      <c r="F48" s="278">
        <v>0.45</v>
      </c>
      <c r="G48" s="278">
        <v>0.53</v>
      </c>
      <c r="H48" s="285"/>
      <c r="I48" s="299">
        <f t="shared" si="174"/>
        <v>0.45</v>
      </c>
      <c r="J48" s="300"/>
      <c r="K48" s="301"/>
      <c r="L48" s="302">
        <f t="shared" si="175"/>
        <v>0.006</v>
      </c>
      <c r="M48" s="302">
        <f t="shared" si="175"/>
        <v>0.0045</v>
      </c>
      <c r="N48" s="302">
        <f t="shared" si="175"/>
        <v>0.0053</v>
      </c>
      <c r="O48" s="302"/>
      <c r="P48" s="302">
        <f t="shared" si="189"/>
        <v>0.0045</v>
      </c>
      <c r="Q48" s="300"/>
      <c r="R48" s="319"/>
      <c r="S48" s="319">
        <f>ROUND(IF(项目基本情况!$B$8="出让",SUMPRODUCT(PRODUCT(1+L48:L$52)),SUMPRODUCT(PRODUCT(1+L48:L$51))),4)</f>
        <v>1.0222</v>
      </c>
      <c r="T48" s="319">
        <f>ROUND(IF(项目基本情况!$B$8="出让",SUMPRODUCT(PRODUCT(1+M48:M$52)),SUMPRODUCT(PRODUCT(1+M48:M$51))),4)</f>
        <v>1.0128</v>
      </c>
      <c r="U48" s="319">
        <f>ROUND(IF(项目基本情况!$B$8="出让",SUMPRODUCT(PRODUCT(1+N48:N$52)),SUMPRODUCT(PRODUCT(1+N48:N$51))),4)</f>
        <v>1.0326</v>
      </c>
      <c r="V48" s="319"/>
      <c r="W48" s="319">
        <f t="shared" si="190"/>
        <v>1.0128</v>
      </c>
      <c r="X48" s="300"/>
      <c r="Y48" s="328"/>
      <c r="Z48" s="332">
        <f t="shared" si="191"/>
        <v>0.0051</v>
      </c>
      <c r="AA48" s="337">
        <f t="shared" si="191"/>
        <v>0.0035</v>
      </c>
      <c r="AB48" s="328">
        <f t="shared" si="191"/>
        <v>0.0084</v>
      </c>
      <c r="AC48" s="333"/>
      <c r="AD48" s="328">
        <f t="shared" si="191"/>
        <v>0.0035</v>
      </c>
      <c r="AG48" s="329">
        <f t="shared" si="129"/>
        <v>102.22</v>
      </c>
      <c r="AH48" s="329">
        <f t="shared" si="130"/>
        <v>101.28</v>
      </c>
      <c r="AI48" s="329">
        <f t="shared" si="131"/>
        <v>103.26</v>
      </c>
      <c r="AJ48" s="343"/>
      <c r="AK48" s="329">
        <f t="shared" si="132"/>
        <v>101.28</v>
      </c>
      <c r="AN48" s="329">
        <f t="shared" si="148"/>
        <v>100.713199520403</v>
      </c>
      <c r="AO48" s="329">
        <f t="shared" si="159"/>
        <v>100.555452072386</v>
      </c>
      <c r="AP48" s="329">
        <f t="shared" si="160"/>
        <v>99.9096000426665</v>
      </c>
      <c r="AQ48" s="329"/>
      <c r="AR48" s="329">
        <f t="shared" si="161"/>
        <v>100.555452072386</v>
      </c>
    </row>
    <row r="49" s="259" customFormat="1" ht="13" spans="1:44">
      <c r="A49" s="284" t="s">
        <v>2656</v>
      </c>
      <c r="B49" s="276">
        <v>2021</v>
      </c>
      <c r="C49" s="277">
        <v>4</v>
      </c>
      <c r="D49" s="278"/>
      <c r="E49" s="278">
        <v>0.58</v>
      </c>
      <c r="F49" s="278">
        <v>0.08</v>
      </c>
      <c r="G49" s="278">
        <v>0.68</v>
      </c>
      <c r="H49" s="285"/>
      <c r="I49" s="299">
        <f t="shared" si="174"/>
        <v>0.08</v>
      </c>
      <c r="J49" s="300"/>
      <c r="K49" s="301"/>
      <c r="L49" s="302">
        <f t="shared" si="175"/>
        <v>0.0058</v>
      </c>
      <c r="M49" s="302">
        <f t="shared" si="175"/>
        <v>0.0008</v>
      </c>
      <c r="N49" s="302">
        <f t="shared" si="175"/>
        <v>0.0068</v>
      </c>
      <c r="O49" s="302"/>
      <c r="P49" s="302">
        <f t="shared" si="189"/>
        <v>0.0008</v>
      </c>
      <c r="Q49" s="300"/>
      <c r="R49" s="319"/>
      <c r="S49" s="319">
        <f>ROUND(IF(项目基本情况!$B$8="出让",SUMPRODUCT(PRODUCT(1+L49:L$52)),SUMPRODUCT(PRODUCT(1+L49:L$51))),4)</f>
        <v>1.0161</v>
      </c>
      <c r="T49" s="319">
        <f>ROUND(IF(项目基本情况!$B$8="出让",SUMPRODUCT(PRODUCT(1+M49:M$52)),SUMPRODUCT(PRODUCT(1+M49:M$51))),4)</f>
        <v>1.0082</v>
      </c>
      <c r="U49" s="319">
        <f>ROUND(IF(项目基本情况!$B$8="出让",SUMPRODUCT(PRODUCT(1+N49:N$52)),SUMPRODUCT(PRODUCT(1+N49:N$51))),4)</f>
        <v>1.0271</v>
      </c>
      <c r="V49" s="319"/>
      <c r="W49" s="319">
        <f t="shared" si="190"/>
        <v>1.0082</v>
      </c>
      <c r="X49" s="300"/>
      <c r="Y49" s="328"/>
      <c r="Z49" s="332">
        <f t="shared" si="191"/>
        <v>0.0049</v>
      </c>
      <c r="AA49" s="337">
        <f t="shared" si="191"/>
        <v>0.0033</v>
      </c>
      <c r="AB49" s="328">
        <f t="shared" si="191"/>
        <v>0.0092</v>
      </c>
      <c r="AC49" s="333"/>
      <c r="AD49" s="328">
        <f t="shared" si="191"/>
        <v>0.0033</v>
      </c>
      <c r="AG49" s="329">
        <f t="shared" si="129"/>
        <v>101.61</v>
      </c>
      <c r="AH49" s="329">
        <f t="shared" si="130"/>
        <v>100.82</v>
      </c>
      <c r="AI49" s="329">
        <f t="shared" si="131"/>
        <v>102.71</v>
      </c>
      <c r="AJ49" s="343"/>
      <c r="AK49" s="329">
        <f t="shared" si="132"/>
        <v>100.82</v>
      </c>
      <c r="AN49" s="329">
        <f t="shared" si="148"/>
        <v>100.112524374158</v>
      </c>
      <c r="AO49" s="329">
        <f t="shared" si="159"/>
        <v>100.104979663899</v>
      </c>
      <c r="AP49" s="329">
        <f t="shared" si="160"/>
        <v>99.3828708272819</v>
      </c>
      <c r="AQ49" s="329"/>
      <c r="AR49" s="329">
        <f t="shared" si="161"/>
        <v>100.104979663899</v>
      </c>
    </row>
    <row r="50" s="259" customFormat="1" ht="13" spans="1:44">
      <c r="A50" s="284" t="s">
        <v>2657</v>
      </c>
      <c r="B50" s="276">
        <v>2021</v>
      </c>
      <c r="C50" s="277">
        <v>3</v>
      </c>
      <c r="D50" s="278"/>
      <c r="E50" s="278">
        <v>0.47</v>
      </c>
      <c r="F50" s="278">
        <v>0.28</v>
      </c>
      <c r="G50" s="278">
        <v>0.91</v>
      </c>
      <c r="H50" s="285"/>
      <c r="I50" s="299">
        <f t="shared" si="174"/>
        <v>0.28</v>
      </c>
      <c r="J50" s="300"/>
      <c r="K50" s="301"/>
      <c r="L50" s="302">
        <f t="shared" si="175"/>
        <v>0.0047</v>
      </c>
      <c r="M50" s="302">
        <f t="shared" si="175"/>
        <v>0.0028</v>
      </c>
      <c r="N50" s="302">
        <f t="shared" si="175"/>
        <v>0.0091</v>
      </c>
      <c r="O50" s="302"/>
      <c r="P50" s="302">
        <f t="shared" si="189"/>
        <v>0.0028</v>
      </c>
      <c r="Q50" s="300"/>
      <c r="R50" s="319"/>
      <c r="S50" s="319">
        <f>ROUND(IF(项目基本情况!$B$8="出让",SUMPRODUCT(PRODUCT(1+L50:L$52)),SUMPRODUCT(PRODUCT(1+L50:L$51))),4)</f>
        <v>1.0102</v>
      </c>
      <c r="T50" s="319">
        <f>ROUND(IF(项目基本情况!$B$8="出让",SUMPRODUCT(PRODUCT(1+M50:M$52)),SUMPRODUCT(PRODUCT(1+M50:M$51))),4)</f>
        <v>1.0074</v>
      </c>
      <c r="U50" s="319">
        <f>ROUND(IF(项目基本情况!$B$8="出让",SUMPRODUCT(PRODUCT(1+N50:N$52)),SUMPRODUCT(PRODUCT(1+N50:N$51))),4)</f>
        <v>1.0202</v>
      </c>
      <c r="V50" s="319"/>
      <c r="W50" s="319">
        <f t="shared" si="190"/>
        <v>1.0074</v>
      </c>
      <c r="X50" s="300"/>
      <c r="Y50" s="328"/>
      <c r="Z50" s="332">
        <f t="shared" si="191"/>
        <v>0.0046</v>
      </c>
      <c r="AA50" s="337">
        <f t="shared" si="191"/>
        <v>0.0041</v>
      </c>
      <c r="AB50" s="328">
        <f t="shared" si="191"/>
        <v>0.01</v>
      </c>
      <c r="AC50" s="333"/>
      <c r="AD50" s="328">
        <f t="shared" si="191"/>
        <v>0.0041</v>
      </c>
      <c r="AG50" s="329">
        <f t="shared" si="129"/>
        <v>101.02</v>
      </c>
      <c r="AH50" s="329">
        <f t="shared" si="130"/>
        <v>100.74</v>
      </c>
      <c r="AI50" s="329">
        <f t="shared" si="131"/>
        <v>102.02</v>
      </c>
      <c r="AJ50" s="343"/>
      <c r="AK50" s="329">
        <f t="shared" si="132"/>
        <v>100.74</v>
      </c>
      <c r="AN50" s="329">
        <f t="shared" si="148"/>
        <v>99.5352200975922</v>
      </c>
      <c r="AO50" s="329">
        <f t="shared" si="159"/>
        <v>100.024959696142</v>
      </c>
      <c r="AP50" s="329">
        <f t="shared" si="160"/>
        <v>98.7116317315077</v>
      </c>
      <c r="AQ50" s="329"/>
      <c r="AR50" s="329">
        <f t="shared" si="161"/>
        <v>100.024959696142</v>
      </c>
    </row>
    <row r="51" s="259" customFormat="1" ht="13" spans="1:44">
      <c r="A51" s="284" t="s">
        <v>2658</v>
      </c>
      <c r="B51" s="276">
        <v>2021</v>
      </c>
      <c r="C51" s="277">
        <v>2</v>
      </c>
      <c r="D51" s="278"/>
      <c r="E51" s="278">
        <v>0.55</v>
      </c>
      <c r="F51" s="278">
        <v>0.46</v>
      </c>
      <c r="G51" s="278">
        <v>1.1</v>
      </c>
      <c r="H51" s="285"/>
      <c r="I51" s="299">
        <f t="shared" si="174"/>
        <v>0.46</v>
      </c>
      <c r="J51" s="300"/>
      <c r="K51" s="301"/>
      <c r="L51" s="302">
        <f t="shared" si="175"/>
        <v>0.0055</v>
      </c>
      <c r="M51" s="302">
        <f t="shared" si="175"/>
        <v>0.0046</v>
      </c>
      <c r="N51" s="302">
        <f t="shared" si="175"/>
        <v>0.011</v>
      </c>
      <c r="O51" s="302"/>
      <c r="P51" s="302">
        <f t="shared" si="189"/>
        <v>0.0046</v>
      </c>
      <c r="Q51" s="300"/>
      <c r="R51" s="319"/>
      <c r="S51" s="319">
        <f>ROUND(IF(项目基本情况!$B$8="出让",SUMPRODUCT(PRODUCT(1+L51:L$52)),SUMPRODUCT(PRODUCT(1+L51:L$51))),4)</f>
        <v>1.0055</v>
      </c>
      <c r="T51" s="319">
        <f>ROUND(IF(项目基本情况!$B$8="出让",SUMPRODUCT(PRODUCT(1+M51:M$52)),SUMPRODUCT(PRODUCT(1+M51:M$51))),4)</f>
        <v>1.0046</v>
      </c>
      <c r="U51" s="319">
        <f>ROUND(IF(项目基本情况!$B$8="出让",SUMPRODUCT(PRODUCT(1+N51:N$52)),SUMPRODUCT(PRODUCT(1+N51:N$51))),4)</f>
        <v>1.011</v>
      </c>
      <c r="V51" s="319"/>
      <c r="W51" s="319">
        <f t="shared" si="190"/>
        <v>1.0046</v>
      </c>
      <c r="X51" s="300"/>
      <c r="Y51" s="328"/>
      <c r="Z51" s="332">
        <f t="shared" si="191"/>
        <v>0.0045</v>
      </c>
      <c r="AA51" s="337">
        <f t="shared" si="191"/>
        <v>0.0047</v>
      </c>
      <c r="AB51" s="328">
        <f t="shared" si="191"/>
        <v>0.0104</v>
      </c>
      <c r="AC51" s="333"/>
      <c r="AD51" s="328">
        <f t="shared" si="191"/>
        <v>0.0047</v>
      </c>
      <c r="AG51" s="329">
        <f t="shared" si="129"/>
        <v>100.55</v>
      </c>
      <c r="AH51" s="329">
        <f t="shared" ref="AH51:AK51" si="192">$AG$52*T51</f>
        <v>100.46</v>
      </c>
      <c r="AI51" s="329">
        <f t="shared" si="192"/>
        <v>101.1</v>
      </c>
      <c r="AJ51" s="343"/>
      <c r="AK51" s="329">
        <f t="shared" si="192"/>
        <v>100.46</v>
      </c>
      <c r="AN51" s="329">
        <f t="shared" si="148"/>
        <v>99.0695930104432</v>
      </c>
      <c r="AO51" s="329">
        <f t="shared" si="159"/>
        <v>99.7456718150596</v>
      </c>
      <c r="AP51" s="329">
        <f t="shared" si="160"/>
        <v>97.8214564775619</v>
      </c>
      <c r="AQ51" s="329"/>
      <c r="AR51" s="329">
        <f t="shared" si="161"/>
        <v>99.7456718150596</v>
      </c>
    </row>
    <row r="52" s="261" customFormat="1" ht="14.75" spans="1:44">
      <c r="A52" s="286" t="s">
        <v>2659</v>
      </c>
      <c r="B52" s="287">
        <v>2021</v>
      </c>
      <c r="C52" s="288">
        <v>1</v>
      </c>
      <c r="D52" s="289"/>
      <c r="E52" s="289">
        <v>0.35</v>
      </c>
      <c r="F52" s="289">
        <v>0.48</v>
      </c>
      <c r="G52" s="289">
        <v>0.98</v>
      </c>
      <c r="H52" s="290"/>
      <c r="I52" s="307">
        <f t="shared" si="174"/>
        <v>0.48</v>
      </c>
      <c r="J52" s="308"/>
      <c r="K52" s="309"/>
      <c r="L52" s="310">
        <f t="shared" si="175"/>
        <v>0.0035</v>
      </c>
      <c r="M52" s="310">
        <f>F52/100</f>
        <v>0.0048</v>
      </c>
      <c r="N52" s="310">
        <f t="shared" si="175"/>
        <v>0.0098</v>
      </c>
      <c r="O52" s="310"/>
      <c r="P52" s="310">
        <f t="shared" si="189"/>
        <v>0.0048</v>
      </c>
      <c r="Q52" s="308"/>
      <c r="R52" s="320"/>
      <c r="S52" s="320">
        <v>1</v>
      </c>
      <c r="T52" s="320">
        <v>1</v>
      </c>
      <c r="U52" s="320">
        <v>1</v>
      </c>
      <c r="V52" s="320"/>
      <c r="W52" s="320">
        <f t="shared" si="190"/>
        <v>1</v>
      </c>
      <c r="X52" s="308"/>
      <c r="Y52" s="310"/>
      <c r="Z52" s="338">
        <f t="shared" si="191"/>
        <v>0.0035</v>
      </c>
      <c r="AA52" s="339">
        <f t="shared" si="191"/>
        <v>0.0048</v>
      </c>
      <c r="AB52" s="310">
        <f t="shared" si="191"/>
        <v>0.0098</v>
      </c>
      <c r="AC52" s="340"/>
      <c r="AD52" s="310">
        <f t="shared" si="191"/>
        <v>0.0048</v>
      </c>
      <c r="AG52" s="346">
        <v>100</v>
      </c>
      <c r="AH52" s="346">
        <v>100</v>
      </c>
      <c r="AI52" s="346">
        <v>100</v>
      </c>
      <c r="AJ52" s="346"/>
      <c r="AK52" s="346">
        <v>100</v>
      </c>
      <c r="AN52" s="342">
        <f t="shared" si="148"/>
        <v>98.5276907115298</v>
      </c>
      <c r="AO52" s="342">
        <f t="shared" si="159"/>
        <v>99.2889426787374</v>
      </c>
      <c r="AP52" s="342">
        <f t="shared" si="160"/>
        <v>96.757128068805</v>
      </c>
      <c r="AQ52" s="342"/>
      <c r="AR52" s="342">
        <f t="shared" si="161"/>
        <v>99.2889426787374</v>
      </c>
    </row>
    <row r="53" ht="14.75"/>
    <row r="54" spans="1:1">
      <c r="A54" s="291" t="s">
        <v>2662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1"/>
  <sheetViews>
    <sheetView zoomScale="80" zoomScaleNormal="80" workbookViewId="0">
      <selection activeCell="Q1" sqref="Q$1:Q$1048576"/>
    </sheetView>
  </sheetViews>
  <sheetFormatPr defaultColWidth="9.81818181818182" defaultRowHeight="15"/>
  <cols>
    <col min="1" max="1" width="21.7272727272727" style="252" customWidth="1"/>
    <col min="2" max="2" width="8.54545454545454" style="252" customWidth="1"/>
    <col min="3" max="3" width="9.72727272727273" style="252" customWidth="1"/>
    <col min="4" max="4" width="9.63636363636364" style="252" customWidth="1"/>
    <col min="5" max="5" width="10.0909090909091" style="252" customWidth="1"/>
    <col min="6" max="6" width="11.6363636363636" style="252" customWidth="1"/>
    <col min="7" max="7" width="9" style="252" customWidth="1"/>
    <col min="8" max="9" width="7" style="252" customWidth="1"/>
    <col min="10" max="10" width="9.90909090909091" style="252" customWidth="1"/>
    <col min="11" max="11" width="7" style="252" customWidth="1"/>
    <col min="12" max="12" width="14.7272727272727" style="252" customWidth="1"/>
    <col min="13" max="13" width="7" style="252" customWidth="1"/>
    <col min="14" max="14" width="9" style="252" customWidth="1"/>
    <col min="15" max="15" width="9.27272727272727" style="252" customWidth="1"/>
    <col min="16" max="18" width="9.90909090909091" style="252" customWidth="1"/>
    <col min="19" max="19" width="21.8181818181818" style="252" customWidth="1"/>
    <col min="20" max="16382" width="9.81818181818182" style="252"/>
  </cols>
  <sheetData>
    <row r="1" s="252" customFormat="1" spans="1:18">
      <c r="A1" s="254" t="s">
        <v>2663</v>
      </c>
      <c r="B1" s="254" t="s">
        <v>2664</v>
      </c>
      <c r="C1" s="254" t="s">
        <v>2665</v>
      </c>
      <c r="D1" s="254" t="s">
        <v>2666</v>
      </c>
      <c r="E1" s="254" t="s">
        <v>2667</v>
      </c>
      <c r="F1" s="254" t="s">
        <v>2668</v>
      </c>
      <c r="G1" s="254" t="s">
        <v>2156</v>
      </c>
      <c r="H1" s="254" t="s">
        <v>2669</v>
      </c>
      <c r="I1" s="254" t="s">
        <v>2670</v>
      </c>
      <c r="J1" s="254" t="s">
        <v>2671</v>
      </c>
      <c r="K1" s="254" t="s">
        <v>2672</v>
      </c>
      <c r="L1" s="254" t="s">
        <v>2673</v>
      </c>
      <c r="M1" s="254" t="s">
        <v>2674</v>
      </c>
      <c r="N1" s="254" t="s">
        <v>2675</v>
      </c>
      <c r="O1" s="254" t="s">
        <v>2676</v>
      </c>
      <c r="P1" s="254" t="s">
        <v>2677</v>
      </c>
      <c r="Q1" s="254" t="s">
        <v>2678</v>
      </c>
      <c r="R1" s="254" t="s">
        <v>2679</v>
      </c>
    </row>
    <row r="2" s="252" customFormat="1" spans="1:18">
      <c r="A2" s="254" t="s">
        <v>2680</v>
      </c>
      <c r="B2" s="254" t="s">
        <v>2681</v>
      </c>
      <c r="C2" s="254">
        <v>1175.37</v>
      </c>
      <c r="D2" s="254">
        <v>1410.44</v>
      </c>
      <c r="E2" s="254" t="s">
        <v>1732</v>
      </c>
      <c r="F2" s="254" t="s">
        <v>2682</v>
      </c>
      <c r="G2" s="254" t="s">
        <v>2683</v>
      </c>
      <c r="H2" s="254">
        <v>0</v>
      </c>
      <c r="I2" s="254" t="s">
        <v>2684</v>
      </c>
      <c r="J2" s="254" t="s">
        <v>2685</v>
      </c>
      <c r="K2" s="254" t="s">
        <v>2686</v>
      </c>
      <c r="L2" s="254" t="s">
        <v>2687</v>
      </c>
      <c r="M2" s="254">
        <v>79</v>
      </c>
      <c r="N2" s="254">
        <v>672.12</v>
      </c>
      <c r="O2" s="254">
        <v>44.81</v>
      </c>
      <c r="P2" s="254">
        <v>560</v>
      </c>
      <c r="Q2" s="254" t="s">
        <v>2688</v>
      </c>
      <c r="R2" s="254">
        <v>2.6</v>
      </c>
    </row>
    <row r="3" s="252" customFormat="1" spans="1:18">
      <c r="A3" s="254" t="s">
        <v>2689</v>
      </c>
      <c r="B3" s="254" t="s">
        <v>2690</v>
      </c>
      <c r="C3" s="254">
        <v>8333.25</v>
      </c>
      <c r="D3" s="254">
        <v>9999.9</v>
      </c>
      <c r="E3" s="254" t="s">
        <v>1732</v>
      </c>
      <c r="F3" s="254" t="s">
        <v>2691</v>
      </c>
      <c r="G3" s="254" t="s">
        <v>2683</v>
      </c>
      <c r="H3" s="254">
        <v>0</v>
      </c>
      <c r="I3" s="254" t="s">
        <v>2684</v>
      </c>
      <c r="J3" s="254" t="s">
        <v>2685</v>
      </c>
      <c r="K3" s="254" t="s">
        <v>2686</v>
      </c>
      <c r="L3" s="254" t="s">
        <v>2692</v>
      </c>
      <c r="M3" s="254">
        <v>567</v>
      </c>
      <c r="N3" s="254">
        <v>680.4</v>
      </c>
      <c r="O3" s="254">
        <v>45.36</v>
      </c>
      <c r="P3" s="254">
        <v>567</v>
      </c>
      <c r="Q3" s="254" t="s">
        <v>2693</v>
      </c>
      <c r="R3" s="254">
        <v>1.8</v>
      </c>
    </row>
    <row r="4" s="253" customFormat="1" spans="1:18">
      <c r="A4" s="255" t="s">
        <v>2694</v>
      </c>
      <c r="B4" s="255" t="s">
        <v>2641</v>
      </c>
      <c r="C4" s="255">
        <v>11827.31</v>
      </c>
      <c r="D4" s="255">
        <v>14192.77</v>
      </c>
      <c r="E4" s="255" t="s">
        <v>1732</v>
      </c>
      <c r="F4" s="255" t="s">
        <v>2691</v>
      </c>
      <c r="G4" s="255" t="s">
        <v>2683</v>
      </c>
      <c r="H4" s="255">
        <v>0</v>
      </c>
      <c r="I4" s="255" t="s">
        <v>2684</v>
      </c>
      <c r="J4" s="255" t="s">
        <v>2695</v>
      </c>
      <c r="K4" s="255" t="s">
        <v>2686</v>
      </c>
      <c r="L4" s="255" t="s">
        <v>2696</v>
      </c>
      <c r="M4" s="255">
        <v>961</v>
      </c>
      <c r="N4" s="255">
        <v>812.52</v>
      </c>
      <c r="O4" s="255">
        <v>54.17</v>
      </c>
      <c r="P4" s="255">
        <v>677</v>
      </c>
      <c r="Q4" s="255" t="s">
        <v>2688</v>
      </c>
      <c r="R4" s="255">
        <v>0.52</v>
      </c>
    </row>
    <row r="5" s="253" customFormat="1" spans="1:18">
      <c r="A5" s="255" t="s">
        <v>2697</v>
      </c>
      <c r="B5" s="255" t="s">
        <v>2640</v>
      </c>
      <c r="C5" s="255">
        <v>4416.93</v>
      </c>
      <c r="D5" s="255">
        <v>5300.32</v>
      </c>
      <c r="E5" s="255" t="s">
        <v>1732</v>
      </c>
      <c r="F5" s="255" t="s">
        <v>2682</v>
      </c>
      <c r="G5" s="255" t="s">
        <v>2683</v>
      </c>
      <c r="H5" s="255">
        <v>0</v>
      </c>
      <c r="I5" s="255" t="s">
        <v>2684</v>
      </c>
      <c r="J5" s="255" t="s">
        <v>2695</v>
      </c>
      <c r="K5" s="255" t="s">
        <v>2686</v>
      </c>
      <c r="L5" s="255" t="s">
        <v>2698</v>
      </c>
      <c r="M5" s="255">
        <v>361</v>
      </c>
      <c r="N5" s="255">
        <v>817.3</v>
      </c>
      <c r="O5" s="255">
        <v>54.49</v>
      </c>
      <c r="P5" s="255">
        <v>681</v>
      </c>
      <c r="Q5" s="255" t="s">
        <v>2688</v>
      </c>
      <c r="R5" s="255">
        <v>1.12</v>
      </c>
    </row>
    <row r="6" s="253" customFormat="1" spans="1:18">
      <c r="A6" s="255" t="s">
        <v>2699</v>
      </c>
      <c r="B6" s="255" t="s">
        <v>2642</v>
      </c>
      <c r="C6" s="255">
        <v>4838.57</v>
      </c>
      <c r="D6" s="255">
        <v>5806.28</v>
      </c>
      <c r="E6" s="255" t="s">
        <v>1732</v>
      </c>
      <c r="F6" s="255" t="s">
        <v>2691</v>
      </c>
      <c r="G6" s="255" t="s">
        <v>2683</v>
      </c>
      <c r="H6" s="255">
        <v>0</v>
      </c>
      <c r="I6" s="255" t="s">
        <v>2684</v>
      </c>
      <c r="J6" s="255" t="s">
        <v>2695</v>
      </c>
      <c r="K6" s="255" t="s">
        <v>2686</v>
      </c>
      <c r="L6" s="255" t="s">
        <v>2700</v>
      </c>
      <c r="M6" s="255">
        <v>387</v>
      </c>
      <c r="N6" s="255">
        <v>799.82</v>
      </c>
      <c r="O6" s="255">
        <v>53.32</v>
      </c>
      <c r="P6" s="255">
        <v>667</v>
      </c>
      <c r="Q6" s="255" t="s">
        <v>2688</v>
      </c>
      <c r="R6" s="255">
        <v>1.04</v>
      </c>
    </row>
    <row r="7" s="252" customFormat="1" spans="1:18">
      <c r="A7" s="254" t="s">
        <v>2701</v>
      </c>
      <c r="B7" s="254" t="s">
        <v>2643</v>
      </c>
      <c r="C7" s="254">
        <v>15965.14</v>
      </c>
      <c r="D7" s="254">
        <v>19158.17</v>
      </c>
      <c r="E7" s="254" t="s">
        <v>1732</v>
      </c>
      <c r="F7" s="254" t="s">
        <v>2691</v>
      </c>
      <c r="G7" s="254" t="s">
        <v>2683</v>
      </c>
      <c r="H7" s="254">
        <v>0</v>
      </c>
      <c r="I7" s="254" t="s">
        <v>2684</v>
      </c>
      <c r="J7" s="254" t="s">
        <v>2695</v>
      </c>
      <c r="K7" s="254" t="s">
        <v>2686</v>
      </c>
      <c r="L7" s="254" t="s">
        <v>2702</v>
      </c>
      <c r="M7" s="254">
        <v>410</v>
      </c>
      <c r="N7" s="254">
        <v>256.8</v>
      </c>
      <c r="O7" s="254">
        <v>17.12</v>
      </c>
      <c r="P7" s="254">
        <v>214</v>
      </c>
      <c r="Q7" s="254" t="s">
        <v>2703</v>
      </c>
      <c r="R7" s="254">
        <v>0.99</v>
      </c>
    </row>
    <row r="8" s="252" customFormat="1" spans="1:18">
      <c r="A8" s="254" t="s">
        <v>2704</v>
      </c>
      <c r="B8" s="254" t="s">
        <v>2705</v>
      </c>
      <c r="C8" s="254">
        <v>13367.85</v>
      </c>
      <c r="D8" s="254">
        <v>16041.42</v>
      </c>
      <c r="E8" s="254" t="s">
        <v>1732</v>
      </c>
      <c r="F8" s="254" t="s">
        <v>2691</v>
      </c>
      <c r="G8" s="254" t="s">
        <v>2683</v>
      </c>
      <c r="H8" s="254">
        <v>0</v>
      </c>
      <c r="I8" s="254" t="s">
        <v>2684</v>
      </c>
      <c r="J8" s="254" t="s">
        <v>2706</v>
      </c>
      <c r="K8" s="254" t="s">
        <v>2686</v>
      </c>
      <c r="L8" s="254" t="s">
        <v>2707</v>
      </c>
      <c r="M8" s="254">
        <v>1105</v>
      </c>
      <c r="N8" s="254">
        <v>826.61</v>
      </c>
      <c r="O8" s="254">
        <v>55.11</v>
      </c>
      <c r="P8" s="254">
        <v>689</v>
      </c>
      <c r="Q8" s="254" t="s">
        <v>2688</v>
      </c>
      <c r="R8" s="254">
        <v>1.84</v>
      </c>
    </row>
    <row r="9" s="252" customFormat="1" spans="1:18">
      <c r="A9" s="254" t="s">
        <v>2680</v>
      </c>
      <c r="B9" s="254" t="s">
        <v>2708</v>
      </c>
      <c r="C9" s="254">
        <v>89963.29</v>
      </c>
      <c r="D9" s="254">
        <v>107955.95</v>
      </c>
      <c r="E9" s="254" t="s">
        <v>1732</v>
      </c>
      <c r="F9" s="254" t="s">
        <v>2691</v>
      </c>
      <c r="G9" s="254" t="s">
        <v>2683</v>
      </c>
      <c r="H9" s="254">
        <v>0</v>
      </c>
      <c r="I9" s="254" t="s">
        <v>2684</v>
      </c>
      <c r="J9" s="254" t="s">
        <v>2709</v>
      </c>
      <c r="K9" s="254" t="s">
        <v>2686</v>
      </c>
      <c r="L9" s="254" t="s">
        <v>2687</v>
      </c>
      <c r="M9" s="254">
        <v>5937</v>
      </c>
      <c r="N9" s="254">
        <v>659.93</v>
      </c>
      <c r="O9" s="254">
        <v>44</v>
      </c>
      <c r="P9" s="254">
        <v>550</v>
      </c>
      <c r="Q9" s="254" t="s">
        <v>2688</v>
      </c>
      <c r="R9" s="254">
        <v>0.85</v>
      </c>
    </row>
    <row r="10" s="252" customFormat="1" spans="1:18">
      <c r="A10" s="254" t="s">
        <v>2710</v>
      </c>
      <c r="B10" s="254" t="s">
        <v>2711</v>
      </c>
      <c r="C10" s="254">
        <v>9969.38</v>
      </c>
      <c r="D10" s="254">
        <v>11963.26</v>
      </c>
      <c r="E10" s="254" t="s">
        <v>1732</v>
      </c>
      <c r="F10" s="254" t="s">
        <v>2691</v>
      </c>
      <c r="G10" s="254" t="s">
        <v>2683</v>
      </c>
      <c r="H10" s="254">
        <v>0</v>
      </c>
      <c r="I10" s="254" t="s">
        <v>2684</v>
      </c>
      <c r="J10" s="254" t="s">
        <v>2709</v>
      </c>
      <c r="K10" s="254" t="s">
        <v>2686</v>
      </c>
      <c r="L10" s="254" t="s">
        <v>2712</v>
      </c>
      <c r="M10" s="254">
        <v>475</v>
      </c>
      <c r="N10" s="254">
        <v>476.45</v>
      </c>
      <c r="O10" s="254">
        <v>31.76</v>
      </c>
      <c r="P10" s="254">
        <v>397</v>
      </c>
      <c r="Q10" s="254" t="s">
        <v>2703</v>
      </c>
      <c r="R10" s="254">
        <v>1.28</v>
      </c>
    </row>
    <row r="11" s="252" customFormat="1" spans="1:18">
      <c r="A11" s="254" t="s">
        <v>2713</v>
      </c>
      <c r="B11" s="254" t="s">
        <v>2714</v>
      </c>
      <c r="C11" s="254">
        <v>14983.52</v>
      </c>
      <c r="D11" s="254">
        <v>17980.22</v>
      </c>
      <c r="E11" s="254" t="s">
        <v>1732</v>
      </c>
      <c r="F11" s="254" t="s">
        <v>2691</v>
      </c>
      <c r="G11" s="254" t="s">
        <v>2683</v>
      </c>
      <c r="H11" s="254">
        <v>0</v>
      </c>
      <c r="I11" s="254" t="s">
        <v>2684</v>
      </c>
      <c r="J11" s="254" t="s">
        <v>2715</v>
      </c>
      <c r="K11" s="254" t="s">
        <v>2686</v>
      </c>
      <c r="L11" s="254" t="s">
        <v>2696</v>
      </c>
      <c r="M11" s="254">
        <v>496</v>
      </c>
      <c r="N11" s="254">
        <v>331.03</v>
      </c>
      <c r="O11" s="254">
        <v>22.07</v>
      </c>
      <c r="P11" s="254">
        <v>276</v>
      </c>
      <c r="Q11" s="254" t="s">
        <v>2703</v>
      </c>
      <c r="R11" s="254">
        <v>2.06</v>
      </c>
    </row>
    <row r="12" s="252" customFormat="1" spans="1:18">
      <c r="A12" s="254" t="s">
        <v>2716</v>
      </c>
      <c r="B12" s="254" t="s">
        <v>2717</v>
      </c>
      <c r="C12" s="254">
        <v>16350.83</v>
      </c>
      <c r="D12" s="254">
        <v>19621</v>
      </c>
      <c r="E12" s="254" t="s">
        <v>1732</v>
      </c>
      <c r="F12" s="254" t="s">
        <v>2691</v>
      </c>
      <c r="G12" s="254" t="s">
        <v>2683</v>
      </c>
      <c r="H12" s="254">
        <v>0</v>
      </c>
      <c r="I12" s="254" t="s">
        <v>2684</v>
      </c>
      <c r="J12" s="254" t="s">
        <v>2715</v>
      </c>
      <c r="K12" s="254" t="s">
        <v>2686</v>
      </c>
      <c r="L12" s="254" t="s">
        <v>2718</v>
      </c>
      <c r="M12" s="254">
        <v>1375</v>
      </c>
      <c r="N12" s="254">
        <v>840.93</v>
      </c>
      <c r="O12" s="254">
        <v>56.06</v>
      </c>
      <c r="P12" s="254">
        <v>701</v>
      </c>
      <c r="Q12" s="254" t="s">
        <v>2688</v>
      </c>
      <c r="R12" s="254">
        <v>3</v>
      </c>
    </row>
    <row r="13" s="252" customFormat="1" spans="1:18">
      <c r="A13" s="254" t="s">
        <v>2719</v>
      </c>
      <c r="B13" s="254" t="s">
        <v>2720</v>
      </c>
      <c r="C13" s="254">
        <v>9986.59</v>
      </c>
      <c r="D13" s="254">
        <v>11983.91</v>
      </c>
      <c r="E13" s="254" t="s">
        <v>1732</v>
      </c>
      <c r="F13" s="254" t="s">
        <v>2691</v>
      </c>
      <c r="G13" s="254" t="s">
        <v>2683</v>
      </c>
      <c r="H13" s="254">
        <v>0</v>
      </c>
      <c r="I13" s="254" t="s">
        <v>2684</v>
      </c>
      <c r="J13" s="254" t="s">
        <v>2721</v>
      </c>
      <c r="K13" s="254" t="s">
        <v>2686</v>
      </c>
      <c r="L13" s="254" t="s">
        <v>2722</v>
      </c>
      <c r="M13" s="254">
        <v>849</v>
      </c>
      <c r="N13" s="254">
        <v>850.14</v>
      </c>
      <c r="O13" s="254">
        <v>56.68</v>
      </c>
      <c r="P13" s="254">
        <v>708</v>
      </c>
      <c r="Q13" s="254" t="s">
        <v>2688</v>
      </c>
      <c r="R13" s="254">
        <v>2.41</v>
      </c>
    </row>
    <row r="14" s="252" customFormat="1" spans="1:18">
      <c r="A14" s="254" t="s">
        <v>2723</v>
      </c>
      <c r="B14" s="254" t="s">
        <v>2724</v>
      </c>
      <c r="C14" s="254">
        <v>356.98</v>
      </c>
      <c r="D14" s="254">
        <v>428.38</v>
      </c>
      <c r="E14" s="254" t="s">
        <v>1732</v>
      </c>
      <c r="F14" s="254" t="s">
        <v>2691</v>
      </c>
      <c r="G14" s="254" t="s">
        <v>2683</v>
      </c>
      <c r="H14" s="254">
        <v>0</v>
      </c>
      <c r="I14" s="254" t="s">
        <v>2684</v>
      </c>
      <c r="J14" s="254" t="s">
        <v>2721</v>
      </c>
      <c r="K14" s="254" t="s">
        <v>2686</v>
      </c>
      <c r="L14" s="254" t="s">
        <v>2725</v>
      </c>
      <c r="M14" s="254">
        <v>39</v>
      </c>
      <c r="N14" s="254">
        <v>1092.49</v>
      </c>
      <c r="O14" s="254">
        <v>72.83</v>
      </c>
      <c r="P14" s="254">
        <v>910</v>
      </c>
      <c r="Q14" s="254" t="s">
        <v>2688</v>
      </c>
      <c r="R14" s="254">
        <v>11.43</v>
      </c>
    </row>
    <row r="15" s="252" customFormat="1" spans="1:18">
      <c r="A15" s="254" t="s">
        <v>2726</v>
      </c>
      <c r="B15" s="254" t="s">
        <v>2727</v>
      </c>
      <c r="C15" s="254">
        <v>60851.6</v>
      </c>
      <c r="D15" s="254">
        <v>73021.92</v>
      </c>
      <c r="E15" s="254" t="s">
        <v>1732</v>
      </c>
      <c r="F15" s="254" t="s">
        <v>2691</v>
      </c>
      <c r="G15" s="254" t="s">
        <v>2683</v>
      </c>
      <c r="H15" s="254">
        <v>0</v>
      </c>
      <c r="I15" s="254" t="s">
        <v>2684</v>
      </c>
      <c r="J15" s="254" t="s">
        <v>2728</v>
      </c>
      <c r="K15" s="254" t="s">
        <v>2686</v>
      </c>
      <c r="L15" s="254" t="s">
        <v>2729</v>
      </c>
      <c r="M15" s="254">
        <v>4999</v>
      </c>
      <c r="N15" s="254">
        <v>821.5</v>
      </c>
      <c r="O15" s="254">
        <v>54.77</v>
      </c>
      <c r="P15" s="254">
        <v>685</v>
      </c>
      <c r="Q15" s="254" t="s">
        <v>2688</v>
      </c>
      <c r="R15" s="254">
        <v>1.63</v>
      </c>
    </row>
    <row r="16" s="252" customFormat="1" spans="1:18">
      <c r="A16" s="254" t="s">
        <v>2730</v>
      </c>
      <c r="B16" s="254" t="s">
        <v>2731</v>
      </c>
      <c r="C16" s="254">
        <v>12176.45</v>
      </c>
      <c r="D16" s="254">
        <v>14611.74</v>
      </c>
      <c r="E16" s="254" t="s">
        <v>1732</v>
      </c>
      <c r="F16" s="254" t="s">
        <v>1732</v>
      </c>
      <c r="G16" s="254" t="s">
        <v>2683</v>
      </c>
      <c r="H16" s="254">
        <v>0</v>
      </c>
      <c r="I16" s="254" t="s">
        <v>2684</v>
      </c>
      <c r="J16" s="254" t="s">
        <v>2732</v>
      </c>
      <c r="K16" s="254" t="s">
        <v>2686</v>
      </c>
      <c r="L16" s="254" t="s">
        <v>2733</v>
      </c>
      <c r="M16" s="254">
        <v>1045</v>
      </c>
      <c r="N16" s="254">
        <v>858.21</v>
      </c>
      <c r="O16" s="254">
        <v>57.21</v>
      </c>
      <c r="P16" s="254">
        <v>715</v>
      </c>
      <c r="Q16" s="254" t="s">
        <v>2688</v>
      </c>
      <c r="R16" s="254">
        <v>3.98</v>
      </c>
    </row>
    <row r="17" s="252" customFormat="1" spans="1:18">
      <c r="A17" s="254" t="s">
        <v>2734</v>
      </c>
      <c r="B17" s="254" t="s">
        <v>2735</v>
      </c>
      <c r="C17" s="254">
        <v>1918.8</v>
      </c>
      <c r="D17" s="254">
        <v>3837.6</v>
      </c>
      <c r="E17" s="254" t="s">
        <v>1732</v>
      </c>
      <c r="F17" s="254" t="s">
        <v>1732</v>
      </c>
      <c r="G17" s="254" t="s">
        <v>2736</v>
      </c>
      <c r="H17" s="254">
        <v>2</v>
      </c>
      <c r="I17" s="254" t="s">
        <v>2684</v>
      </c>
      <c r="J17" s="254" t="s">
        <v>2737</v>
      </c>
      <c r="K17" s="254" t="s">
        <v>2686</v>
      </c>
      <c r="L17" s="254" t="s">
        <v>2738</v>
      </c>
      <c r="M17" s="254">
        <v>152</v>
      </c>
      <c r="N17" s="254">
        <v>792.16</v>
      </c>
      <c r="O17" s="254">
        <v>52.81</v>
      </c>
      <c r="P17" s="254">
        <v>396</v>
      </c>
      <c r="Q17" s="254" t="s">
        <v>2688</v>
      </c>
      <c r="R17" s="254">
        <v>7.04</v>
      </c>
    </row>
    <row r="18" s="252" customFormat="1" spans="1:18">
      <c r="A18" s="254" t="s">
        <v>2730</v>
      </c>
      <c r="B18" s="254" t="s">
        <v>2739</v>
      </c>
      <c r="C18" s="254">
        <v>6324.57</v>
      </c>
      <c r="D18" s="254">
        <v>7589.48</v>
      </c>
      <c r="E18" s="254" t="s">
        <v>1732</v>
      </c>
      <c r="F18" s="254" t="s">
        <v>1732</v>
      </c>
      <c r="G18" s="254" t="s">
        <v>2683</v>
      </c>
      <c r="H18" s="254">
        <v>0</v>
      </c>
      <c r="I18" s="254" t="s">
        <v>2684</v>
      </c>
      <c r="J18" s="254" t="s">
        <v>2737</v>
      </c>
      <c r="K18" s="254" t="s">
        <v>2686</v>
      </c>
      <c r="L18" s="254" t="s">
        <v>2740</v>
      </c>
      <c r="M18" s="254">
        <v>545</v>
      </c>
      <c r="N18" s="254">
        <v>861.71</v>
      </c>
      <c r="O18" s="254">
        <v>57.45</v>
      </c>
      <c r="P18" s="254">
        <v>718</v>
      </c>
      <c r="Q18" s="254" t="s">
        <v>2688</v>
      </c>
      <c r="R18" s="254">
        <v>3.81</v>
      </c>
    </row>
    <row r="19" s="252" customFormat="1" spans="1:18">
      <c r="A19" s="254" t="s">
        <v>2741</v>
      </c>
      <c r="B19" s="254" t="s">
        <v>2742</v>
      </c>
      <c r="C19" s="254">
        <v>10198.7</v>
      </c>
      <c r="D19" s="254">
        <v>12238.44</v>
      </c>
      <c r="E19" s="254" t="s">
        <v>1732</v>
      </c>
      <c r="F19" s="254" t="s">
        <v>1732</v>
      </c>
      <c r="G19" s="254" t="s">
        <v>2683</v>
      </c>
      <c r="H19" s="254">
        <v>0</v>
      </c>
      <c r="I19" s="254" t="s">
        <v>2684</v>
      </c>
      <c r="J19" s="254" t="s">
        <v>2737</v>
      </c>
      <c r="K19" s="254" t="s">
        <v>2686</v>
      </c>
      <c r="L19" s="254" t="s">
        <v>2743</v>
      </c>
      <c r="M19" s="254">
        <v>868</v>
      </c>
      <c r="N19" s="254">
        <v>851.08</v>
      </c>
      <c r="O19" s="254">
        <v>56.74</v>
      </c>
      <c r="P19" s="254">
        <v>709</v>
      </c>
      <c r="Q19" s="254" t="s">
        <v>2688</v>
      </c>
      <c r="R19" s="254">
        <v>2.36</v>
      </c>
    </row>
    <row r="20" s="252" customFormat="1" spans="1:18">
      <c r="A20" s="254" t="s">
        <v>2744</v>
      </c>
      <c r="B20" s="254" t="s">
        <v>2745</v>
      </c>
      <c r="C20" s="254">
        <v>6880.94</v>
      </c>
      <c r="D20" s="254">
        <v>8257.13</v>
      </c>
      <c r="E20" s="254" t="s">
        <v>1732</v>
      </c>
      <c r="F20" s="254" t="s">
        <v>1732</v>
      </c>
      <c r="G20" s="254" t="s">
        <v>2683</v>
      </c>
      <c r="H20" s="254">
        <v>0</v>
      </c>
      <c r="I20" s="254" t="s">
        <v>2684</v>
      </c>
      <c r="J20" s="254" t="s">
        <v>2737</v>
      </c>
      <c r="K20" s="254" t="s">
        <v>2686</v>
      </c>
      <c r="L20" s="254" t="s">
        <v>2746</v>
      </c>
      <c r="M20" s="254">
        <v>226</v>
      </c>
      <c r="N20" s="254">
        <v>328.44</v>
      </c>
      <c r="O20" s="254">
        <v>21.9</v>
      </c>
      <c r="P20" s="254">
        <v>274</v>
      </c>
      <c r="Q20" s="254" t="s">
        <v>2703</v>
      </c>
      <c r="R20" s="254">
        <v>4.63</v>
      </c>
    </row>
    <row r="21" s="252" customFormat="1" spans="1:18">
      <c r="A21" s="254" t="s">
        <v>2747</v>
      </c>
      <c r="B21" s="254" t="s">
        <v>2748</v>
      </c>
      <c r="C21" s="254">
        <v>614.54</v>
      </c>
      <c r="D21" s="254">
        <v>737.45</v>
      </c>
      <c r="E21" s="254" t="s">
        <v>1732</v>
      </c>
      <c r="F21" s="254" t="s">
        <v>1732</v>
      </c>
      <c r="G21" s="254" t="s">
        <v>2683</v>
      </c>
      <c r="H21" s="254">
        <v>0</v>
      </c>
      <c r="I21" s="254" t="s">
        <v>2684</v>
      </c>
      <c r="J21" s="254" t="s">
        <v>2749</v>
      </c>
      <c r="K21" s="254" t="s">
        <v>2686</v>
      </c>
      <c r="L21" s="254" t="s">
        <v>2750</v>
      </c>
      <c r="M21" s="254">
        <v>56</v>
      </c>
      <c r="N21" s="254">
        <v>911.25</v>
      </c>
      <c r="O21" s="254">
        <v>60.75</v>
      </c>
      <c r="P21" s="254">
        <v>759</v>
      </c>
      <c r="Q21" s="254" t="s">
        <v>2688</v>
      </c>
      <c r="R21" s="254">
        <v>7.69</v>
      </c>
    </row>
    <row r="22" s="252" customFormat="1" spans="1:18">
      <c r="A22" s="254" t="s">
        <v>2751</v>
      </c>
      <c r="B22" s="254" t="s">
        <v>2752</v>
      </c>
      <c r="C22" s="254">
        <v>71839.57</v>
      </c>
      <c r="D22" s="254">
        <v>86207.48</v>
      </c>
      <c r="E22" s="254" t="s">
        <v>1732</v>
      </c>
      <c r="F22" s="254" t="s">
        <v>1732</v>
      </c>
      <c r="G22" s="254" t="s">
        <v>2683</v>
      </c>
      <c r="H22" s="254">
        <v>0</v>
      </c>
      <c r="I22" s="254" t="s">
        <v>2684</v>
      </c>
      <c r="J22" s="254" t="s">
        <v>2749</v>
      </c>
      <c r="K22" s="254" t="s">
        <v>2686</v>
      </c>
      <c r="L22" s="254" t="s">
        <v>2753</v>
      </c>
      <c r="M22" s="254">
        <v>6208</v>
      </c>
      <c r="N22" s="254">
        <v>864.14</v>
      </c>
      <c r="O22" s="254">
        <v>57.61</v>
      </c>
      <c r="P22" s="254">
        <v>720</v>
      </c>
      <c r="Q22" s="254" t="s">
        <v>2688</v>
      </c>
      <c r="R22" s="254">
        <v>4.2</v>
      </c>
    </row>
    <row r="23" s="252" customFormat="1" spans="1:18">
      <c r="A23" s="254" t="s">
        <v>2723</v>
      </c>
      <c r="B23" s="254" t="s">
        <v>2644</v>
      </c>
      <c r="C23" s="254">
        <v>1378.81</v>
      </c>
      <c r="D23" s="254">
        <v>1654.57</v>
      </c>
      <c r="E23" s="254" t="s">
        <v>1732</v>
      </c>
      <c r="F23" s="254" t="s">
        <v>1732</v>
      </c>
      <c r="G23" s="254" t="s">
        <v>2683</v>
      </c>
      <c r="H23" s="254">
        <v>0</v>
      </c>
      <c r="I23" s="254" t="s">
        <v>2684</v>
      </c>
      <c r="J23" s="254" t="s">
        <v>2754</v>
      </c>
      <c r="K23" s="254" t="s">
        <v>2686</v>
      </c>
      <c r="L23" s="254" t="s">
        <v>2725</v>
      </c>
      <c r="M23" s="254">
        <v>143</v>
      </c>
      <c r="N23" s="254">
        <v>1037.12</v>
      </c>
      <c r="O23" s="254">
        <v>69.14</v>
      </c>
      <c r="P23" s="254">
        <v>864</v>
      </c>
      <c r="Q23" s="254" t="s">
        <v>2688</v>
      </c>
      <c r="R23" s="254">
        <v>7.52</v>
      </c>
    </row>
    <row r="24" s="252" customFormat="1" spans="1:18">
      <c r="A24" s="254" t="s">
        <v>2755</v>
      </c>
      <c r="B24" s="254" t="s">
        <v>2756</v>
      </c>
      <c r="C24" s="254">
        <v>5779.08</v>
      </c>
      <c r="D24" s="254">
        <v>6934.9</v>
      </c>
      <c r="E24" s="254" t="s">
        <v>1732</v>
      </c>
      <c r="F24" s="254" t="s">
        <v>1732</v>
      </c>
      <c r="G24" s="254" t="s">
        <v>2683</v>
      </c>
      <c r="H24" s="254">
        <v>0</v>
      </c>
      <c r="I24" s="254" t="s">
        <v>2684</v>
      </c>
      <c r="J24" s="254" t="s">
        <v>2757</v>
      </c>
      <c r="K24" s="254" t="s">
        <v>2686</v>
      </c>
      <c r="L24" s="254" t="s">
        <v>2758</v>
      </c>
      <c r="M24" s="254">
        <v>675</v>
      </c>
      <c r="N24" s="254">
        <v>1168</v>
      </c>
      <c r="O24" s="254">
        <v>77.87</v>
      </c>
      <c r="P24" s="254">
        <v>973</v>
      </c>
      <c r="Q24" s="254" t="s">
        <v>2688</v>
      </c>
      <c r="R24" s="254">
        <v>3.05</v>
      </c>
    </row>
    <row r="25" s="252" customFormat="1" spans="1:18">
      <c r="A25" s="254" t="s">
        <v>2755</v>
      </c>
      <c r="B25" s="254" t="s">
        <v>2759</v>
      </c>
      <c r="C25" s="254">
        <v>5779.08</v>
      </c>
      <c r="D25" s="254">
        <v>6934.9</v>
      </c>
      <c r="E25" s="254" t="s">
        <v>1732</v>
      </c>
      <c r="F25" s="254" t="s">
        <v>1732</v>
      </c>
      <c r="G25" s="254" t="s">
        <v>2683</v>
      </c>
      <c r="H25" s="254">
        <v>0</v>
      </c>
      <c r="I25" s="254" t="s">
        <v>2684</v>
      </c>
      <c r="J25" s="254" t="s">
        <v>2757</v>
      </c>
      <c r="K25" s="254" t="s">
        <v>2686</v>
      </c>
      <c r="L25" s="254" t="s">
        <v>2760</v>
      </c>
      <c r="M25" s="254">
        <v>675</v>
      </c>
      <c r="N25" s="254">
        <v>1168</v>
      </c>
      <c r="O25" s="254">
        <v>77.87</v>
      </c>
      <c r="P25" s="254">
        <v>973</v>
      </c>
      <c r="Q25" s="254" t="s">
        <v>2688</v>
      </c>
      <c r="R25" s="254">
        <v>3.05</v>
      </c>
    </row>
    <row r="26" s="252" customFormat="1" spans="1:18">
      <c r="A26" s="254" t="s">
        <v>2761</v>
      </c>
      <c r="B26" s="254" t="s">
        <v>2762</v>
      </c>
      <c r="C26" s="254">
        <v>7063.67</v>
      </c>
      <c r="D26" s="254">
        <v>8476.4</v>
      </c>
      <c r="E26" s="254" t="s">
        <v>1732</v>
      </c>
      <c r="F26" s="254" t="s">
        <v>1732</v>
      </c>
      <c r="G26" s="254" t="s">
        <v>2683</v>
      </c>
      <c r="H26" s="254">
        <v>0</v>
      </c>
      <c r="I26" s="254" t="s">
        <v>2684</v>
      </c>
      <c r="J26" s="254" t="s">
        <v>2757</v>
      </c>
      <c r="K26" s="254" t="s">
        <v>2686</v>
      </c>
      <c r="L26" s="254" t="s">
        <v>2763</v>
      </c>
      <c r="M26" s="254">
        <v>533</v>
      </c>
      <c r="N26" s="254">
        <v>754.56</v>
      </c>
      <c r="O26" s="254">
        <v>50.3</v>
      </c>
      <c r="P26" s="254">
        <v>629</v>
      </c>
      <c r="Q26" s="254" t="s">
        <v>2688</v>
      </c>
      <c r="R26" s="254">
        <v>3.9</v>
      </c>
    </row>
    <row r="27" s="252" customFormat="1" spans="1:18">
      <c r="A27" s="254" t="s">
        <v>2764</v>
      </c>
      <c r="B27" s="254" t="s">
        <v>2765</v>
      </c>
      <c r="C27" s="254">
        <v>7104.19</v>
      </c>
      <c r="D27" s="254">
        <v>8525.03</v>
      </c>
      <c r="E27" s="254" t="s">
        <v>1732</v>
      </c>
      <c r="F27" s="254" t="s">
        <v>1732</v>
      </c>
      <c r="G27" s="254" t="s">
        <v>2683</v>
      </c>
      <c r="H27" s="254">
        <v>0</v>
      </c>
      <c r="I27" s="254" t="s">
        <v>2684</v>
      </c>
      <c r="J27" s="254" t="s">
        <v>2757</v>
      </c>
      <c r="K27" s="254" t="s">
        <v>2686</v>
      </c>
      <c r="L27" s="254" t="s">
        <v>2766</v>
      </c>
      <c r="M27" s="254">
        <v>536</v>
      </c>
      <c r="N27" s="254">
        <v>754.48</v>
      </c>
      <c r="O27" s="254">
        <v>50.3</v>
      </c>
      <c r="P27" s="254">
        <v>629</v>
      </c>
      <c r="Q27" s="254" t="s">
        <v>2688</v>
      </c>
      <c r="R27" s="254">
        <v>3.88</v>
      </c>
    </row>
    <row r="28" s="252" customFormat="1" spans="1:18">
      <c r="A28" s="254" t="s">
        <v>2767</v>
      </c>
      <c r="B28" s="254" t="s">
        <v>2768</v>
      </c>
      <c r="C28" s="254">
        <v>20575.35</v>
      </c>
      <c r="D28" s="254">
        <v>24690.42</v>
      </c>
      <c r="E28" s="254" t="s">
        <v>1732</v>
      </c>
      <c r="F28" s="254" t="s">
        <v>1732</v>
      </c>
      <c r="G28" s="254" t="s">
        <v>2683</v>
      </c>
      <c r="H28" s="254">
        <v>0</v>
      </c>
      <c r="I28" s="254" t="s">
        <v>2684</v>
      </c>
      <c r="J28" s="254" t="s">
        <v>2769</v>
      </c>
      <c r="K28" s="254" t="s">
        <v>2686</v>
      </c>
      <c r="L28" s="254" t="s">
        <v>2770</v>
      </c>
      <c r="M28" s="254">
        <v>2288</v>
      </c>
      <c r="N28" s="254">
        <v>1112.01</v>
      </c>
      <c r="O28" s="254">
        <v>74.13</v>
      </c>
      <c r="P28" s="254">
        <v>927</v>
      </c>
      <c r="Q28" s="254" t="s">
        <v>2688</v>
      </c>
      <c r="R28" s="254">
        <v>1.78</v>
      </c>
    </row>
    <row r="29" s="252" customFormat="1" spans="1:18">
      <c r="A29" s="254" t="s">
        <v>2771</v>
      </c>
      <c r="B29" s="254" t="s">
        <v>2772</v>
      </c>
      <c r="C29" s="254">
        <v>23101.66</v>
      </c>
      <c r="D29" s="254">
        <v>27721.99</v>
      </c>
      <c r="E29" s="254" t="s">
        <v>1732</v>
      </c>
      <c r="F29" s="254" t="s">
        <v>1732</v>
      </c>
      <c r="G29" s="254" t="s">
        <v>2683</v>
      </c>
      <c r="H29" s="254">
        <v>0</v>
      </c>
      <c r="I29" s="254" t="s">
        <v>2684</v>
      </c>
      <c r="J29" s="254" t="s">
        <v>2769</v>
      </c>
      <c r="K29" s="254" t="s">
        <v>2686</v>
      </c>
      <c r="L29" s="254" t="s">
        <v>2773</v>
      </c>
      <c r="M29" s="254">
        <v>1707</v>
      </c>
      <c r="N29" s="254">
        <v>738.9</v>
      </c>
      <c r="O29" s="254">
        <v>49.26</v>
      </c>
      <c r="P29" s="254">
        <v>616</v>
      </c>
      <c r="Q29" s="254" t="s">
        <v>2688</v>
      </c>
      <c r="R29" s="254">
        <v>2.4</v>
      </c>
    </row>
    <row r="30" s="252" customFormat="1" spans="1:18">
      <c r="A30" s="254" t="s">
        <v>2774</v>
      </c>
      <c r="B30" s="254" t="s">
        <v>2775</v>
      </c>
      <c r="C30" s="254">
        <v>13566.71</v>
      </c>
      <c r="D30" s="254">
        <v>16280.05</v>
      </c>
      <c r="E30" s="254" t="s">
        <v>1732</v>
      </c>
      <c r="F30" s="254" t="s">
        <v>1732</v>
      </c>
      <c r="G30" s="254" t="s">
        <v>2683</v>
      </c>
      <c r="H30" s="254">
        <v>0</v>
      </c>
      <c r="I30" s="254" t="s">
        <v>2684</v>
      </c>
      <c r="J30" s="254" t="s">
        <v>2776</v>
      </c>
      <c r="K30" s="254" t="s">
        <v>2686</v>
      </c>
      <c r="L30" s="254" t="s">
        <v>2777</v>
      </c>
      <c r="M30" s="254">
        <v>1147</v>
      </c>
      <c r="N30" s="254">
        <v>845.45</v>
      </c>
      <c r="O30" s="254">
        <v>56.36</v>
      </c>
      <c r="P30" s="254">
        <v>705</v>
      </c>
      <c r="Q30" s="254" t="s">
        <v>2688</v>
      </c>
      <c r="R30" s="254">
        <v>3.61</v>
      </c>
    </row>
    <row r="31" s="252" customFormat="1" spans="1:18">
      <c r="A31" s="254" t="s">
        <v>2778</v>
      </c>
      <c r="B31" s="254" t="s">
        <v>2779</v>
      </c>
      <c r="C31" s="254">
        <v>7196.53</v>
      </c>
      <c r="D31" s="254">
        <v>8635.84</v>
      </c>
      <c r="E31" s="254" t="s">
        <v>1732</v>
      </c>
      <c r="F31" s="254" t="s">
        <v>1732</v>
      </c>
      <c r="G31" s="254" t="s">
        <v>2683</v>
      </c>
      <c r="H31" s="254">
        <v>0</v>
      </c>
      <c r="I31" s="254" t="s">
        <v>2684</v>
      </c>
      <c r="J31" s="254" t="s">
        <v>2780</v>
      </c>
      <c r="K31" s="254" t="s">
        <v>2686</v>
      </c>
      <c r="L31" s="254" t="s">
        <v>2781</v>
      </c>
      <c r="M31" s="254">
        <v>605</v>
      </c>
      <c r="N31" s="254">
        <v>840.68</v>
      </c>
      <c r="O31" s="254">
        <v>56.05</v>
      </c>
      <c r="P31" s="254">
        <v>701</v>
      </c>
      <c r="Q31" s="254" t="s">
        <v>2688</v>
      </c>
      <c r="R31" s="254">
        <v>3.42</v>
      </c>
    </row>
    <row r="32" s="252" customFormat="1" spans="1:18">
      <c r="A32" s="254" t="s">
        <v>2782</v>
      </c>
      <c r="B32" s="254" t="s">
        <v>2783</v>
      </c>
      <c r="C32" s="254">
        <v>12319.88</v>
      </c>
      <c r="D32" s="254">
        <v>14783.86</v>
      </c>
      <c r="E32" s="254" t="s">
        <v>1732</v>
      </c>
      <c r="F32" s="254" t="s">
        <v>1732</v>
      </c>
      <c r="G32" s="254" t="s">
        <v>2683</v>
      </c>
      <c r="H32" s="254">
        <v>0</v>
      </c>
      <c r="I32" s="254" t="s">
        <v>2684</v>
      </c>
      <c r="J32" s="254" t="s">
        <v>2780</v>
      </c>
      <c r="K32" s="254" t="s">
        <v>2686</v>
      </c>
      <c r="L32" s="254" t="s">
        <v>2784</v>
      </c>
      <c r="M32" s="254">
        <v>1505</v>
      </c>
      <c r="N32" s="254">
        <v>1221.6</v>
      </c>
      <c r="O32" s="254">
        <v>81.44</v>
      </c>
      <c r="P32" s="254">
        <v>1018</v>
      </c>
      <c r="Q32" s="254" t="s">
        <v>2688</v>
      </c>
      <c r="R32" s="254">
        <v>2.73</v>
      </c>
    </row>
    <row r="33" s="252" customFormat="1" spans="1:18">
      <c r="A33" s="254" t="s">
        <v>2785</v>
      </c>
      <c r="B33" s="254" t="s">
        <v>2786</v>
      </c>
      <c r="C33" s="254">
        <v>41993.6</v>
      </c>
      <c r="D33" s="254">
        <v>50392.32</v>
      </c>
      <c r="E33" s="254" t="s">
        <v>1732</v>
      </c>
      <c r="F33" s="254" t="s">
        <v>1732</v>
      </c>
      <c r="G33" s="254" t="s">
        <v>2683</v>
      </c>
      <c r="H33" s="254">
        <v>0</v>
      </c>
      <c r="I33" s="254" t="s">
        <v>2684</v>
      </c>
      <c r="J33" s="254" t="s">
        <v>2787</v>
      </c>
      <c r="K33" s="254" t="s">
        <v>2686</v>
      </c>
      <c r="L33" s="254" t="s">
        <v>2788</v>
      </c>
      <c r="M33" s="254">
        <v>3560</v>
      </c>
      <c r="N33" s="254">
        <v>847.74</v>
      </c>
      <c r="O33" s="254">
        <v>56.52</v>
      </c>
      <c r="P33" s="254">
        <v>706</v>
      </c>
      <c r="Q33" s="254" t="s">
        <v>2688</v>
      </c>
      <c r="R33" s="254">
        <v>1.71</v>
      </c>
    </row>
    <row r="34" s="252" customFormat="1" spans="1:18">
      <c r="A34" s="254" t="s">
        <v>2789</v>
      </c>
      <c r="B34" s="254" t="s">
        <v>2790</v>
      </c>
      <c r="C34" s="254">
        <v>7639.29</v>
      </c>
      <c r="D34" s="254">
        <v>9167.15</v>
      </c>
      <c r="E34" s="254" t="s">
        <v>1732</v>
      </c>
      <c r="F34" s="254" t="s">
        <v>1732</v>
      </c>
      <c r="G34" s="254" t="s">
        <v>2683</v>
      </c>
      <c r="H34" s="254">
        <v>0</v>
      </c>
      <c r="I34" s="254" t="s">
        <v>2684</v>
      </c>
      <c r="J34" s="254" t="s">
        <v>2791</v>
      </c>
      <c r="K34" s="254" t="s">
        <v>2686</v>
      </c>
      <c r="L34" s="254" t="s">
        <v>2792</v>
      </c>
      <c r="M34" s="254">
        <v>653</v>
      </c>
      <c r="N34" s="254">
        <v>854.79</v>
      </c>
      <c r="O34" s="254">
        <v>56.99</v>
      </c>
      <c r="P34" s="254">
        <v>712</v>
      </c>
      <c r="Q34" s="254" t="s">
        <v>2688</v>
      </c>
      <c r="R34" s="254">
        <v>3.16</v>
      </c>
    </row>
    <row r="35" s="252" customFormat="1" spans="1:18">
      <c r="A35" s="254" t="s">
        <v>2793</v>
      </c>
      <c r="B35" s="254" t="s">
        <v>2794</v>
      </c>
      <c r="C35" s="254">
        <v>7769.9</v>
      </c>
      <c r="D35" s="254">
        <v>9323.88</v>
      </c>
      <c r="E35" s="254" t="s">
        <v>1732</v>
      </c>
      <c r="F35" s="254" t="s">
        <v>1732</v>
      </c>
      <c r="G35" s="254" t="s">
        <v>2683</v>
      </c>
      <c r="H35" s="254">
        <v>0</v>
      </c>
      <c r="I35" s="254" t="s">
        <v>2684</v>
      </c>
      <c r="J35" s="254" t="s">
        <v>2791</v>
      </c>
      <c r="K35" s="254" t="s">
        <v>2686</v>
      </c>
      <c r="L35" s="254" t="s">
        <v>2795</v>
      </c>
      <c r="M35" s="254">
        <v>637</v>
      </c>
      <c r="N35" s="254">
        <v>819.83</v>
      </c>
      <c r="O35" s="254">
        <v>54.66</v>
      </c>
      <c r="P35" s="254">
        <v>683</v>
      </c>
      <c r="Q35" s="254" t="s">
        <v>2688</v>
      </c>
      <c r="R35" s="254">
        <v>3.24</v>
      </c>
    </row>
    <row r="36" s="252" customFormat="1" spans="1:18">
      <c r="A36" s="254" t="s">
        <v>2796</v>
      </c>
      <c r="B36" s="254" t="s">
        <v>2797</v>
      </c>
      <c r="C36" s="254">
        <v>16666</v>
      </c>
      <c r="D36" s="254">
        <v>19999.2</v>
      </c>
      <c r="E36" s="254" t="s">
        <v>1732</v>
      </c>
      <c r="F36" s="254" t="s">
        <v>1732</v>
      </c>
      <c r="G36" s="254" t="s">
        <v>2683</v>
      </c>
      <c r="H36" s="254">
        <v>0</v>
      </c>
      <c r="I36" s="254" t="s">
        <v>2684</v>
      </c>
      <c r="J36" s="254" t="s">
        <v>2791</v>
      </c>
      <c r="K36" s="254" t="s">
        <v>2686</v>
      </c>
      <c r="L36" s="254" t="s">
        <v>2798</v>
      </c>
      <c r="M36" s="254">
        <v>1393</v>
      </c>
      <c r="N36" s="254">
        <v>835.83</v>
      </c>
      <c r="O36" s="254">
        <v>55.72</v>
      </c>
      <c r="P36" s="254">
        <v>697</v>
      </c>
      <c r="Q36" s="254" t="s">
        <v>2688</v>
      </c>
      <c r="R36" s="254">
        <v>2.96</v>
      </c>
    </row>
    <row r="37" s="252" customFormat="1" spans="1:18">
      <c r="A37" s="254" t="s">
        <v>2799</v>
      </c>
      <c r="B37" s="254" t="s">
        <v>2800</v>
      </c>
      <c r="C37" s="254">
        <v>29711.9</v>
      </c>
      <c r="D37" s="254">
        <v>59423.8</v>
      </c>
      <c r="E37" s="254" t="s">
        <v>1732</v>
      </c>
      <c r="F37" s="254" t="s">
        <v>1732</v>
      </c>
      <c r="G37" s="254" t="s">
        <v>2801</v>
      </c>
      <c r="H37" s="254">
        <v>2</v>
      </c>
      <c r="I37" s="254" t="s">
        <v>2684</v>
      </c>
      <c r="J37" s="254" t="s">
        <v>2791</v>
      </c>
      <c r="K37" s="254" t="s">
        <v>2686</v>
      </c>
      <c r="L37" s="254" t="s">
        <v>2802</v>
      </c>
      <c r="M37" s="254">
        <v>3533</v>
      </c>
      <c r="N37" s="254">
        <v>1189.08</v>
      </c>
      <c r="O37" s="254">
        <v>79.27</v>
      </c>
      <c r="P37" s="254">
        <v>595</v>
      </c>
      <c r="Q37" s="254" t="s">
        <v>2688</v>
      </c>
      <c r="R37" s="254">
        <v>1.15</v>
      </c>
    </row>
    <row r="38" s="252" customFormat="1" spans="1:18">
      <c r="A38" s="254" t="s">
        <v>2803</v>
      </c>
      <c r="B38" s="254" t="s">
        <v>2804</v>
      </c>
      <c r="C38" s="254">
        <v>23333</v>
      </c>
      <c r="D38" s="254">
        <v>27999.6</v>
      </c>
      <c r="E38" s="254" t="s">
        <v>1732</v>
      </c>
      <c r="F38" s="254" t="s">
        <v>1732</v>
      </c>
      <c r="G38" s="254" t="s">
        <v>2683</v>
      </c>
      <c r="H38" s="254">
        <v>0</v>
      </c>
      <c r="I38" s="254" t="s">
        <v>2684</v>
      </c>
      <c r="J38" s="254" t="s">
        <v>2791</v>
      </c>
      <c r="K38" s="254" t="s">
        <v>2686</v>
      </c>
      <c r="L38" s="254" t="s">
        <v>2802</v>
      </c>
      <c r="M38" s="254">
        <v>2798</v>
      </c>
      <c r="N38" s="254">
        <v>1199.16</v>
      </c>
      <c r="O38" s="254">
        <v>79.94</v>
      </c>
      <c r="P38" s="254">
        <v>999</v>
      </c>
      <c r="Q38" s="254" t="s">
        <v>2688</v>
      </c>
      <c r="R38" s="254">
        <v>1.45</v>
      </c>
    </row>
    <row r="39" s="252" customFormat="1" spans="1:18">
      <c r="A39" s="254" t="s">
        <v>2805</v>
      </c>
      <c r="B39" s="254" t="s">
        <v>2806</v>
      </c>
      <c r="C39" s="254">
        <v>16666.6</v>
      </c>
      <c r="D39" s="254">
        <v>19999.92</v>
      </c>
      <c r="E39" s="254" t="s">
        <v>1732</v>
      </c>
      <c r="F39" s="254" t="s">
        <v>1732</v>
      </c>
      <c r="G39" s="254" t="s">
        <v>2683</v>
      </c>
      <c r="H39" s="254">
        <v>0</v>
      </c>
      <c r="I39" s="254" t="s">
        <v>2684</v>
      </c>
      <c r="J39" s="254" t="s">
        <v>2791</v>
      </c>
      <c r="K39" s="254" t="s">
        <v>2686</v>
      </c>
      <c r="L39" s="254" t="s">
        <v>2807</v>
      </c>
      <c r="M39" s="254">
        <v>803</v>
      </c>
      <c r="N39" s="254">
        <v>481.8</v>
      </c>
      <c r="O39" s="254">
        <v>32.12</v>
      </c>
      <c r="P39" s="254">
        <v>402</v>
      </c>
      <c r="Q39" s="254" t="s">
        <v>2703</v>
      </c>
      <c r="R39" s="254">
        <v>2.55</v>
      </c>
    </row>
    <row r="40" s="252" customFormat="1" spans="1:18">
      <c r="A40" s="254" t="s">
        <v>2793</v>
      </c>
      <c r="B40" s="254" t="s">
        <v>2808</v>
      </c>
      <c r="C40" s="254">
        <v>7769.21</v>
      </c>
      <c r="D40" s="254">
        <v>9323.05</v>
      </c>
      <c r="E40" s="254" t="s">
        <v>1732</v>
      </c>
      <c r="F40" s="254" t="s">
        <v>1732</v>
      </c>
      <c r="G40" s="254" t="s">
        <v>2683</v>
      </c>
      <c r="H40" s="254">
        <v>0</v>
      </c>
      <c r="I40" s="254" t="s">
        <v>2684</v>
      </c>
      <c r="J40" s="254" t="s">
        <v>2791</v>
      </c>
      <c r="K40" s="254" t="s">
        <v>2686</v>
      </c>
      <c r="L40" s="254" t="s">
        <v>2809</v>
      </c>
      <c r="M40" s="254">
        <v>636</v>
      </c>
      <c r="N40" s="254">
        <v>818.61</v>
      </c>
      <c r="O40" s="254">
        <v>54.57</v>
      </c>
      <c r="P40" s="254">
        <v>682</v>
      </c>
      <c r="Q40" s="254" t="s">
        <v>2688</v>
      </c>
      <c r="R40" s="254">
        <v>3.25</v>
      </c>
    </row>
    <row r="41" s="252" customFormat="1" spans="1:18">
      <c r="A41" s="254" t="s">
        <v>2810</v>
      </c>
      <c r="B41" s="254" t="s">
        <v>2811</v>
      </c>
      <c r="C41" s="254">
        <v>24705.23</v>
      </c>
      <c r="D41" s="254">
        <v>29646.28</v>
      </c>
      <c r="E41" s="254" t="s">
        <v>1732</v>
      </c>
      <c r="F41" s="254" t="s">
        <v>1732</v>
      </c>
      <c r="G41" s="254" t="s">
        <v>2812</v>
      </c>
      <c r="H41" s="254">
        <v>0</v>
      </c>
      <c r="I41" s="254" t="s">
        <v>2684</v>
      </c>
      <c r="J41" s="254" t="s">
        <v>2813</v>
      </c>
      <c r="K41" s="254" t="s">
        <v>2686</v>
      </c>
      <c r="L41" s="254" t="s">
        <v>2814</v>
      </c>
      <c r="M41" s="254">
        <v>1826</v>
      </c>
      <c r="N41" s="254">
        <v>739.11</v>
      </c>
      <c r="O41" s="254">
        <v>49.27</v>
      </c>
      <c r="P41" s="254">
        <v>616</v>
      </c>
      <c r="Q41" s="254" t="s">
        <v>2688</v>
      </c>
      <c r="R41" s="254">
        <v>2.24</v>
      </c>
    </row>
    <row r="42" s="252" customFormat="1" spans="1:18">
      <c r="A42" s="254" t="s">
        <v>2810</v>
      </c>
      <c r="B42" s="254" t="s">
        <v>2815</v>
      </c>
      <c r="C42" s="254">
        <v>17364.62</v>
      </c>
      <c r="D42" s="254">
        <v>20837.54</v>
      </c>
      <c r="E42" s="254" t="s">
        <v>1732</v>
      </c>
      <c r="F42" s="254" t="s">
        <v>1732</v>
      </c>
      <c r="G42" s="254" t="s">
        <v>2812</v>
      </c>
      <c r="H42" s="254">
        <v>0</v>
      </c>
      <c r="I42" s="254" t="s">
        <v>2684</v>
      </c>
      <c r="J42" s="254" t="s">
        <v>2813</v>
      </c>
      <c r="K42" s="254" t="s">
        <v>2686</v>
      </c>
      <c r="L42" s="254" t="s">
        <v>2814</v>
      </c>
      <c r="M42" s="254">
        <v>1301</v>
      </c>
      <c r="N42" s="254">
        <v>749.22</v>
      </c>
      <c r="O42" s="254">
        <v>49.95</v>
      </c>
      <c r="P42" s="254">
        <v>624</v>
      </c>
      <c r="Q42" s="254" t="s">
        <v>2688</v>
      </c>
      <c r="R42" s="254">
        <v>3.17</v>
      </c>
    </row>
    <row r="43" s="252" customFormat="1" spans="1:18">
      <c r="A43" s="254" t="s">
        <v>2816</v>
      </c>
      <c r="B43" s="254" t="s">
        <v>2817</v>
      </c>
      <c r="C43" s="254">
        <v>74292.02</v>
      </c>
      <c r="D43" s="254">
        <v>89150.42</v>
      </c>
      <c r="E43" s="254" t="s">
        <v>1732</v>
      </c>
      <c r="F43" s="254" t="s">
        <v>1732</v>
      </c>
      <c r="G43" s="254" t="s">
        <v>2812</v>
      </c>
      <c r="H43" s="254">
        <v>0</v>
      </c>
      <c r="I43" s="254" t="s">
        <v>2684</v>
      </c>
      <c r="J43" s="254" t="s">
        <v>2818</v>
      </c>
      <c r="K43" s="254" t="s">
        <v>2686</v>
      </c>
      <c r="L43" s="254" t="s">
        <v>2802</v>
      </c>
      <c r="M43" s="254">
        <v>8581</v>
      </c>
      <c r="N43" s="254">
        <v>1155.03</v>
      </c>
      <c r="O43" s="254">
        <v>77</v>
      </c>
      <c r="P43" s="254">
        <v>963</v>
      </c>
      <c r="Q43" s="254" t="s">
        <v>2688</v>
      </c>
      <c r="R43" s="254">
        <v>1.18</v>
      </c>
    </row>
    <row r="44" s="252" customFormat="1" spans="1:18">
      <c r="A44" s="254" t="s">
        <v>2819</v>
      </c>
      <c r="B44" s="254" t="s">
        <v>2820</v>
      </c>
      <c r="C44" s="254">
        <v>83939.16</v>
      </c>
      <c r="D44" s="254">
        <v>100726.99</v>
      </c>
      <c r="E44" s="254" t="s">
        <v>1732</v>
      </c>
      <c r="F44" s="254" t="s">
        <v>1732</v>
      </c>
      <c r="G44" s="254" t="s">
        <v>2812</v>
      </c>
      <c r="H44" s="254">
        <v>0</v>
      </c>
      <c r="I44" s="254" t="s">
        <v>2684</v>
      </c>
      <c r="J44" s="254" t="s">
        <v>2818</v>
      </c>
      <c r="K44" s="254" t="s">
        <v>2686</v>
      </c>
      <c r="L44" s="254" t="s">
        <v>2802</v>
      </c>
      <c r="M44" s="254">
        <v>9695</v>
      </c>
      <c r="N44" s="254">
        <v>1155</v>
      </c>
      <c r="O44" s="254">
        <v>77</v>
      </c>
      <c r="P44" s="254">
        <v>963</v>
      </c>
      <c r="Q44" s="254" t="s">
        <v>2688</v>
      </c>
      <c r="R44" s="254">
        <v>1.04</v>
      </c>
    </row>
    <row r="45" s="252" customFormat="1" spans="1:18">
      <c r="A45" s="254" t="s">
        <v>2821</v>
      </c>
      <c r="B45" s="254" t="s">
        <v>2822</v>
      </c>
      <c r="C45" s="254">
        <v>17903.44</v>
      </c>
      <c r="D45" s="254">
        <v>21484.13</v>
      </c>
      <c r="E45" s="254" t="s">
        <v>1732</v>
      </c>
      <c r="F45" s="254" t="s">
        <v>1732</v>
      </c>
      <c r="G45" s="254" t="s">
        <v>2812</v>
      </c>
      <c r="H45" s="254">
        <v>0</v>
      </c>
      <c r="I45" s="254" t="s">
        <v>2684</v>
      </c>
      <c r="J45" s="254" t="s">
        <v>2823</v>
      </c>
      <c r="K45" s="254" t="s">
        <v>2686</v>
      </c>
      <c r="L45" s="254" t="s">
        <v>2824</v>
      </c>
      <c r="M45" s="254">
        <v>1338</v>
      </c>
      <c r="N45" s="254">
        <v>747.34</v>
      </c>
      <c r="O45" s="254">
        <v>49.82</v>
      </c>
      <c r="P45" s="254">
        <v>623</v>
      </c>
      <c r="Q45" s="254" t="s">
        <v>2688</v>
      </c>
      <c r="R45" s="254">
        <v>3.08</v>
      </c>
    </row>
    <row r="46" s="252" customFormat="1" spans="1:18">
      <c r="A46" s="254" t="s">
        <v>2825</v>
      </c>
      <c r="B46" s="254" t="s">
        <v>2826</v>
      </c>
      <c r="C46" s="254">
        <v>8808.71</v>
      </c>
      <c r="D46" s="254">
        <v>10570.45</v>
      </c>
      <c r="E46" s="254" t="s">
        <v>1732</v>
      </c>
      <c r="F46" s="254" t="s">
        <v>1732</v>
      </c>
      <c r="G46" s="254" t="s">
        <v>2812</v>
      </c>
      <c r="H46" s="254">
        <v>0</v>
      </c>
      <c r="I46" s="254" t="s">
        <v>2684</v>
      </c>
      <c r="J46" s="254" t="s">
        <v>2823</v>
      </c>
      <c r="K46" s="254" t="s">
        <v>2686</v>
      </c>
      <c r="L46" s="254" t="s">
        <v>2827</v>
      </c>
      <c r="M46" s="254">
        <v>658</v>
      </c>
      <c r="N46" s="254">
        <v>746.98</v>
      </c>
      <c r="O46" s="254">
        <v>49.8</v>
      </c>
      <c r="P46" s="254">
        <v>622</v>
      </c>
      <c r="Q46" s="254" t="s">
        <v>2688</v>
      </c>
      <c r="R46" s="254">
        <v>3.13</v>
      </c>
    </row>
    <row r="47" s="252" customFormat="1" spans="1:18">
      <c r="A47" s="254" t="s">
        <v>2828</v>
      </c>
      <c r="B47" s="254" t="s">
        <v>2829</v>
      </c>
      <c r="C47" s="254">
        <v>15030.88</v>
      </c>
      <c r="D47" s="254">
        <v>18037.06</v>
      </c>
      <c r="E47" s="254" t="s">
        <v>1732</v>
      </c>
      <c r="F47" s="254" t="s">
        <v>1732</v>
      </c>
      <c r="G47" s="254" t="s">
        <v>2812</v>
      </c>
      <c r="H47" s="254">
        <v>0</v>
      </c>
      <c r="I47" s="254" t="s">
        <v>2684</v>
      </c>
      <c r="J47" s="254" t="s">
        <v>2823</v>
      </c>
      <c r="K47" s="254" t="s">
        <v>2686</v>
      </c>
      <c r="L47" s="254" t="s">
        <v>2830</v>
      </c>
      <c r="M47" s="254">
        <v>1466</v>
      </c>
      <c r="N47" s="254">
        <v>975.32</v>
      </c>
      <c r="O47" s="254">
        <v>65.02</v>
      </c>
      <c r="P47" s="254">
        <v>813</v>
      </c>
      <c r="Q47" s="254" t="s">
        <v>2688</v>
      </c>
      <c r="R47" s="254">
        <v>2.81</v>
      </c>
    </row>
    <row r="48" s="252" customFormat="1" spans="1:18">
      <c r="A48" s="254" t="s">
        <v>2764</v>
      </c>
      <c r="B48" s="254" t="s">
        <v>2831</v>
      </c>
      <c r="C48" s="254">
        <v>8733.8</v>
      </c>
      <c r="D48" s="254">
        <v>10480.56</v>
      </c>
      <c r="E48" s="254" t="s">
        <v>1732</v>
      </c>
      <c r="F48" s="254" t="s">
        <v>1732</v>
      </c>
      <c r="G48" s="254" t="s">
        <v>2812</v>
      </c>
      <c r="H48" s="254">
        <v>0</v>
      </c>
      <c r="I48" s="254" t="s">
        <v>2684</v>
      </c>
      <c r="J48" s="254" t="s">
        <v>2823</v>
      </c>
      <c r="K48" s="254" t="s">
        <v>2686</v>
      </c>
      <c r="L48" s="254" t="s">
        <v>2832</v>
      </c>
      <c r="M48" s="254">
        <v>653</v>
      </c>
      <c r="N48" s="254">
        <v>747.67</v>
      </c>
      <c r="O48" s="254">
        <v>49.84</v>
      </c>
      <c r="P48" s="254">
        <v>623</v>
      </c>
      <c r="Q48" s="254" t="s">
        <v>2688</v>
      </c>
      <c r="R48" s="254">
        <v>3.16</v>
      </c>
    </row>
    <row r="49" s="252" customFormat="1" spans="1:18">
      <c r="A49" s="254" t="s">
        <v>2828</v>
      </c>
      <c r="B49" s="254" t="s">
        <v>2833</v>
      </c>
      <c r="C49" s="254">
        <v>24913.54</v>
      </c>
      <c r="D49" s="254">
        <v>29896.25</v>
      </c>
      <c r="E49" s="254" t="s">
        <v>1732</v>
      </c>
      <c r="F49" s="254" t="s">
        <v>1732</v>
      </c>
      <c r="G49" s="254" t="s">
        <v>2812</v>
      </c>
      <c r="H49" s="254">
        <v>0</v>
      </c>
      <c r="I49" s="254" t="s">
        <v>2684</v>
      </c>
      <c r="J49" s="254" t="s">
        <v>2823</v>
      </c>
      <c r="K49" s="254" t="s">
        <v>2686</v>
      </c>
      <c r="L49" s="254" t="s">
        <v>2830</v>
      </c>
      <c r="M49" s="254">
        <v>2429</v>
      </c>
      <c r="N49" s="254">
        <v>974.97</v>
      </c>
      <c r="O49" s="254">
        <v>65</v>
      </c>
      <c r="P49" s="254">
        <v>812</v>
      </c>
      <c r="Q49" s="254" t="s">
        <v>2688</v>
      </c>
      <c r="R49" s="254">
        <v>1.67</v>
      </c>
    </row>
    <row r="50" s="252" customFormat="1" spans="1:18">
      <c r="A50" s="254" t="s">
        <v>2828</v>
      </c>
      <c r="B50" s="254" t="s">
        <v>2834</v>
      </c>
      <c r="C50" s="254">
        <v>26721.58</v>
      </c>
      <c r="D50" s="254">
        <v>32065.9</v>
      </c>
      <c r="E50" s="254" t="s">
        <v>1732</v>
      </c>
      <c r="F50" s="254" t="s">
        <v>1732</v>
      </c>
      <c r="G50" s="254" t="s">
        <v>2812</v>
      </c>
      <c r="H50" s="254">
        <v>0</v>
      </c>
      <c r="I50" s="254" t="s">
        <v>2684</v>
      </c>
      <c r="J50" s="254" t="s">
        <v>2823</v>
      </c>
      <c r="K50" s="254" t="s">
        <v>2686</v>
      </c>
      <c r="L50" s="254" t="s">
        <v>2830</v>
      </c>
      <c r="M50" s="254">
        <v>2605</v>
      </c>
      <c r="N50" s="254">
        <v>974.86</v>
      </c>
      <c r="O50" s="254">
        <v>64.99</v>
      </c>
      <c r="P50" s="254">
        <v>812</v>
      </c>
      <c r="Q50" s="254" t="s">
        <v>2688</v>
      </c>
      <c r="R50" s="254">
        <v>1.56</v>
      </c>
    </row>
    <row r="51" s="252" customFormat="1" spans="1:18">
      <c r="A51" s="254" t="s">
        <v>2835</v>
      </c>
      <c r="B51" s="254" t="s">
        <v>2836</v>
      </c>
      <c r="C51" s="254">
        <v>17938.87</v>
      </c>
      <c r="D51" s="254">
        <v>21526.64</v>
      </c>
      <c r="E51" s="254" t="s">
        <v>1732</v>
      </c>
      <c r="F51" s="254" t="s">
        <v>1732</v>
      </c>
      <c r="G51" s="254" t="s">
        <v>2812</v>
      </c>
      <c r="H51" s="254">
        <v>0</v>
      </c>
      <c r="I51" s="254" t="s">
        <v>2684</v>
      </c>
      <c r="J51" s="254" t="s">
        <v>2823</v>
      </c>
      <c r="K51" s="254" t="s">
        <v>2686</v>
      </c>
      <c r="L51" s="254" t="s">
        <v>2837</v>
      </c>
      <c r="M51" s="254">
        <v>1340</v>
      </c>
      <c r="N51" s="254">
        <v>746.98</v>
      </c>
      <c r="O51" s="254">
        <v>49.8</v>
      </c>
      <c r="P51" s="254">
        <v>622</v>
      </c>
      <c r="Q51" s="254" t="s">
        <v>2688</v>
      </c>
      <c r="R51" s="254">
        <v>3.08</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43" sqref="A43"/>
    </sheetView>
  </sheetViews>
  <sheetFormatPr defaultColWidth="8.72727272727273" defaultRowHeight="14"/>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31" workbookViewId="0">
      <selection activeCell="M77" sqref="M77"/>
    </sheetView>
  </sheetViews>
  <sheetFormatPr defaultColWidth="8.72727272727273" defaultRowHeight="14"/>
  <sheetData/>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2838</v>
      </c>
      <c r="C1" s="120"/>
      <c r="D1" s="120"/>
      <c r="E1" s="120"/>
      <c r="F1" s="120"/>
      <c r="G1" s="109" t="s">
        <v>2839</v>
      </c>
      <c r="N1" s="109" t="s">
        <v>2635</v>
      </c>
      <c r="S1" s="109" t="s">
        <v>2840</v>
      </c>
      <c r="X1" s="193" t="s">
        <v>2636</v>
      </c>
      <c r="AD1" s="193" t="s">
        <v>2637</v>
      </c>
    </row>
    <row r="2" s="110" customFormat="1" ht="14.75" spans="2:34">
      <c r="B2" s="121" t="s">
        <v>435</v>
      </c>
      <c r="C2" s="121" t="s">
        <v>2841</v>
      </c>
      <c r="D2" s="122" t="s">
        <v>1925</v>
      </c>
      <c r="E2" s="122" t="s">
        <v>412</v>
      </c>
      <c r="F2" s="121" t="s">
        <v>2842</v>
      </c>
      <c r="G2" s="123"/>
      <c r="I2" s="121" t="s">
        <v>435</v>
      </c>
      <c r="J2" s="122" t="s">
        <v>1934</v>
      </c>
      <c r="K2" s="122" t="s">
        <v>412</v>
      </c>
      <c r="L2" s="121" t="s">
        <v>2842</v>
      </c>
      <c r="N2" s="121" t="s">
        <v>435</v>
      </c>
      <c r="O2" s="122" t="s">
        <v>1934</v>
      </c>
      <c r="P2" s="122" t="s">
        <v>412</v>
      </c>
      <c r="Q2" s="121" t="s">
        <v>2842</v>
      </c>
      <c r="S2" s="121" t="s">
        <v>435</v>
      </c>
      <c r="T2" s="122" t="s">
        <v>1934</v>
      </c>
      <c r="U2" s="122" t="s">
        <v>412</v>
      </c>
      <c r="V2" s="121" t="s">
        <v>2842</v>
      </c>
      <c r="X2" s="121" t="s">
        <v>435</v>
      </c>
      <c r="Y2" s="121" t="s">
        <v>2841</v>
      </c>
      <c r="Z2" s="122" t="s">
        <v>1925</v>
      </c>
      <c r="AA2" s="122" t="s">
        <v>412</v>
      </c>
      <c r="AB2" s="121" t="s">
        <v>2842</v>
      </c>
      <c r="AD2" s="121" t="s">
        <v>435</v>
      </c>
      <c r="AE2" s="121" t="s">
        <v>2841</v>
      </c>
      <c r="AF2" s="122" t="s">
        <v>1925</v>
      </c>
      <c r="AG2" s="122" t="s">
        <v>412</v>
      </c>
      <c r="AH2" s="121" t="s">
        <v>2842</v>
      </c>
    </row>
    <row r="3" s="111" customFormat="1" ht="14" spans="1:34">
      <c r="A3" s="124" t="s">
        <v>2639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2652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2653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2843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2654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2655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2656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2657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2658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2659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2844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2845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2846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2847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2848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2849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2850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2851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2852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2853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2854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2855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2856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2857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2858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2859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2860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2861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2862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2863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2864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2865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2866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2867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2868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2869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2870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2871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2872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2873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2874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2875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2876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2877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2878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2879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2880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2881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2882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2883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2884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2885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2886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2887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2888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2889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2890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2891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2892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2893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2894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2895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2896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2897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2898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2899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2900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2901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2902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2903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2904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2905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2906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2907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2908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2909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2910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2911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2912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2913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2914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2915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2916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2917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2918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2919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2920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2921</v>
      </c>
      <c r="G91" s="227"/>
      <c r="N91" s="227"/>
      <c r="S91" s="227"/>
    </row>
    <row r="92" s="117" customFormat="1" ht="13" spans="1:19">
      <c r="A92" s="117" t="s">
        <v>2922</v>
      </c>
      <c r="G92" s="227"/>
      <c r="N92" s="227"/>
      <c r="S92" s="227"/>
    </row>
    <row r="93" s="117" customFormat="1" ht="13" spans="1:22">
      <c r="A93" s="117" t="s">
        <v>2923</v>
      </c>
      <c r="G93" s="227"/>
      <c r="I93" s="239"/>
      <c r="J93" s="239"/>
      <c r="K93" s="239"/>
      <c r="L93" s="239"/>
      <c r="N93" s="240"/>
      <c r="O93" s="239"/>
      <c r="P93" s="239"/>
      <c r="Q93" s="239"/>
      <c r="S93" s="240"/>
      <c r="T93" s="239"/>
      <c r="U93" s="239"/>
      <c r="V93" s="239"/>
    </row>
    <row r="94" s="117" customFormat="1" ht="13" spans="1:19">
      <c r="A94" s="117" t="s">
        <v>2924</v>
      </c>
      <c r="G94" s="227"/>
      <c r="N94" s="227"/>
      <c r="S94" s="227"/>
    </row>
    <row r="101" ht="13.25"/>
    <row r="102" ht="13" spans="7:22">
      <c r="G102" s="118"/>
      <c r="S102" s="244" t="s">
        <v>2925</v>
      </c>
      <c r="T102" s="245" t="s">
        <v>2926</v>
      </c>
      <c r="U102" s="245" t="s">
        <v>2927</v>
      </c>
      <c r="V102" s="245" t="s">
        <v>2928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2929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2930</v>
      </c>
      <c r="B2" s="79"/>
      <c r="C2" s="79"/>
      <c r="D2" s="79"/>
      <c r="E2" s="79"/>
      <c r="F2" s="79"/>
      <c r="G2" s="80" t="s">
        <v>2931</v>
      </c>
      <c r="I2" s="89" t="s">
        <v>2249</v>
      </c>
      <c r="J2" s="89" t="s">
        <v>2254</v>
      </c>
      <c r="K2" s="89" t="s">
        <v>2274</v>
      </c>
      <c r="L2" s="89" t="s">
        <v>2299</v>
      </c>
      <c r="M2" s="89" t="s">
        <v>2331</v>
      </c>
      <c r="N2" s="89" t="s">
        <v>2371</v>
      </c>
      <c r="O2" s="89" t="s">
        <v>2434</v>
      </c>
      <c r="P2" s="89" t="s">
        <v>2478</v>
      </c>
      <c r="Q2" s="89" t="s">
        <v>2521</v>
      </c>
      <c r="R2" s="89" t="s">
        <v>2571</v>
      </c>
      <c r="S2" s="89" t="s">
        <v>2602</v>
      </c>
      <c r="T2" s="89" t="s">
        <v>2622</v>
      </c>
    </row>
    <row r="3" s="74" customFormat="1" spans="1:20">
      <c r="A3" s="81" t="s">
        <v>2247</v>
      </c>
      <c r="B3" s="82"/>
      <c r="C3" s="83" t="s">
        <v>1924</v>
      </c>
      <c r="D3" s="83" t="s">
        <v>1925</v>
      </c>
      <c r="E3" s="83" t="s">
        <v>412</v>
      </c>
      <c r="F3" s="83" t="s">
        <v>408</v>
      </c>
      <c r="G3" s="83" t="s">
        <v>280</v>
      </c>
      <c r="H3" s="84"/>
      <c r="I3" s="90" t="s">
        <v>2250</v>
      </c>
      <c r="J3" s="91" t="s">
        <v>2255</v>
      </c>
      <c r="K3" s="91" t="s">
        <v>2275</v>
      </c>
      <c r="L3" s="90" t="s">
        <v>2300</v>
      </c>
      <c r="M3" s="90" t="s">
        <v>2332</v>
      </c>
      <c r="N3" s="90" t="s">
        <v>2372</v>
      </c>
      <c r="O3" s="90" t="s">
        <v>2435</v>
      </c>
      <c r="P3" s="90" t="s">
        <v>2479</v>
      </c>
      <c r="Q3" s="90" t="s">
        <v>2522</v>
      </c>
      <c r="R3" s="90" t="s">
        <v>2572</v>
      </c>
      <c r="S3" s="90" t="s">
        <v>2603</v>
      </c>
      <c r="T3" s="90" t="s">
        <v>2623</v>
      </c>
    </row>
    <row r="4" s="74" customFormat="1" ht="12.75" spans="1:20">
      <c r="A4" s="85"/>
      <c r="B4" s="86" t="s">
        <v>2248</v>
      </c>
      <c r="C4" s="86" t="s">
        <v>2932</v>
      </c>
      <c r="D4" s="86" t="s">
        <v>2932</v>
      </c>
      <c r="E4" s="86" t="s">
        <v>2932</v>
      </c>
      <c r="F4" s="87" t="s">
        <v>2932</v>
      </c>
      <c r="G4" s="87" t="s">
        <v>2932</v>
      </c>
      <c r="H4" s="84"/>
      <c r="I4" s="91" t="s">
        <v>2251</v>
      </c>
      <c r="J4" s="91" t="s">
        <v>2256</v>
      </c>
      <c r="K4" s="91" t="s">
        <v>2276</v>
      </c>
      <c r="L4" s="90" t="s">
        <v>2301</v>
      </c>
      <c r="M4" s="90" t="s">
        <v>2333</v>
      </c>
      <c r="N4" s="90" t="s">
        <v>2373</v>
      </c>
      <c r="O4" s="90" t="s">
        <v>2436</v>
      </c>
      <c r="P4" s="90" t="s">
        <v>2480</v>
      </c>
      <c r="Q4" s="90" t="s">
        <v>2523</v>
      </c>
      <c r="R4" s="90" t="s">
        <v>2573</v>
      </c>
      <c r="S4" s="90" t="s">
        <v>2604</v>
      </c>
      <c r="T4" s="90" t="s">
        <v>2624</v>
      </c>
    </row>
    <row r="5" spans="1:20">
      <c r="A5" s="88" t="s">
        <v>230</v>
      </c>
      <c r="B5" s="89" t="s">
        <v>2249</v>
      </c>
      <c r="C5" s="89">
        <v>34550</v>
      </c>
      <c r="D5" s="89">
        <v>34470</v>
      </c>
      <c r="E5" s="89">
        <v>34330</v>
      </c>
      <c r="F5" s="89">
        <v>13400</v>
      </c>
      <c r="G5" s="89">
        <v>25450</v>
      </c>
      <c r="H5" s="84"/>
      <c r="I5" s="90" t="s">
        <v>2252</v>
      </c>
      <c r="J5" s="91" t="s">
        <v>2257</v>
      </c>
      <c r="K5" s="91" t="s">
        <v>2277</v>
      </c>
      <c r="L5" s="90" t="s">
        <v>2302</v>
      </c>
      <c r="M5" s="90" t="s">
        <v>2334</v>
      </c>
      <c r="N5" s="90" t="s">
        <v>2374</v>
      </c>
      <c r="O5" s="90" t="s">
        <v>2437</v>
      </c>
      <c r="P5" s="90" t="s">
        <v>2481</v>
      </c>
      <c r="Q5" s="90" t="s">
        <v>2524</v>
      </c>
      <c r="R5" s="90" t="s">
        <v>2574</v>
      </c>
      <c r="S5" s="90" t="s">
        <v>2605</v>
      </c>
      <c r="T5" s="90" t="s">
        <v>2625</v>
      </c>
    </row>
    <row r="6" ht="12.75" spans="1:20">
      <c r="A6" s="90" t="s">
        <v>230</v>
      </c>
      <c r="B6" s="90" t="s">
        <v>2250</v>
      </c>
      <c r="C6" s="90">
        <v>36990</v>
      </c>
      <c r="D6" s="90">
        <v>36850</v>
      </c>
      <c r="E6" s="90">
        <v>36700</v>
      </c>
      <c r="F6" s="90">
        <v>14590</v>
      </c>
      <c r="G6" s="90">
        <v>27450</v>
      </c>
      <c r="H6" s="84"/>
      <c r="I6" s="93" t="s">
        <v>2253</v>
      </c>
      <c r="J6" s="91" t="s">
        <v>2258</v>
      </c>
      <c r="K6" s="91" t="s">
        <v>2278</v>
      </c>
      <c r="L6" s="90" t="s">
        <v>2303</v>
      </c>
      <c r="M6" s="90" t="s">
        <v>2335</v>
      </c>
      <c r="N6" s="90" t="s">
        <v>2375</v>
      </c>
      <c r="O6" s="90" t="s">
        <v>2438</v>
      </c>
      <c r="P6" s="90" t="s">
        <v>2482</v>
      </c>
      <c r="Q6" s="90" t="s">
        <v>2525</v>
      </c>
      <c r="R6" s="90" t="s">
        <v>2575</v>
      </c>
      <c r="S6" s="90" t="s">
        <v>2606</v>
      </c>
      <c r="T6" s="90" t="s">
        <v>2626</v>
      </c>
    </row>
    <row r="7" spans="1:20">
      <c r="A7" s="90" t="s">
        <v>230</v>
      </c>
      <c r="B7" s="91" t="s">
        <v>2251</v>
      </c>
      <c r="C7" s="90">
        <v>34850</v>
      </c>
      <c r="D7" s="90">
        <v>34690</v>
      </c>
      <c r="E7" s="90">
        <v>34550</v>
      </c>
      <c r="F7" s="90">
        <v>14360</v>
      </c>
      <c r="G7" s="90">
        <v>25620</v>
      </c>
      <c r="H7" s="84"/>
      <c r="J7" s="91" t="s">
        <v>2259</v>
      </c>
      <c r="K7" s="91" t="s">
        <v>2279</v>
      </c>
      <c r="L7" s="90" t="s">
        <v>2304</v>
      </c>
      <c r="M7" s="90" t="s">
        <v>2336</v>
      </c>
      <c r="N7" s="90" t="s">
        <v>2376</v>
      </c>
      <c r="O7" s="90" t="s">
        <v>2439</v>
      </c>
      <c r="P7" s="90" t="s">
        <v>2483</v>
      </c>
      <c r="Q7" s="90" t="s">
        <v>2526</v>
      </c>
      <c r="R7" s="90" t="s">
        <v>2576</v>
      </c>
      <c r="S7" s="90" t="s">
        <v>2607</v>
      </c>
      <c r="T7" s="90" t="s">
        <v>2627</v>
      </c>
    </row>
    <row r="8" ht="12.75" spans="1:20">
      <c r="A8" s="90" t="s">
        <v>230</v>
      </c>
      <c r="B8" s="90" t="s">
        <v>2252</v>
      </c>
      <c r="C8" s="90">
        <v>32630</v>
      </c>
      <c r="D8" s="90">
        <v>32510</v>
      </c>
      <c r="E8" s="90">
        <v>32420</v>
      </c>
      <c r="F8" s="90">
        <v>13300</v>
      </c>
      <c r="G8" s="90">
        <v>24010</v>
      </c>
      <c r="H8" s="84"/>
      <c r="J8" s="91" t="s">
        <v>2260</v>
      </c>
      <c r="K8" s="91" t="s">
        <v>2280</v>
      </c>
      <c r="L8" s="90" t="s">
        <v>2305</v>
      </c>
      <c r="M8" s="90" t="s">
        <v>2337</v>
      </c>
      <c r="N8" s="90" t="s">
        <v>2377</v>
      </c>
      <c r="O8" s="90" t="s">
        <v>2440</v>
      </c>
      <c r="P8" s="90" t="s">
        <v>2484</v>
      </c>
      <c r="Q8" s="90" t="s">
        <v>2527</v>
      </c>
      <c r="R8" s="90" t="s">
        <v>2577</v>
      </c>
      <c r="S8" s="90" t="s">
        <v>2608</v>
      </c>
      <c r="T8" s="94" t="s">
        <v>2628</v>
      </c>
    </row>
    <row r="9" ht="12.75" spans="1:19">
      <c r="A9" s="92" t="s">
        <v>230</v>
      </c>
      <c r="B9" s="93" t="s">
        <v>2253</v>
      </c>
      <c r="C9" s="94">
        <v>36370</v>
      </c>
      <c r="D9" s="94">
        <v>36210</v>
      </c>
      <c r="E9" s="94">
        <v>36050</v>
      </c>
      <c r="F9" s="94"/>
      <c r="G9" s="94">
        <v>26740</v>
      </c>
      <c r="H9" s="84"/>
      <c r="J9" s="91" t="s">
        <v>2261</v>
      </c>
      <c r="K9" s="91" t="s">
        <v>2281</v>
      </c>
      <c r="L9" s="90" t="s">
        <v>2306</v>
      </c>
      <c r="M9" s="90" t="s">
        <v>2338</v>
      </c>
      <c r="N9" s="90" t="s">
        <v>2378</v>
      </c>
      <c r="O9" s="90" t="s">
        <v>2441</v>
      </c>
      <c r="P9" s="90" t="s">
        <v>2485</v>
      </c>
      <c r="Q9" s="90" t="s">
        <v>2528</v>
      </c>
      <c r="R9" s="90" t="s">
        <v>2578</v>
      </c>
      <c r="S9" s="90" t="s">
        <v>2609</v>
      </c>
    </row>
    <row r="10" spans="1:19">
      <c r="A10" s="88" t="s">
        <v>241</v>
      </c>
      <c r="B10" s="89" t="s">
        <v>2254</v>
      </c>
      <c r="C10" s="90">
        <v>32350</v>
      </c>
      <c r="D10" s="90">
        <v>31430</v>
      </c>
      <c r="E10" s="90">
        <v>31320</v>
      </c>
      <c r="F10" s="90">
        <v>10850</v>
      </c>
      <c r="G10" s="90">
        <v>22860</v>
      </c>
      <c r="H10" s="84"/>
      <c r="J10" s="91" t="s">
        <v>2262</v>
      </c>
      <c r="K10" s="91" t="s">
        <v>2282</v>
      </c>
      <c r="L10" s="90" t="s">
        <v>2307</v>
      </c>
      <c r="M10" s="90" t="s">
        <v>2339</v>
      </c>
      <c r="N10" s="90" t="s">
        <v>2379</v>
      </c>
      <c r="O10" s="90" t="s">
        <v>2442</v>
      </c>
      <c r="P10" s="90" t="s">
        <v>2486</v>
      </c>
      <c r="Q10" s="90" t="s">
        <v>2529</v>
      </c>
      <c r="R10" s="90" t="s">
        <v>2579</v>
      </c>
      <c r="S10" s="90" t="s">
        <v>2610</v>
      </c>
    </row>
    <row r="11" spans="1:19">
      <c r="A11" s="90" t="s">
        <v>241</v>
      </c>
      <c r="B11" s="91" t="s">
        <v>2255</v>
      </c>
      <c r="C11" s="90">
        <v>31590</v>
      </c>
      <c r="D11" s="90">
        <v>29490</v>
      </c>
      <c r="E11" s="90">
        <v>28700</v>
      </c>
      <c r="F11" s="90">
        <v>10410</v>
      </c>
      <c r="G11" s="90">
        <v>21460</v>
      </c>
      <c r="H11" s="84"/>
      <c r="J11" s="91" t="s">
        <v>2263</v>
      </c>
      <c r="K11" s="91" t="s">
        <v>2283</v>
      </c>
      <c r="L11" s="90" t="s">
        <v>2308</v>
      </c>
      <c r="M11" s="90" t="s">
        <v>2340</v>
      </c>
      <c r="N11" s="90" t="s">
        <v>2380</v>
      </c>
      <c r="O11" s="90" t="s">
        <v>2443</v>
      </c>
      <c r="P11" s="90" t="s">
        <v>2487</v>
      </c>
      <c r="Q11" s="90" t="s">
        <v>2530</v>
      </c>
      <c r="R11" s="90" t="s">
        <v>2580</v>
      </c>
      <c r="S11" s="90" t="s">
        <v>2611</v>
      </c>
    </row>
    <row r="12" spans="1:19">
      <c r="A12" s="90" t="s">
        <v>241</v>
      </c>
      <c r="B12" s="91" t="s">
        <v>2256</v>
      </c>
      <c r="C12" s="90">
        <v>29640</v>
      </c>
      <c r="D12" s="90">
        <v>27550</v>
      </c>
      <c r="E12" s="90">
        <v>28010</v>
      </c>
      <c r="F12" s="90">
        <v>8730</v>
      </c>
      <c r="G12" s="90">
        <v>20050</v>
      </c>
      <c r="H12" s="84"/>
      <c r="J12" s="91" t="s">
        <v>2264</v>
      </c>
      <c r="K12" s="91" t="s">
        <v>2284</v>
      </c>
      <c r="L12" s="90" t="s">
        <v>2309</v>
      </c>
      <c r="M12" s="90" t="s">
        <v>2341</v>
      </c>
      <c r="N12" s="90" t="s">
        <v>2381</v>
      </c>
      <c r="O12" s="90" t="s">
        <v>2444</v>
      </c>
      <c r="P12" s="90" t="s">
        <v>2488</v>
      </c>
      <c r="Q12" s="90" t="s">
        <v>2531</v>
      </c>
      <c r="R12" s="90" t="s">
        <v>2581</v>
      </c>
      <c r="S12" s="90" t="s">
        <v>2612</v>
      </c>
    </row>
    <row r="13" spans="1:19">
      <c r="A13" s="90" t="s">
        <v>241</v>
      </c>
      <c r="B13" s="91" t="s">
        <v>2257</v>
      </c>
      <c r="C13" s="90">
        <v>29680</v>
      </c>
      <c r="D13" s="90">
        <v>27660</v>
      </c>
      <c r="E13" s="90">
        <v>28210</v>
      </c>
      <c r="F13" s="90">
        <v>9590</v>
      </c>
      <c r="G13" s="90">
        <v>20120</v>
      </c>
      <c r="H13" s="84"/>
      <c r="J13" s="91" t="s">
        <v>2265</v>
      </c>
      <c r="K13" s="91" t="s">
        <v>2285</v>
      </c>
      <c r="L13" s="90" t="s">
        <v>2310</v>
      </c>
      <c r="M13" s="90" t="s">
        <v>2342</v>
      </c>
      <c r="N13" s="90" t="s">
        <v>2382</v>
      </c>
      <c r="O13" s="90" t="s">
        <v>2445</v>
      </c>
      <c r="P13" s="90" t="s">
        <v>2489</v>
      </c>
      <c r="Q13" s="90" t="s">
        <v>2532</v>
      </c>
      <c r="R13" s="90" t="s">
        <v>2582</v>
      </c>
      <c r="S13" s="90" t="s">
        <v>2613</v>
      </c>
    </row>
    <row r="14" spans="1:19">
      <c r="A14" s="90" t="s">
        <v>241</v>
      </c>
      <c r="B14" s="91" t="s">
        <v>2258</v>
      </c>
      <c r="C14" s="90">
        <v>30520</v>
      </c>
      <c r="D14" s="90">
        <v>29510</v>
      </c>
      <c r="E14" s="90">
        <v>29400</v>
      </c>
      <c r="F14" s="90">
        <v>9630</v>
      </c>
      <c r="G14" s="90">
        <v>21480</v>
      </c>
      <c r="H14" s="84"/>
      <c r="J14" s="91" t="s">
        <v>2266</v>
      </c>
      <c r="K14" s="91" t="s">
        <v>2286</v>
      </c>
      <c r="L14" s="90" t="s">
        <v>2311</v>
      </c>
      <c r="M14" s="90" t="s">
        <v>2343</v>
      </c>
      <c r="N14" s="90" t="s">
        <v>2383</v>
      </c>
      <c r="O14" s="90" t="s">
        <v>2446</v>
      </c>
      <c r="P14" s="90" t="s">
        <v>2490</v>
      </c>
      <c r="Q14" s="90" t="s">
        <v>2533</v>
      </c>
      <c r="R14" s="90" t="s">
        <v>2583</v>
      </c>
      <c r="S14" s="90" t="s">
        <v>2614</v>
      </c>
    </row>
    <row r="15" spans="1:19">
      <c r="A15" s="90" t="s">
        <v>241</v>
      </c>
      <c r="B15" s="91" t="s">
        <v>2259</v>
      </c>
      <c r="C15" s="90">
        <v>29090</v>
      </c>
      <c r="D15" s="90">
        <v>27590</v>
      </c>
      <c r="E15" s="90">
        <v>28120</v>
      </c>
      <c r="F15" s="90">
        <v>9110</v>
      </c>
      <c r="G15" s="90">
        <v>20070</v>
      </c>
      <c r="H15" s="84"/>
      <c r="J15" s="91" t="s">
        <v>2267</v>
      </c>
      <c r="K15" s="91" t="s">
        <v>2287</v>
      </c>
      <c r="L15" s="90" t="s">
        <v>2312</v>
      </c>
      <c r="M15" s="90" t="s">
        <v>2344</v>
      </c>
      <c r="N15" s="90" t="s">
        <v>2384</v>
      </c>
      <c r="O15" s="90" t="s">
        <v>2447</v>
      </c>
      <c r="P15" s="90" t="s">
        <v>2491</v>
      </c>
      <c r="Q15" s="90" t="s">
        <v>2534</v>
      </c>
      <c r="R15" s="90" t="s">
        <v>2584</v>
      </c>
      <c r="S15" s="90" t="s">
        <v>2615</v>
      </c>
    </row>
    <row r="16" spans="1:19">
      <c r="A16" s="90" t="s">
        <v>241</v>
      </c>
      <c r="B16" s="91" t="s">
        <v>2260</v>
      </c>
      <c r="C16" s="90">
        <v>26790</v>
      </c>
      <c r="D16" s="90">
        <v>30370</v>
      </c>
      <c r="E16" s="90">
        <v>30240</v>
      </c>
      <c r="F16" s="90">
        <v>11590</v>
      </c>
      <c r="G16" s="90">
        <v>22090</v>
      </c>
      <c r="H16" s="84"/>
      <c r="J16" s="91" t="s">
        <v>2268</v>
      </c>
      <c r="K16" s="91" t="s">
        <v>2288</v>
      </c>
      <c r="L16" s="90" t="s">
        <v>2313</v>
      </c>
      <c r="M16" s="90" t="s">
        <v>2345</v>
      </c>
      <c r="N16" s="90" t="s">
        <v>2385</v>
      </c>
      <c r="O16" s="90" t="s">
        <v>2448</v>
      </c>
      <c r="P16" s="90" t="s">
        <v>2492</v>
      </c>
      <c r="Q16" s="90" t="s">
        <v>2535</v>
      </c>
      <c r="R16" s="90" t="s">
        <v>2585</v>
      </c>
      <c r="S16" s="90" t="s">
        <v>2616</v>
      </c>
    </row>
    <row r="17" ht="14.25" customHeight="1" spans="1:19">
      <c r="A17" s="90" t="s">
        <v>241</v>
      </c>
      <c r="B17" s="91" t="s">
        <v>2261</v>
      </c>
      <c r="C17" s="90">
        <v>29180</v>
      </c>
      <c r="D17" s="90">
        <v>27620</v>
      </c>
      <c r="E17" s="90">
        <v>28180</v>
      </c>
      <c r="F17" s="90">
        <v>10790</v>
      </c>
      <c r="G17" s="90">
        <v>20090</v>
      </c>
      <c r="H17" s="84"/>
      <c r="J17" s="91" t="s">
        <v>2269</v>
      </c>
      <c r="K17" s="91" t="s">
        <v>2289</v>
      </c>
      <c r="L17" s="90" t="s">
        <v>2314</v>
      </c>
      <c r="M17" s="90" t="s">
        <v>2346</v>
      </c>
      <c r="N17" s="90" t="s">
        <v>2386</v>
      </c>
      <c r="O17" s="90" t="s">
        <v>2449</v>
      </c>
      <c r="P17" s="90" t="s">
        <v>2493</v>
      </c>
      <c r="Q17" s="90" t="s">
        <v>2536</v>
      </c>
      <c r="R17" s="90" t="s">
        <v>2586</v>
      </c>
      <c r="S17" s="90" t="s">
        <v>2617</v>
      </c>
    </row>
    <row r="18" ht="14.25" customHeight="1" spans="1:19">
      <c r="A18" s="90" t="s">
        <v>241</v>
      </c>
      <c r="B18" s="91" t="s">
        <v>2262</v>
      </c>
      <c r="C18" s="90">
        <v>26840</v>
      </c>
      <c r="D18" s="90">
        <v>28930</v>
      </c>
      <c r="E18" s="90">
        <v>28820</v>
      </c>
      <c r="F18" s="90"/>
      <c r="G18" s="90">
        <v>21050</v>
      </c>
      <c r="H18" s="84"/>
      <c r="J18" s="91" t="s">
        <v>2270</v>
      </c>
      <c r="K18" s="91" t="s">
        <v>2290</v>
      </c>
      <c r="L18" s="90" t="s">
        <v>2315</v>
      </c>
      <c r="M18" s="90" t="s">
        <v>2347</v>
      </c>
      <c r="N18" s="90" t="s">
        <v>2387</v>
      </c>
      <c r="O18" s="90" t="s">
        <v>2450</v>
      </c>
      <c r="P18" s="90" t="s">
        <v>2494</v>
      </c>
      <c r="Q18" s="90" t="s">
        <v>2537</v>
      </c>
      <c r="R18" s="90" t="s">
        <v>2587</v>
      </c>
      <c r="S18" s="90" t="s">
        <v>2618</v>
      </c>
    </row>
    <row r="19" ht="14.25" customHeight="1" spans="1:19">
      <c r="A19" s="90" t="s">
        <v>241</v>
      </c>
      <c r="B19" s="91" t="s">
        <v>2263</v>
      </c>
      <c r="C19" s="90">
        <v>27750</v>
      </c>
      <c r="D19" s="90">
        <v>26680</v>
      </c>
      <c r="E19" s="90">
        <v>26590</v>
      </c>
      <c r="F19" s="90"/>
      <c r="G19" s="90">
        <v>19420</v>
      </c>
      <c r="H19" s="84"/>
      <c r="J19" s="91" t="s">
        <v>2271</v>
      </c>
      <c r="K19" s="91" t="s">
        <v>2291</v>
      </c>
      <c r="L19" s="90" t="s">
        <v>2316</v>
      </c>
      <c r="M19" s="90" t="s">
        <v>2348</v>
      </c>
      <c r="N19" s="90" t="s">
        <v>2388</v>
      </c>
      <c r="O19" s="90" t="s">
        <v>2451</v>
      </c>
      <c r="P19" s="90" t="s">
        <v>2495</v>
      </c>
      <c r="Q19" s="90" t="s">
        <v>2538</v>
      </c>
      <c r="R19" s="90" t="s">
        <v>2588</v>
      </c>
      <c r="S19" s="90" t="s">
        <v>2619</v>
      </c>
    </row>
    <row r="20" ht="14.25" customHeight="1" spans="1:19">
      <c r="A20" s="90" t="s">
        <v>241</v>
      </c>
      <c r="B20" s="91" t="s">
        <v>2264</v>
      </c>
      <c r="C20" s="90">
        <v>27050</v>
      </c>
      <c r="D20" s="90">
        <v>29010</v>
      </c>
      <c r="E20" s="90">
        <v>28910</v>
      </c>
      <c r="F20" s="90"/>
      <c r="G20" s="90">
        <v>21110</v>
      </c>
      <c r="J20" s="91" t="s">
        <v>2272</v>
      </c>
      <c r="K20" s="91" t="s">
        <v>2292</v>
      </c>
      <c r="L20" s="90" t="s">
        <v>2317</v>
      </c>
      <c r="M20" s="90" t="s">
        <v>2349</v>
      </c>
      <c r="N20" s="90" t="s">
        <v>2389</v>
      </c>
      <c r="O20" s="90" t="s">
        <v>2452</v>
      </c>
      <c r="P20" s="90" t="s">
        <v>2496</v>
      </c>
      <c r="Q20" s="90" t="s">
        <v>2539</v>
      </c>
      <c r="R20" s="90" t="s">
        <v>2589</v>
      </c>
      <c r="S20" s="90" t="s">
        <v>2620</v>
      </c>
    </row>
    <row r="21" ht="14.25" customHeight="1" spans="1:19">
      <c r="A21" s="90" t="s">
        <v>241</v>
      </c>
      <c r="B21" s="91" t="s">
        <v>2265</v>
      </c>
      <c r="C21" s="90">
        <v>32370</v>
      </c>
      <c r="D21" s="90">
        <v>26730</v>
      </c>
      <c r="E21" s="90">
        <v>26640</v>
      </c>
      <c r="F21" s="90"/>
      <c r="G21" s="90">
        <v>19440</v>
      </c>
      <c r="J21" s="94" t="s">
        <v>2273</v>
      </c>
      <c r="K21" s="91" t="s">
        <v>2293</v>
      </c>
      <c r="L21" s="90" t="s">
        <v>2318</v>
      </c>
      <c r="M21" s="90" t="s">
        <v>2350</v>
      </c>
      <c r="N21" s="90" t="s">
        <v>2390</v>
      </c>
      <c r="O21" s="90" t="s">
        <v>2453</v>
      </c>
      <c r="P21" s="90" t="s">
        <v>2497</v>
      </c>
      <c r="Q21" s="90" t="s">
        <v>2540</v>
      </c>
      <c r="R21" s="90" t="s">
        <v>2590</v>
      </c>
      <c r="S21" s="94" t="s">
        <v>2621</v>
      </c>
    </row>
    <row r="22" ht="14.25" customHeight="1" spans="1:18">
      <c r="A22" s="90" t="s">
        <v>241</v>
      </c>
      <c r="B22" s="91" t="s">
        <v>2266</v>
      </c>
      <c r="C22" s="90">
        <v>29830</v>
      </c>
      <c r="D22" s="90">
        <v>27600</v>
      </c>
      <c r="E22" s="90">
        <v>28150</v>
      </c>
      <c r="F22" s="90"/>
      <c r="G22" s="90">
        <v>20080</v>
      </c>
      <c r="K22" s="91" t="s">
        <v>2294</v>
      </c>
      <c r="L22" s="90" t="s">
        <v>2319</v>
      </c>
      <c r="M22" s="90" t="s">
        <v>2351</v>
      </c>
      <c r="N22" s="90" t="s">
        <v>2391</v>
      </c>
      <c r="O22" s="90" t="s">
        <v>2454</v>
      </c>
      <c r="P22" s="90" t="s">
        <v>2498</v>
      </c>
      <c r="Q22" s="90" t="s">
        <v>2541</v>
      </c>
      <c r="R22" s="90" t="s">
        <v>2591</v>
      </c>
    </row>
    <row r="23" ht="14.25" customHeight="1" spans="1:18">
      <c r="A23" s="90" t="s">
        <v>241</v>
      </c>
      <c r="B23" s="91" t="s">
        <v>2267</v>
      </c>
      <c r="C23" s="90">
        <v>27800</v>
      </c>
      <c r="D23" s="90">
        <v>26900</v>
      </c>
      <c r="E23" s="90">
        <v>27170</v>
      </c>
      <c r="F23" s="90"/>
      <c r="G23" s="90">
        <v>19570</v>
      </c>
      <c r="K23" s="91" t="s">
        <v>2295</v>
      </c>
      <c r="L23" s="90" t="s">
        <v>2320</v>
      </c>
      <c r="M23" s="90" t="s">
        <v>2352</v>
      </c>
      <c r="N23" s="90" t="s">
        <v>2392</v>
      </c>
      <c r="O23" s="90" t="s">
        <v>2455</v>
      </c>
      <c r="P23" s="90" t="s">
        <v>2499</v>
      </c>
      <c r="Q23" s="90" t="s">
        <v>2542</v>
      </c>
      <c r="R23" s="90" t="s">
        <v>2592</v>
      </c>
    </row>
    <row r="24" ht="14.25" customHeight="1" spans="1:18">
      <c r="A24" s="90" t="s">
        <v>241</v>
      </c>
      <c r="B24" s="91" t="s">
        <v>2268</v>
      </c>
      <c r="C24" s="90">
        <v>27930</v>
      </c>
      <c r="D24" s="90">
        <v>32260</v>
      </c>
      <c r="E24" s="90">
        <v>32120</v>
      </c>
      <c r="F24" s="90"/>
      <c r="G24" s="90">
        <v>23470</v>
      </c>
      <c r="K24" s="91" t="s">
        <v>2296</v>
      </c>
      <c r="L24" s="90" t="s">
        <v>2321</v>
      </c>
      <c r="M24" s="90" t="s">
        <v>2353</v>
      </c>
      <c r="N24" s="90" t="s">
        <v>2393</v>
      </c>
      <c r="O24" s="90" t="s">
        <v>2456</v>
      </c>
      <c r="P24" s="90" t="s">
        <v>2500</v>
      </c>
      <c r="Q24" s="104" t="s">
        <v>2543</v>
      </c>
      <c r="R24" s="90" t="s">
        <v>2593</v>
      </c>
    </row>
    <row r="25" ht="14.25" customHeight="1" spans="1:18">
      <c r="A25" s="90" t="s">
        <v>241</v>
      </c>
      <c r="B25" s="91" t="s">
        <v>2269</v>
      </c>
      <c r="C25" s="90">
        <v>32230</v>
      </c>
      <c r="D25" s="90">
        <v>29640</v>
      </c>
      <c r="E25" s="90">
        <v>29510</v>
      </c>
      <c r="F25" s="90"/>
      <c r="G25" s="90">
        <v>21560</v>
      </c>
      <c r="K25" s="91" t="s">
        <v>2297</v>
      </c>
      <c r="L25" s="90" t="s">
        <v>2322</v>
      </c>
      <c r="M25" s="90" t="s">
        <v>2354</v>
      </c>
      <c r="N25" s="90" t="s">
        <v>2394</v>
      </c>
      <c r="O25" s="90" t="s">
        <v>2457</v>
      </c>
      <c r="P25" s="90" t="s">
        <v>2501</v>
      </c>
      <c r="Q25" s="104" t="s">
        <v>2544</v>
      </c>
      <c r="R25" s="90" t="s">
        <v>2594</v>
      </c>
    </row>
    <row r="26" ht="14.25" customHeight="1" spans="1:18">
      <c r="A26" s="90" t="s">
        <v>241</v>
      </c>
      <c r="B26" s="91" t="s">
        <v>2270</v>
      </c>
      <c r="C26" s="90">
        <v>31690</v>
      </c>
      <c r="D26" s="90">
        <v>27650</v>
      </c>
      <c r="E26" s="90">
        <v>28200</v>
      </c>
      <c r="F26" s="90"/>
      <c r="G26" s="90">
        <v>20110</v>
      </c>
      <c r="K26" s="93" t="s">
        <v>2298</v>
      </c>
      <c r="L26" s="90" t="s">
        <v>2323</v>
      </c>
      <c r="M26" s="90" t="s">
        <v>2355</v>
      </c>
      <c r="N26" s="90" t="s">
        <v>2395</v>
      </c>
      <c r="O26" s="90" t="s">
        <v>2458</v>
      </c>
      <c r="P26" s="90" t="s">
        <v>2502</v>
      </c>
      <c r="Q26" s="104" t="s">
        <v>2545</v>
      </c>
      <c r="R26" s="90" t="s">
        <v>2595</v>
      </c>
    </row>
    <row r="27" ht="14.25" customHeight="1" spans="1:18">
      <c r="A27" s="90" t="s">
        <v>241</v>
      </c>
      <c r="B27" s="91" t="s">
        <v>2271</v>
      </c>
      <c r="C27" s="90">
        <v>29610</v>
      </c>
      <c r="D27" s="90">
        <v>27770</v>
      </c>
      <c r="E27" s="90">
        <v>28300</v>
      </c>
      <c r="F27" s="90"/>
      <c r="G27" s="90">
        <v>20210</v>
      </c>
      <c r="L27" s="90" t="s">
        <v>2324</v>
      </c>
      <c r="M27" s="90" t="s">
        <v>2356</v>
      </c>
      <c r="N27" s="90" t="s">
        <v>2396</v>
      </c>
      <c r="O27" s="90" t="s">
        <v>2459</v>
      </c>
      <c r="P27" s="90" t="s">
        <v>2503</v>
      </c>
      <c r="Q27" s="90" t="s">
        <v>2546</v>
      </c>
      <c r="R27" s="90" t="s">
        <v>2596</v>
      </c>
    </row>
    <row r="28" ht="14.25" customHeight="1" spans="1:18">
      <c r="A28" s="90" t="s">
        <v>241</v>
      </c>
      <c r="B28" s="91" t="s">
        <v>2272</v>
      </c>
      <c r="C28" s="90"/>
      <c r="D28" s="90">
        <v>31520</v>
      </c>
      <c r="E28" s="90">
        <v>31410</v>
      </c>
      <c r="F28" s="90"/>
      <c r="G28" s="90">
        <v>22940</v>
      </c>
      <c r="L28" s="90" t="s">
        <v>2325</v>
      </c>
      <c r="M28" s="90" t="s">
        <v>2357</v>
      </c>
      <c r="N28" s="90" t="s">
        <v>2397</v>
      </c>
      <c r="O28" s="90" t="s">
        <v>2460</v>
      </c>
      <c r="P28" s="90" t="s">
        <v>2504</v>
      </c>
      <c r="Q28" s="90" t="s">
        <v>2547</v>
      </c>
      <c r="R28" s="90" t="s">
        <v>2597</v>
      </c>
    </row>
    <row r="29" ht="14.25" customHeight="1" spans="1:18">
      <c r="A29" s="92" t="s">
        <v>241</v>
      </c>
      <c r="B29" s="95" t="s">
        <v>2273</v>
      </c>
      <c r="C29" s="96"/>
      <c r="D29" s="96">
        <v>29460</v>
      </c>
      <c r="E29" s="96">
        <v>28640</v>
      </c>
      <c r="F29" s="96"/>
      <c r="G29" s="96">
        <v>21430</v>
      </c>
      <c r="L29" s="90" t="s">
        <v>2326</v>
      </c>
      <c r="M29" s="90" t="s">
        <v>2358</v>
      </c>
      <c r="N29" s="90" t="s">
        <v>2398</v>
      </c>
      <c r="O29" s="90" t="s">
        <v>2461</v>
      </c>
      <c r="P29" s="90" t="s">
        <v>2505</v>
      </c>
      <c r="Q29" s="90" t="s">
        <v>2548</v>
      </c>
      <c r="R29" s="90" t="s">
        <v>2598</v>
      </c>
    </row>
    <row r="30" ht="14.25" customHeight="1" spans="1:18">
      <c r="A30" s="88" t="s">
        <v>251</v>
      </c>
      <c r="B30" s="89" t="s">
        <v>2274</v>
      </c>
      <c r="C30" s="89">
        <v>26890</v>
      </c>
      <c r="D30" s="89">
        <v>26770</v>
      </c>
      <c r="E30" s="89">
        <v>25700</v>
      </c>
      <c r="F30" s="89">
        <v>8180</v>
      </c>
      <c r="G30" s="97">
        <v>18740</v>
      </c>
      <c r="L30" s="90" t="s">
        <v>2327</v>
      </c>
      <c r="M30" s="90" t="s">
        <v>2359</v>
      </c>
      <c r="N30" s="90" t="s">
        <v>2399</v>
      </c>
      <c r="O30" s="90" t="s">
        <v>2462</v>
      </c>
      <c r="P30" s="90" t="s">
        <v>2506</v>
      </c>
      <c r="Q30" s="90" t="s">
        <v>2549</v>
      </c>
      <c r="R30" s="90" t="s">
        <v>2599</v>
      </c>
    </row>
    <row r="31" ht="14.25" customHeight="1" spans="1:18">
      <c r="A31" s="90" t="s">
        <v>251</v>
      </c>
      <c r="B31" s="91" t="s">
        <v>2275</v>
      </c>
      <c r="C31" s="90">
        <v>24550</v>
      </c>
      <c r="D31" s="90">
        <v>23990</v>
      </c>
      <c r="E31" s="90">
        <v>22930</v>
      </c>
      <c r="F31" s="90">
        <v>7470</v>
      </c>
      <c r="G31" s="98">
        <v>16790</v>
      </c>
      <c r="L31" s="90" t="s">
        <v>2328</v>
      </c>
      <c r="M31" s="90" t="s">
        <v>2360</v>
      </c>
      <c r="N31" s="90" t="s">
        <v>2400</v>
      </c>
      <c r="O31" s="90" t="s">
        <v>2463</v>
      </c>
      <c r="P31" s="90" t="s">
        <v>2507</v>
      </c>
      <c r="Q31" s="90" t="s">
        <v>2550</v>
      </c>
      <c r="R31" s="90" t="s">
        <v>2600</v>
      </c>
    </row>
    <row r="32" ht="14.25" customHeight="1" spans="1:18">
      <c r="A32" s="90" t="s">
        <v>251</v>
      </c>
      <c r="B32" s="91" t="s">
        <v>2276</v>
      </c>
      <c r="C32" s="90">
        <v>27210</v>
      </c>
      <c r="D32" s="90">
        <v>23240</v>
      </c>
      <c r="E32" s="90">
        <v>23260</v>
      </c>
      <c r="F32" s="90">
        <v>7130</v>
      </c>
      <c r="G32" s="98">
        <v>16270</v>
      </c>
      <c r="L32" s="90" t="s">
        <v>2329</v>
      </c>
      <c r="M32" s="90" t="s">
        <v>2361</v>
      </c>
      <c r="N32" s="90" t="s">
        <v>2401</v>
      </c>
      <c r="O32" s="90" t="s">
        <v>2464</v>
      </c>
      <c r="P32" s="90" t="s">
        <v>2508</v>
      </c>
      <c r="Q32" s="90" t="s">
        <v>2551</v>
      </c>
      <c r="R32" s="94" t="s">
        <v>2601</v>
      </c>
    </row>
    <row r="33" ht="14.25" customHeight="1" spans="1:17">
      <c r="A33" s="90" t="s">
        <v>251</v>
      </c>
      <c r="B33" s="91" t="s">
        <v>2277</v>
      </c>
      <c r="C33" s="90">
        <v>27300</v>
      </c>
      <c r="D33" s="90">
        <v>22980</v>
      </c>
      <c r="E33" s="90">
        <v>24260</v>
      </c>
      <c r="F33" s="90">
        <v>5860</v>
      </c>
      <c r="G33" s="98">
        <v>16090</v>
      </c>
      <c r="L33" s="94" t="s">
        <v>2330</v>
      </c>
      <c r="M33" s="90" t="s">
        <v>2362</v>
      </c>
      <c r="N33" s="90" t="s">
        <v>2402</v>
      </c>
      <c r="O33" s="90" t="s">
        <v>2465</v>
      </c>
      <c r="P33" s="90" t="s">
        <v>2509</v>
      </c>
      <c r="Q33" s="90" t="s">
        <v>2552</v>
      </c>
    </row>
    <row r="34" ht="14.25" customHeight="1" spans="1:17">
      <c r="A34" s="90" t="s">
        <v>251</v>
      </c>
      <c r="B34" s="91" t="s">
        <v>2278</v>
      </c>
      <c r="C34" s="90">
        <v>23090</v>
      </c>
      <c r="D34" s="90">
        <v>23390</v>
      </c>
      <c r="E34" s="90">
        <v>23510</v>
      </c>
      <c r="F34" s="90">
        <v>6700</v>
      </c>
      <c r="G34" s="98">
        <v>16370</v>
      </c>
      <c r="M34" s="90" t="s">
        <v>2363</v>
      </c>
      <c r="N34" s="90" t="s">
        <v>2403</v>
      </c>
      <c r="O34" s="90" t="s">
        <v>2466</v>
      </c>
      <c r="P34" s="90" t="s">
        <v>2510</v>
      </c>
      <c r="Q34" s="90" t="s">
        <v>2553</v>
      </c>
    </row>
    <row r="35" ht="14.25" customHeight="1" spans="1:17">
      <c r="A35" s="90" t="s">
        <v>251</v>
      </c>
      <c r="B35" s="91" t="s">
        <v>2279</v>
      </c>
      <c r="C35" s="90">
        <v>27270</v>
      </c>
      <c r="D35" s="90">
        <v>24270</v>
      </c>
      <c r="E35" s="90">
        <v>24950</v>
      </c>
      <c r="F35" s="90">
        <v>6600</v>
      </c>
      <c r="G35" s="98">
        <v>16990</v>
      </c>
      <c r="M35" s="90" t="s">
        <v>2364</v>
      </c>
      <c r="N35" s="90" t="s">
        <v>2404</v>
      </c>
      <c r="O35" s="90" t="s">
        <v>2467</v>
      </c>
      <c r="P35" s="90" t="s">
        <v>2511</v>
      </c>
      <c r="Q35" s="90" t="s">
        <v>2554</v>
      </c>
    </row>
    <row r="36" ht="14.25" customHeight="1" spans="1:17">
      <c r="A36" s="90" t="s">
        <v>251</v>
      </c>
      <c r="B36" s="91" t="s">
        <v>2280</v>
      </c>
      <c r="C36" s="90">
        <v>23490</v>
      </c>
      <c r="D36" s="90">
        <v>23020</v>
      </c>
      <c r="E36" s="90">
        <v>25230</v>
      </c>
      <c r="F36" s="90">
        <v>6780</v>
      </c>
      <c r="G36" s="98">
        <v>16120</v>
      </c>
      <c r="M36" s="90" t="s">
        <v>2365</v>
      </c>
      <c r="N36" s="90" t="s">
        <v>2405</v>
      </c>
      <c r="O36" s="90" t="s">
        <v>2468</v>
      </c>
      <c r="P36" s="90" t="s">
        <v>2512</v>
      </c>
      <c r="Q36" s="90" t="s">
        <v>2555</v>
      </c>
    </row>
    <row r="37" ht="14.25" customHeight="1" spans="1:17">
      <c r="A37" s="90" t="s">
        <v>251</v>
      </c>
      <c r="B37" s="91" t="s">
        <v>2281</v>
      </c>
      <c r="C37" s="90">
        <v>24380</v>
      </c>
      <c r="D37" s="90">
        <v>22240</v>
      </c>
      <c r="E37" s="90">
        <v>25980</v>
      </c>
      <c r="F37" s="90">
        <v>8160</v>
      </c>
      <c r="G37" s="98">
        <v>15570</v>
      </c>
      <c r="M37" s="90" t="s">
        <v>2366</v>
      </c>
      <c r="N37" s="90" t="s">
        <v>2406</v>
      </c>
      <c r="O37" s="90" t="s">
        <v>2469</v>
      </c>
      <c r="P37" s="90" t="s">
        <v>2513</v>
      </c>
      <c r="Q37" s="90" t="s">
        <v>2556</v>
      </c>
    </row>
    <row r="38" ht="14.25" customHeight="1" spans="1:17">
      <c r="A38" s="90" t="s">
        <v>251</v>
      </c>
      <c r="B38" s="91" t="s">
        <v>2282</v>
      </c>
      <c r="C38" s="90">
        <v>23120</v>
      </c>
      <c r="D38" s="90">
        <v>24630</v>
      </c>
      <c r="E38" s="90">
        <v>25030</v>
      </c>
      <c r="F38" s="90">
        <v>7710</v>
      </c>
      <c r="G38" s="98">
        <v>17240</v>
      </c>
      <c r="M38" s="90" t="s">
        <v>2367</v>
      </c>
      <c r="N38" s="90" t="s">
        <v>2407</v>
      </c>
      <c r="O38" s="90" t="s">
        <v>2470</v>
      </c>
      <c r="P38" s="90" t="s">
        <v>2514</v>
      </c>
      <c r="Q38" s="90" t="s">
        <v>2557</v>
      </c>
    </row>
    <row r="39" ht="14.25" customHeight="1" spans="1:17">
      <c r="A39" s="90" t="s">
        <v>251</v>
      </c>
      <c r="B39" s="91" t="s">
        <v>2283</v>
      </c>
      <c r="C39" s="90">
        <v>22330</v>
      </c>
      <c r="D39" s="90">
        <v>21140</v>
      </c>
      <c r="E39" s="90">
        <v>23970</v>
      </c>
      <c r="F39" s="90">
        <v>7940</v>
      </c>
      <c r="G39" s="98">
        <v>14790</v>
      </c>
      <c r="M39" s="90" t="s">
        <v>2368</v>
      </c>
      <c r="N39" s="90" t="s">
        <v>2408</v>
      </c>
      <c r="O39" s="90" t="s">
        <v>2933</v>
      </c>
      <c r="P39" s="90" t="s">
        <v>2515</v>
      </c>
      <c r="Q39" s="90" t="s">
        <v>2558</v>
      </c>
    </row>
    <row r="40" ht="14.25" customHeight="1" spans="1:17">
      <c r="A40" s="90" t="s">
        <v>251</v>
      </c>
      <c r="B40" s="91" t="s">
        <v>2284</v>
      </c>
      <c r="C40" s="90">
        <v>24740</v>
      </c>
      <c r="D40" s="90">
        <v>24690</v>
      </c>
      <c r="E40" s="90">
        <v>22610</v>
      </c>
      <c r="F40" s="90"/>
      <c r="G40" s="98">
        <v>17280</v>
      </c>
      <c r="M40" s="90" t="s">
        <v>2369</v>
      </c>
      <c r="N40" s="90" t="s">
        <v>2409</v>
      </c>
      <c r="O40" s="90" t="s">
        <v>2934</v>
      </c>
      <c r="P40" s="90" t="s">
        <v>2516</v>
      </c>
      <c r="Q40" s="90" t="s">
        <v>2559</v>
      </c>
    </row>
    <row r="41" ht="14.25" customHeight="1" spans="1:17">
      <c r="A41" s="90" t="s">
        <v>251</v>
      </c>
      <c r="B41" s="91" t="s">
        <v>2285</v>
      </c>
      <c r="C41" s="90">
        <v>21220</v>
      </c>
      <c r="D41" s="90">
        <v>21120</v>
      </c>
      <c r="E41" s="90">
        <v>22590</v>
      </c>
      <c r="F41" s="90"/>
      <c r="G41" s="98">
        <v>14780</v>
      </c>
      <c r="M41" s="94" t="s">
        <v>2370</v>
      </c>
      <c r="N41" s="90" t="s">
        <v>2410</v>
      </c>
      <c r="O41" s="90" t="s">
        <v>2935</v>
      </c>
      <c r="P41" s="90" t="s">
        <v>2517</v>
      </c>
      <c r="Q41" s="90" t="s">
        <v>2560</v>
      </c>
    </row>
    <row r="42" ht="14.25" customHeight="1" spans="1:17">
      <c r="A42" s="90" t="s">
        <v>251</v>
      </c>
      <c r="B42" s="91" t="s">
        <v>2286</v>
      </c>
      <c r="C42" s="90">
        <v>24800</v>
      </c>
      <c r="D42" s="90">
        <v>22280</v>
      </c>
      <c r="E42" s="90">
        <v>24350</v>
      </c>
      <c r="F42" s="90"/>
      <c r="G42" s="98">
        <v>15590</v>
      </c>
      <c r="N42" s="90" t="s">
        <v>2411</v>
      </c>
      <c r="O42" s="90" t="s">
        <v>2474</v>
      </c>
      <c r="P42" s="90" t="s">
        <v>2518</v>
      </c>
      <c r="Q42" s="90" t="s">
        <v>2561</v>
      </c>
    </row>
    <row r="43" ht="14.25" customHeight="1" spans="1:17">
      <c r="A43" s="90" t="s">
        <v>251</v>
      </c>
      <c r="B43" s="91" t="s">
        <v>2287</v>
      </c>
      <c r="C43" s="90">
        <v>21210</v>
      </c>
      <c r="D43" s="90">
        <v>21160</v>
      </c>
      <c r="E43" s="90">
        <v>22650</v>
      </c>
      <c r="F43" s="90"/>
      <c r="G43" s="98">
        <v>14800</v>
      </c>
      <c r="N43" s="90" t="s">
        <v>2412</v>
      </c>
      <c r="O43" s="90" t="s">
        <v>2475</v>
      </c>
      <c r="P43" s="90" t="s">
        <v>2519</v>
      </c>
      <c r="Q43" s="90" t="s">
        <v>2562</v>
      </c>
    </row>
    <row r="44" ht="14.25" customHeight="1" spans="1:17">
      <c r="A44" s="90" t="s">
        <v>251</v>
      </c>
      <c r="B44" s="91" t="s">
        <v>2288</v>
      </c>
      <c r="C44" s="90">
        <v>22370</v>
      </c>
      <c r="D44" s="90">
        <v>23140</v>
      </c>
      <c r="E44" s="90">
        <v>25090</v>
      </c>
      <c r="F44" s="90"/>
      <c r="G44" s="98">
        <v>16190</v>
      </c>
      <c r="N44" s="90" t="s">
        <v>2413</v>
      </c>
      <c r="O44" s="90" t="s">
        <v>2936</v>
      </c>
      <c r="P44" s="94" t="s">
        <v>2520</v>
      </c>
      <c r="Q44" s="90" t="s">
        <v>2563</v>
      </c>
    </row>
    <row r="45" ht="14.25" customHeight="1" spans="1:17">
      <c r="A45" s="90" t="s">
        <v>251</v>
      </c>
      <c r="B45" s="91" t="s">
        <v>2289</v>
      </c>
      <c r="C45" s="90">
        <v>21240</v>
      </c>
      <c r="D45" s="90">
        <v>27050</v>
      </c>
      <c r="E45" s="90">
        <v>28000</v>
      </c>
      <c r="F45" s="90"/>
      <c r="G45" s="98">
        <v>18940</v>
      </c>
      <c r="N45" s="90" t="s">
        <v>2414</v>
      </c>
      <c r="O45" s="94" t="s">
        <v>2477</v>
      </c>
      <c r="Q45" s="90" t="s">
        <v>2564</v>
      </c>
    </row>
    <row r="46" ht="14.25" customHeight="1" spans="1:17">
      <c r="A46" s="90" t="s">
        <v>251</v>
      </c>
      <c r="B46" s="91" t="s">
        <v>2290</v>
      </c>
      <c r="C46" s="90">
        <v>23240</v>
      </c>
      <c r="D46" s="90">
        <v>23000</v>
      </c>
      <c r="E46" s="90">
        <v>24980</v>
      </c>
      <c r="F46" s="90"/>
      <c r="G46" s="98">
        <v>16100</v>
      </c>
      <c r="N46" s="90" t="s">
        <v>2415</v>
      </c>
      <c r="Q46" s="90" t="s">
        <v>2565</v>
      </c>
    </row>
    <row r="47" ht="14.25" customHeight="1" spans="1:17">
      <c r="A47" s="90" t="s">
        <v>251</v>
      </c>
      <c r="B47" s="91" t="s">
        <v>2291</v>
      </c>
      <c r="C47" s="90">
        <v>27150</v>
      </c>
      <c r="D47" s="90">
        <v>23310</v>
      </c>
      <c r="E47" s="90">
        <v>25150</v>
      </c>
      <c r="F47" s="90"/>
      <c r="G47" s="98">
        <v>16310</v>
      </c>
      <c r="N47" s="90" t="s">
        <v>2416</v>
      </c>
      <c r="Q47" s="90" t="s">
        <v>2566</v>
      </c>
    </row>
    <row r="48" ht="14.25" customHeight="1" spans="1:17">
      <c r="A48" s="90" t="s">
        <v>251</v>
      </c>
      <c r="B48" s="91" t="s">
        <v>2292</v>
      </c>
      <c r="C48" s="90">
        <v>23100</v>
      </c>
      <c r="D48" s="90">
        <v>21110</v>
      </c>
      <c r="E48" s="90">
        <v>23080</v>
      </c>
      <c r="F48" s="90"/>
      <c r="G48" s="98">
        <v>14780</v>
      </c>
      <c r="N48" s="90" t="s">
        <v>2417</v>
      </c>
      <c r="Q48" s="90" t="s">
        <v>2567</v>
      </c>
    </row>
    <row r="49" ht="14.25" customHeight="1" spans="1:17">
      <c r="A49" s="90" t="s">
        <v>251</v>
      </c>
      <c r="B49" s="91" t="s">
        <v>2293</v>
      </c>
      <c r="C49" s="90">
        <v>23400</v>
      </c>
      <c r="D49" s="90">
        <v>22920</v>
      </c>
      <c r="E49" s="90">
        <v>24900</v>
      </c>
      <c r="F49" s="90"/>
      <c r="G49" s="98">
        <v>16040</v>
      </c>
      <c r="N49" s="90" t="s">
        <v>2418</v>
      </c>
      <c r="Q49" s="90" t="s">
        <v>2568</v>
      </c>
    </row>
    <row r="50" ht="14.25" customHeight="1" spans="1:17">
      <c r="A50" s="90" t="s">
        <v>251</v>
      </c>
      <c r="B50" s="91" t="s">
        <v>2294</v>
      </c>
      <c r="C50" s="90">
        <v>21200</v>
      </c>
      <c r="D50" s="90">
        <v>26540</v>
      </c>
      <c r="E50" s="90">
        <v>23200</v>
      </c>
      <c r="F50" s="90"/>
      <c r="G50" s="98">
        <v>18580</v>
      </c>
      <c r="N50" s="90" t="s">
        <v>2419</v>
      </c>
      <c r="Q50" s="91" t="s">
        <v>2569</v>
      </c>
    </row>
    <row r="51" ht="14.25" customHeight="1" spans="1:17">
      <c r="A51" s="90" t="s">
        <v>251</v>
      </c>
      <c r="B51" s="91" t="s">
        <v>2295</v>
      </c>
      <c r="C51" s="90">
        <v>23000</v>
      </c>
      <c r="D51" s="90">
        <v>23460</v>
      </c>
      <c r="E51" s="90">
        <v>25290</v>
      </c>
      <c r="F51" s="90"/>
      <c r="G51" s="98">
        <v>16420</v>
      </c>
      <c r="N51" s="90" t="s">
        <v>2420</v>
      </c>
      <c r="Q51" s="94" t="s">
        <v>2570</v>
      </c>
    </row>
    <row r="52" ht="14.25" customHeight="1" spans="1:14">
      <c r="A52" s="90" t="s">
        <v>251</v>
      </c>
      <c r="B52" s="91" t="s">
        <v>2296</v>
      </c>
      <c r="C52" s="90">
        <v>26660</v>
      </c>
      <c r="D52" s="90">
        <v>22350</v>
      </c>
      <c r="E52" s="90">
        <v>22920</v>
      </c>
      <c r="F52" s="90"/>
      <c r="G52" s="98">
        <v>15640</v>
      </c>
      <c r="N52" s="90" t="s">
        <v>2421</v>
      </c>
    </row>
    <row r="53" ht="14.25" customHeight="1" spans="1:14">
      <c r="A53" s="90" t="s">
        <v>251</v>
      </c>
      <c r="B53" s="91" t="s">
        <v>2297</v>
      </c>
      <c r="C53" s="90">
        <v>23580</v>
      </c>
      <c r="D53" s="90"/>
      <c r="E53" s="90">
        <v>24280</v>
      </c>
      <c r="F53" s="90"/>
      <c r="G53" s="98"/>
      <c r="N53" s="90" t="s">
        <v>2422</v>
      </c>
    </row>
    <row r="54" ht="14.25" customHeight="1" spans="1:14">
      <c r="A54" s="99" t="s">
        <v>251</v>
      </c>
      <c r="B54" s="93" t="s">
        <v>2298</v>
      </c>
      <c r="C54" s="94">
        <v>22460</v>
      </c>
      <c r="D54" s="94"/>
      <c r="E54" s="94"/>
      <c r="F54" s="94"/>
      <c r="G54" s="100"/>
      <c r="N54" s="90" t="s">
        <v>2423</v>
      </c>
    </row>
    <row r="55" ht="14.25" customHeight="1" spans="1:14">
      <c r="A55" s="88" t="s">
        <v>259</v>
      </c>
      <c r="B55" s="89" t="s">
        <v>2299</v>
      </c>
      <c r="C55" s="90">
        <v>21970</v>
      </c>
      <c r="D55" s="90">
        <v>20370</v>
      </c>
      <c r="E55" s="90">
        <v>20180</v>
      </c>
      <c r="F55" s="90">
        <v>5730</v>
      </c>
      <c r="G55" s="90">
        <v>13820</v>
      </c>
      <c r="N55" s="90" t="s">
        <v>2424</v>
      </c>
    </row>
    <row r="56" ht="14.25" customHeight="1" spans="1:14">
      <c r="A56" s="90" t="s">
        <v>259</v>
      </c>
      <c r="B56" s="90" t="s">
        <v>2300</v>
      </c>
      <c r="C56" s="90">
        <v>20470</v>
      </c>
      <c r="D56" s="90">
        <v>20700</v>
      </c>
      <c r="E56" s="90">
        <v>20380</v>
      </c>
      <c r="F56" s="90">
        <v>4760</v>
      </c>
      <c r="G56" s="90">
        <v>14050</v>
      </c>
      <c r="N56" s="90" t="s">
        <v>2425</v>
      </c>
    </row>
    <row r="57" ht="14.25" customHeight="1" spans="1:14">
      <c r="A57" s="90" t="s">
        <v>259</v>
      </c>
      <c r="B57" s="90" t="s">
        <v>2301</v>
      </c>
      <c r="C57" s="90">
        <v>20790</v>
      </c>
      <c r="D57" s="90">
        <v>21370</v>
      </c>
      <c r="E57" s="90">
        <v>20890</v>
      </c>
      <c r="F57" s="90">
        <v>4910</v>
      </c>
      <c r="G57" s="90">
        <v>14510</v>
      </c>
      <c r="N57" s="90" t="s">
        <v>2426</v>
      </c>
    </row>
    <row r="58" ht="14.25" customHeight="1" spans="1:14">
      <c r="A58" s="90" t="s">
        <v>259</v>
      </c>
      <c r="B58" s="90" t="s">
        <v>2302</v>
      </c>
      <c r="C58" s="90">
        <v>21460</v>
      </c>
      <c r="D58" s="90">
        <v>20920</v>
      </c>
      <c r="E58" s="90">
        <v>23410</v>
      </c>
      <c r="F58" s="90">
        <v>5100</v>
      </c>
      <c r="G58" s="90">
        <v>14200</v>
      </c>
      <c r="N58" s="90" t="s">
        <v>2427</v>
      </c>
    </row>
    <row r="59" ht="14.25" customHeight="1" spans="1:14">
      <c r="A59" s="90" t="s">
        <v>259</v>
      </c>
      <c r="B59" s="90" t="s">
        <v>2303</v>
      </c>
      <c r="C59" s="90">
        <v>21000</v>
      </c>
      <c r="D59" s="90">
        <v>21550</v>
      </c>
      <c r="E59" s="90">
        <v>21150</v>
      </c>
      <c r="F59" s="90">
        <v>5250</v>
      </c>
      <c r="G59" s="90">
        <v>14630</v>
      </c>
      <c r="N59" s="90" t="s">
        <v>2428</v>
      </c>
    </row>
    <row r="60" ht="14.25" customHeight="1" spans="1:14">
      <c r="A60" s="90" t="s">
        <v>259</v>
      </c>
      <c r="B60" s="90" t="s">
        <v>2304</v>
      </c>
      <c r="C60" s="90">
        <v>21640</v>
      </c>
      <c r="D60" s="90">
        <v>21260</v>
      </c>
      <c r="E60" s="90">
        <v>24040</v>
      </c>
      <c r="F60" s="90">
        <v>4470</v>
      </c>
      <c r="G60" s="90">
        <v>14430</v>
      </c>
      <c r="N60" s="90" t="s">
        <v>2429</v>
      </c>
    </row>
    <row r="61" ht="14.25" customHeight="1" spans="1:14">
      <c r="A61" s="90" t="s">
        <v>259</v>
      </c>
      <c r="B61" s="90" t="s">
        <v>2305</v>
      </c>
      <c r="C61" s="90">
        <v>21330</v>
      </c>
      <c r="D61" s="90">
        <v>18640</v>
      </c>
      <c r="E61" s="90">
        <v>21190</v>
      </c>
      <c r="F61" s="90">
        <v>4180</v>
      </c>
      <c r="G61" s="90">
        <v>12650</v>
      </c>
      <c r="N61" s="90" t="s">
        <v>2430</v>
      </c>
    </row>
    <row r="62" ht="14.25" customHeight="1" spans="1:14">
      <c r="A62" s="90" t="s">
        <v>259</v>
      </c>
      <c r="B62" s="90" t="s">
        <v>2306</v>
      </c>
      <c r="C62" s="90">
        <v>18710</v>
      </c>
      <c r="D62" s="90">
        <v>19400</v>
      </c>
      <c r="E62" s="90">
        <v>23750</v>
      </c>
      <c r="F62" s="90">
        <v>4860</v>
      </c>
      <c r="G62" s="90">
        <v>13170</v>
      </c>
      <c r="N62" s="90" t="s">
        <v>2431</v>
      </c>
    </row>
    <row r="63" ht="14.25" customHeight="1" spans="1:14">
      <c r="A63" s="90" t="s">
        <v>259</v>
      </c>
      <c r="B63" s="90" t="s">
        <v>2307</v>
      </c>
      <c r="C63" s="90">
        <v>19480</v>
      </c>
      <c r="D63" s="90">
        <v>16830</v>
      </c>
      <c r="E63" s="90">
        <v>21590</v>
      </c>
      <c r="F63" s="90">
        <v>4560</v>
      </c>
      <c r="G63" s="90">
        <v>11420</v>
      </c>
      <c r="N63" s="90" t="s">
        <v>2432</v>
      </c>
    </row>
    <row r="64" ht="14.25" customHeight="1" spans="1:14">
      <c r="A64" s="90" t="s">
        <v>259</v>
      </c>
      <c r="B64" s="90" t="s">
        <v>2308</v>
      </c>
      <c r="C64" s="90">
        <v>16920</v>
      </c>
      <c r="D64" s="90">
        <v>19190</v>
      </c>
      <c r="E64" s="90">
        <v>22200</v>
      </c>
      <c r="F64" s="90">
        <v>4390</v>
      </c>
      <c r="G64" s="90">
        <v>13030</v>
      </c>
      <c r="N64" s="94" t="s">
        <v>2433</v>
      </c>
    </row>
    <row r="65" s="75" customFormat="1" ht="14.25" customHeight="1" spans="1:7">
      <c r="A65" s="90" t="s">
        <v>259</v>
      </c>
      <c r="B65" s="90" t="s">
        <v>2309</v>
      </c>
      <c r="C65" s="90">
        <v>19290</v>
      </c>
      <c r="D65" s="90">
        <v>17020</v>
      </c>
      <c r="E65" s="90">
        <v>19880</v>
      </c>
      <c r="F65" s="90">
        <v>4070</v>
      </c>
      <c r="G65" s="90">
        <v>11550</v>
      </c>
    </row>
    <row r="66" s="75" customFormat="1" ht="14.25" customHeight="1" spans="1:7">
      <c r="A66" s="90" t="s">
        <v>259</v>
      </c>
      <c r="B66" s="90" t="s">
        <v>2310</v>
      </c>
      <c r="C66" s="90">
        <v>17090</v>
      </c>
      <c r="D66" s="90">
        <v>18340</v>
      </c>
      <c r="E66" s="90">
        <v>21830</v>
      </c>
      <c r="F66" s="90">
        <v>4690</v>
      </c>
      <c r="G66" s="90">
        <v>12450</v>
      </c>
    </row>
    <row r="67" s="75" customFormat="1" ht="14.25" customHeight="1" spans="1:7">
      <c r="A67" s="90" t="s">
        <v>259</v>
      </c>
      <c r="B67" s="90" t="s">
        <v>2311</v>
      </c>
      <c r="C67" s="90">
        <v>18420</v>
      </c>
      <c r="D67" s="90">
        <v>16360</v>
      </c>
      <c r="E67" s="90">
        <v>20020</v>
      </c>
      <c r="F67" s="90">
        <v>5150</v>
      </c>
      <c r="G67" s="90">
        <v>11110</v>
      </c>
    </row>
    <row r="68" s="75" customFormat="1" ht="14.25" customHeight="1" spans="1:7">
      <c r="A68" s="90" t="s">
        <v>259</v>
      </c>
      <c r="B68" s="90" t="s">
        <v>2312</v>
      </c>
      <c r="C68" s="90">
        <v>16450</v>
      </c>
      <c r="D68" s="90">
        <v>18430</v>
      </c>
      <c r="E68" s="90">
        <v>21010</v>
      </c>
      <c r="F68" s="90">
        <v>4720</v>
      </c>
      <c r="G68" s="90">
        <v>12510</v>
      </c>
    </row>
    <row r="69" s="75" customFormat="1" ht="14.25" customHeight="1" spans="1:7">
      <c r="A69" s="90" t="s">
        <v>259</v>
      </c>
      <c r="B69" s="90" t="s">
        <v>2313</v>
      </c>
      <c r="C69" s="90">
        <v>18510</v>
      </c>
      <c r="D69" s="90">
        <v>16300</v>
      </c>
      <c r="E69" s="90">
        <v>18830</v>
      </c>
      <c r="F69" s="90">
        <v>5400</v>
      </c>
      <c r="G69" s="90">
        <v>11070</v>
      </c>
    </row>
    <row r="70" s="75" customFormat="1" ht="14.25" customHeight="1" spans="1:7">
      <c r="A70" s="90" t="s">
        <v>259</v>
      </c>
      <c r="B70" s="90" t="s">
        <v>2314</v>
      </c>
      <c r="C70" s="90">
        <v>16370</v>
      </c>
      <c r="D70" s="90">
        <v>18620</v>
      </c>
      <c r="E70" s="90">
        <v>21100</v>
      </c>
      <c r="F70" s="90">
        <v>5700</v>
      </c>
      <c r="G70" s="90">
        <v>12640</v>
      </c>
    </row>
    <row r="71" s="75" customFormat="1" ht="14.25" customHeight="1" spans="1:7">
      <c r="A71" s="90" t="s">
        <v>259</v>
      </c>
      <c r="B71" s="90" t="s">
        <v>2315</v>
      </c>
      <c r="C71" s="90">
        <v>18700</v>
      </c>
      <c r="D71" s="90">
        <v>16290</v>
      </c>
      <c r="E71" s="90">
        <v>18760</v>
      </c>
      <c r="F71" s="90">
        <v>4780</v>
      </c>
      <c r="G71" s="90">
        <v>11050</v>
      </c>
    </row>
    <row r="72" s="75" customFormat="1" ht="14.25" customHeight="1" spans="1:7">
      <c r="A72" s="90" t="s">
        <v>259</v>
      </c>
      <c r="B72" s="90" t="s">
        <v>2316</v>
      </c>
      <c r="C72" s="90">
        <v>16340</v>
      </c>
      <c r="D72" s="90">
        <v>17520</v>
      </c>
      <c r="E72" s="90">
        <v>21170</v>
      </c>
      <c r="F72" s="90"/>
      <c r="G72" s="90">
        <v>11900</v>
      </c>
    </row>
    <row r="73" s="75" customFormat="1" ht="14.25" customHeight="1" spans="1:7">
      <c r="A73" s="90" t="s">
        <v>259</v>
      </c>
      <c r="B73" s="90" t="s">
        <v>2317</v>
      </c>
      <c r="C73" s="90">
        <v>17610</v>
      </c>
      <c r="D73" s="90">
        <v>18520</v>
      </c>
      <c r="E73" s="90">
        <v>18720</v>
      </c>
      <c r="F73" s="90"/>
      <c r="G73" s="90">
        <v>12570</v>
      </c>
    </row>
    <row r="74" s="75" customFormat="1" ht="14.25" customHeight="1" spans="1:7">
      <c r="A74" s="90" t="s">
        <v>259</v>
      </c>
      <c r="B74" s="90" t="s">
        <v>2318</v>
      </c>
      <c r="C74" s="90">
        <v>18600</v>
      </c>
      <c r="D74" s="90">
        <v>16480</v>
      </c>
      <c r="E74" s="90">
        <v>20100</v>
      </c>
      <c r="F74" s="90"/>
      <c r="G74" s="90">
        <v>11190</v>
      </c>
    </row>
    <row r="75" s="75" customFormat="1" ht="14.25" customHeight="1" spans="1:7">
      <c r="A75" s="90" t="s">
        <v>259</v>
      </c>
      <c r="B75" s="90" t="s">
        <v>2319</v>
      </c>
      <c r="C75" s="90">
        <v>16570</v>
      </c>
      <c r="D75" s="90">
        <v>17530</v>
      </c>
      <c r="E75" s="90">
        <v>21030</v>
      </c>
      <c r="F75" s="90"/>
      <c r="G75" s="90">
        <v>11900</v>
      </c>
    </row>
    <row r="76" s="75" customFormat="1" ht="14.25" customHeight="1" spans="1:7">
      <c r="A76" s="90" t="s">
        <v>259</v>
      </c>
      <c r="B76" s="90" t="s">
        <v>2320</v>
      </c>
      <c r="C76" s="90">
        <v>17610</v>
      </c>
      <c r="D76" s="90">
        <v>20800</v>
      </c>
      <c r="E76" s="90">
        <v>18920</v>
      </c>
      <c r="F76" s="90"/>
      <c r="G76" s="90">
        <v>14120</v>
      </c>
    </row>
    <row r="77" s="75" customFormat="1" ht="14.25" customHeight="1" spans="1:7">
      <c r="A77" s="90" t="s">
        <v>259</v>
      </c>
      <c r="B77" s="90" t="s">
        <v>2321</v>
      </c>
      <c r="C77" s="90">
        <v>20890</v>
      </c>
      <c r="D77" s="90">
        <v>19740</v>
      </c>
      <c r="E77" s="90">
        <v>20110</v>
      </c>
      <c r="F77" s="90"/>
      <c r="G77" s="90">
        <v>13400</v>
      </c>
    </row>
    <row r="78" s="75" customFormat="1" ht="14.25" customHeight="1" spans="1:7">
      <c r="A78" s="90" t="s">
        <v>259</v>
      </c>
      <c r="B78" s="90" t="s">
        <v>2322</v>
      </c>
      <c r="C78" s="90">
        <v>19820</v>
      </c>
      <c r="D78" s="90">
        <v>19780</v>
      </c>
      <c r="E78" s="90">
        <v>18560</v>
      </c>
      <c r="F78" s="90"/>
      <c r="G78" s="90">
        <v>13430</v>
      </c>
    </row>
    <row r="79" s="75" customFormat="1" ht="14.25" customHeight="1" spans="1:7">
      <c r="A79" s="90" t="s">
        <v>259</v>
      </c>
      <c r="B79" s="90" t="s">
        <v>2323</v>
      </c>
      <c r="C79" s="90">
        <v>21660</v>
      </c>
      <c r="D79" s="90">
        <v>18000</v>
      </c>
      <c r="E79" s="90">
        <v>22570</v>
      </c>
      <c r="F79" s="90"/>
      <c r="G79" s="90">
        <v>12220</v>
      </c>
    </row>
    <row r="80" s="75" customFormat="1" ht="14.25" customHeight="1" spans="1:7">
      <c r="A80" s="90" t="s">
        <v>259</v>
      </c>
      <c r="B80" s="90" t="s">
        <v>2324</v>
      </c>
      <c r="C80" s="90">
        <v>19850</v>
      </c>
      <c r="D80" s="90"/>
      <c r="E80" s="90">
        <v>21700</v>
      </c>
      <c r="F80" s="90"/>
      <c r="G80" s="90"/>
    </row>
    <row r="81" s="75" customFormat="1" ht="14.25" customHeight="1" spans="1:7">
      <c r="A81" s="90" t="s">
        <v>259</v>
      </c>
      <c r="B81" s="90" t="s">
        <v>2325</v>
      </c>
      <c r="C81" s="90">
        <v>18080</v>
      </c>
      <c r="D81" s="90"/>
      <c r="E81" s="90">
        <v>20900</v>
      </c>
      <c r="F81" s="90"/>
      <c r="G81" s="90"/>
    </row>
    <row r="82" s="75" customFormat="1" ht="14.25" customHeight="1" spans="1:7">
      <c r="A82" s="90" t="s">
        <v>259</v>
      </c>
      <c r="B82" s="90" t="s">
        <v>2326</v>
      </c>
      <c r="C82" s="90"/>
      <c r="D82" s="90"/>
      <c r="E82" s="90">
        <v>20840</v>
      </c>
      <c r="F82" s="90"/>
      <c r="G82" s="90"/>
    </row>
    <row r="83" s="75" customFormat="1" ht="14.25" customHeight="1" spans="1:7">
      <c r="A83" s="90" t="s">
        <v>259</v>
      </c>
      <c r="B83" s="90" t="s">
        <v>2327</v>
      </c>
      <c r="C83" s="90"/>
      <c r="D83" s="90"/>
      <c r="E83" s="90"/>
      <c r="F83" s="90">
        <v>4770</v>
      </c>
      <c r="G83" s="90"/>
    </row>
    <row r="84" s="75" customFormat="1" ht="14.25" customHeight="1" spans="1:7">
      <c r="A84" s="90" t="s">
        <v>259</v>
      </c>
      <c r="B84" s="90" t="s">
        <v>2328</v>
      </c>
      <c r="C84" s="90"/>
      <c r="D84" s="90"/>
      <c r="E84" s="90"/>
      <c r="F84" s="90">
        <v>4600</v>
      </c>
      <c r="G84" s="90"/>
    </row>
    <row r="85" s="75" customFormat="1" ht="14.25" customHeight="1" spans="1:7">
      <c r="A85" s="90" t="s">
        <v>259</v>
      </c>
      <c r="B85" s="90" t="s">
        <v>2329</v>
      </c>
      <c r="C85" s="90"/>
      <c r="D85" s="90"/>
      <c r="E85" s="90"/>
      <c r="F85" s="90">
        <v>4680</v>
      </c>
      <c r="G85" s="90"/>
    </row>
    <row r="86" s="75" customFormat="1" ht="14.25" customHeight="1" spans="1:7">
      <c r="A86" s="92" t="s">
        <v>259</v>
      </c>
      <c r="B86" s="95" t="s">
        <v>2330</v>
      </c>
      <c r="C86" s="96">
        <v>16610</v>
      </c>
      <c r="D86" s="96">
        <v>16540</v>
      </c>
      <c r="E86" s="96">
        <v>18850</v>
      </c>
      <c r="F86" s="96"/>
      <c r="G86" s="96">
        <v>11220</v>
      </c>
    </row>
    <row r="87" s="75" customFormat="1" ht="14.25" customHeight="1" spans="1:7">
      <c r="A87" s="88" t="s">
        <v>267</v>
      </c>
      <c r="B87" s="89" t="s">
        <v>2331</v>
      </c>
      <c r="C87" s="89">
        <v>15240</v>
      </c>
      <c r="D87" s="89">
        <v>15170</v>
      </c>
      <c r="E87" s="89">
        <v>18260</v>
      </c>
      <c r="F87" s="89">
        <v>3830</v>
      </c>
      <c r="G87" s="97">
        <v>10020</v>
      </c>
    </row>
    <row r="88" s="75" customFormat="1" ht="14.25" customHeight="1" spans="1:7">
      <c r="A88" s="90" t="s">
        <v>267</v>
      </c>
      <c r="B88" s="90" t="s">
        <v>2332</v>
      </c>
      <c r="C88" s="90">
        <v>17310</v>
      </c>
      <c r="D88" s="90">
        <v>17220</v>
      </c>
      <c r="E88" s="90">
        <v>18610</v>
      </c>
      <c r="F88" s="90">
        <v>3990</v>
      </c>
      <c r="G88" s="98">
        <v>11380</v>
      </c>
    </row>
    <row r="89" s="75" customFormat="1" ht="14.25" customHeight="1" spans="1:7">
      <c r="A89" s="90" t="s">
        <v>267</v>
      </c>
      <c r="B89" s="90" t="s">
        <v>2333</v>
      </c>
      <c r="C89" s="90">
        <v>15600</v>
      </c>
      <c r="D89" s="90">
        <v>15550</v>
      </c>
      <c r="E89" s="90">
        <v>19200</v>
      </c>
      <c r="F89" s="90">
        <v>4110</v>
      </c>
      <c r="G89" s="98">
        <v>10270</v>
      </c>
    </row>
    <row r="90" s="75" customFormat="1" ht="14.25" customHeight="1" spans="1:7">
      <c r="A90" s="90" t="s">
        <v>267</v>
      </c>
      <c r="B90" s="90" t="s">
        <v>2334</v>
      </c>
      <c r="C90" s="90">
        <v>17330</v>
      </c>
      <c r="D90" s="90">
        <v>17240</v>
      </c>
      <c r="E90" s="90">
        <v>18570</v>
      </c>
      <c r="F90" s="90">
        <v>4070</v>
      </c>
      <c r="G90" s="98">
        <v>11390</v>
      </c>
    </row>
    <row r="91" s="75" customFormat="1" ht="14.25" customHeight="1" spans="1:7">
      <c r="A91" s="90" t="s">
        <v>267</v>
      </c>
      <c r="B91" s="90" t="s">
        <v>2335</v>
      </c>
      <c r="C91" s="90">
        <v>16330</v>
      </c>
      <c r="D91" s="90">
        <v>16260</v>
      </c>
      <c r="E91" s="90">
        <v>16800</v>
      </c>
      <c r="F91" s="90">
        <v>3410</v>
      </c>
      <c r="G91" s="98">
        <v>10740</v>
      </c>
    </row>
    <row r="92" s="75" customFormat="1" ht="14.25" customHeight="1" spans="1:7">
      <c r="A92" s="90" t="s">
        <v>267</v>
      </c>
      <c r="B92" s="90" t="s">
        <v>2336</v>
      </c>
      <c r="C92" s="90">
        <v>15570</v>
      </c>
      <c r="D92" s="90">
        <v>15500</v>
      </c>
      <c r="E92" s="90">
        <v>17360</v>
      </c>
      <c r="F92" s="90">
        <v>3510</v>
      </c>
      <c r="G92" s="98">
        <v>10240</v>
      </c>
    </row>
    <row r="93" s="75" customFormat="1" ht="14.25" customHeight="1" spans="1:7">
      <c r="A93" s="90" t="s">
        <v>267</v>
      </c>
      <c r="B93" s="90" t="s">
        <v>2337</v>
      </c>
      <c r="C93" s="90">
        <v>14000</v>
      </c>
      <c r="D93" s="90">
        <v>13930</v>
      </c>
      <c r="E93" s="90">
        <v>18200</v>
      </c>
      <c r="F93" s="90">
        <v>3640</v>
      </c>
      <c r="G93" s="98">
        <v>9210</v>
      </c>
    </row>
    <row r="94" s="75" customFormat="1" ht="14.25" customHeight="1" spans="1:7">
      <c r="A94" s="90" t="s">
        <v>267</v>
      </c>
      <c r="B94" s="90" t="s">
        <v>2338</v>
      </c>
      <c r="C94" s="90">
        <v>14530</v>
      </c>
      <c r="D94" s="90">
        <v>14470</v>
      </c>
      <c r="E94" s="90">
        <v>18240</v>
      </c>
      <c r="F94" s="90">
        <v>3180</v>
      </c>
      <c r="G94" s="98">
        <v>9560</v>
      </c>
    </row>
    <row r="95" s="75" customFormat="1" ht="14.25" customHeight="1" spans="1:7">
      <c r="A95" s="90" t="s">
        <v>267</v>
      </c>
      <c r="B95" s="90" t="s">
        <v>2339</v>
      </c>
      <c r="C95" s="90">
        <v>17330</v>
      </c>
      <c r="D95" s="90">
        <v>17260</v>
      </c>
      <c r="E95" s="90">
        <v>18420</v>
      </c>
      <c r="F95" s="90">
        <v>3060</v>
      </c>
      <c r="G95" s="98">
        <v>11410</v>
      </c>
    </row>
    <row r="96" s="75" customFormat="1" ht="14.25" customHeight="1" spans="1:7">
      <c r="A96" s="90" t="s">
        <v>267</v>
      </c>
      <c r="B96" s="90" t="s">
        <v>2340</v>
      </c>
      <c r="C96" s="90">
        <v>15030</v>
      </c>
      <c r="D96" s="90">
        <v>14970</v>
      </c>
      <c r="E96" s="90">
        <v>17580</v>
      </c>
      <c r="F96" s="90">
        <v>2970</v>
      </c>
      <c r="G96" s="98">
        <v>9890</v>
      </c>
    </row>
    <row r="97" s="75" customFormat="1" ht="14.25" customHeight="1" spans="1:7">
      <c r="A97" s="90" t="s">
        <v>267</v>
      </c>
      <c r="B97" s="90" t="s">
        <v>2341</v>
      </c>
      <c r="C97" s="90">
        <v>17400</v>
      </c>
      <c r="D97" s="90">
        <v>17330</v>
      </c>
      <c r="E97" s="90">
        <v>16430</v>
      </c>
      <c r="F97" s="90">
        <v>2950</v>
      </c>
      <c r="G97" s="98">
        <v>11450</v>
      </c>
    </row>
    <row r="98" s="75" customFormat="1" ht="14.25" customHeight="1" spans="1:7">
      <c r="A98" s="90" t="s">
        <v>267</v>
      </c>
      <c r="B98" s="90" t="s">
        <v>2342</v>
      </c>
      <c r="C98" s="90">
        <v>15200</v>
      </c>
      <c r="D98" s="90">
        <v>15120</v>
      </c>
      <c r="E98" s="90">
        <v>17550</v>
      </c>
      <c r="F98" s="90">
        <v>3080</v>
      </c>
      <c r="G98" s="98">
        <v>9990</v>
      </c>
    </row>
    <row r="99" s="75" customFormat="1" ht="14.25" customHeight="1" spans="1:7">
      <c r="A99" s="90" t="s">
        <v>267</v>
      </c>
      <c r="B99" s="90" t="s">
        <v>2343</v>
      </c>
      <c r="C99" s="90">
        <v>17520</v>
      </c>
      <c r="D99" s="90">
        <v>17430</v>
      </c>
      <c r="E99" s="90">
        <v>16350</v>
      </c>
      <c r="F99" s="90">
        <v>3260</v>
      </c>
      <c r="G99" s="98">
        <v>11510</v>
      </c>
    </row>
    <row r="100" s="75" customFormat="1" ht="14.25" customHeight="1" spans="1:7">
      <c r="A100" s="90" t="s">
        <v>267</v>
      </c>
      <c r="B100" s="90" t="s">
        <v>2344</v>
      </c>
      <c r="C100" s="90">
        <v>15340</v>
      </c>
      <c r="D100" s="90">
        <v>15260</v>
      </c>
      <c r="E100" s="90">
        <v>15930</v>
      </c>
      <c r="F100" s="90">
        <v>2740</v>
      </c>
      <c r="G100" s="98">
        <v>10080</v>
      </c>
    </row>
    <row r="101" s="75" customFormat="1" ht="14.25" customHeight="1" spans="1:7">
      <c r="A101" s="90" t="s">
        <v>267</v>
      </c>
      <c r="B101" s="90" t="s">
        <v>2345</v>
      </c>
      <c r="C101" s="90">
        <v>14620</v>
      </c>
      <c r="D101" s="90">
        <v>14560</v>
      </c>
      <c r="E101" s="90">
        <v>15570</v>
      </c>
      <c r="F101" s="90">
        <v>3500</v>
      </c>
      <c r="G101" s="98">
        <v>9630</v>
      </c>
    </row>
    <row r="102" s="75" customFormat="1" ht="14.25" customHeight="1" spans="1:7">
      <c r="A102" s="90" t="s">
        <v>267</v>
      </c>
      <c r="B102" s="90" t="s">
        <v>2346</v>
      </c>
      <c r="C102" s="90">
        <v>13680</v>
      </c>
      <c r="D102" s="90">
        <v>13610</v>
      </c>
      <c r="E102" s="90">
        <v>15690</v>
      </c>
      <c r="F102" s="90">
        <v>2870</v>
      </c>
      <c r="G102" s="98">
        <v>8990</v>
      </c>
    </row>
    <row r="103" s="75" customFormat="1" ht="14.25" customHeight="1" spans="1:7">
      <c r="A103" s="90" t="s">
        <v>267</v>
      </c>
      <c r="B103" s="90" t="s">
        <v>2347</v>
      </c>
      <c r="C103" s="90">
        <v>14620</v>
      </c>
      <c r="D103" s="90">
        <v>14540</v>
      </c>
      <c r="E103" s="90">
        <v>15240</v>
      </c>
      <c r="F103" s="90">
        <v>2840</v>
      </c>
      <c r="G103" s="98">
        <v>9610</v>
      </c>
    </row>
    <row r="104" s="75" customFormat="1" ht="14.25" customHeight="1" spans="1:7">
      <c r="A104" s="90" t="s">
        <v>267</v>
      </c>
      <c r="B104" s="90" t="s">
        <v>2348</v>
      </c>
      <c r="C104" s="90">
        <v>13610</v>
      </c>
      <c r="D104" s="90">
        <v>13540</v>
      </c>
      <c r="E104" s="90">
        <v>15750</v>
      </c>
      <c r="F104" s="90">
        <v>2770</v>
      </c>
      <c r="G104" s="98">
        <v>8940</v>
      </c>
    </row>
    <row r="105" s="75" customFormat="1" ht="14.25" customHeight="1" spans="1:7">
      <c r="A105" s="90" t="s">
        <v>267</v>
      </c>
      <c r="B105" s="90" t="s">
        <v>2349</v>
      </c>
      <c r="C105" s="90">
        <v>13310</v>
      </c>
      <c r="D105" s="90">
        <v>13240</v>
      </c>
      <c r="E105" s="90">
        <v>16280</v>
      </c>
      <c r="F105" s="90">
        <v>3210</v>
      </c>
      <c r="G105" s="98">
        <v>8750</v>
      </c>
    </row>
    <row r="106" s="75" customFormat="1" ht="14.25" customHeight="1" spans="1:7">
      <c r="A106" s="90" t="s">
        <v>267</v>
      </c>
      <c r="B106" s="90" t="s">
        <v>2350</v>
      </c>
      <c r="C106" s="90">
        <v>13010</v>
      </c>
      <c r="D106" s="90">
        <v>12930</v>
      </c>
      <c r="E106" s="90">
        <v>14960</v>
      </c>
      <c r="F106" s="90">
        <v>3530</v>
      </c>
      <c r="G106" s="98">
        <v>8550</v>
      </c>
    </row>
    <row r="107" s="75" customFormat="1" ht="14.25" customHeight="1" spans="1:7">
      <c r="A107" s="90" t="s">
        <v>267</v>
      </c>
      <c r="B107" s="90" t="s">
        <v>2351</v>
      </c>
      <c r="C107" s="90">
        <v>13070</v>
      </c>
      <c r="D107" s="90">
        <v>13000</v>
      </c>
      <c r="E107" s="90">
        <v>15910</v>
      </c>
      <c r="F107" s="90">
        <v>3990</v>
      </c>
      <c r="G107" s="98">
        <v>8580</v>
      </c>
    </row>
    <row r="108" s="75" customFormat="1" ht="14.25" customHeight="1" spans="1:7">
      <c r="A108" s="90" t="s">
        <v>267</v>
      </c>
      <c r="B108" s="90" t="s">
        <v>2352</v>
      </c>
      <c r="C108" s="90">
        <v>12640</v>
      </c>
      <c r="D108" s="90">
        <v>12580</v>
      </c>
      <c r="E108" s="90">
        <v>15730</v>
      </c>
      <c r="F108" s="90"/>
      <c r="G108" s="98">
        <v>8310</v>
      </c>
    </row>
    <row r="109" s="75" customFormat="1" ht="14.25" customHeight="1" spans="1:7">
      <c r="A109" s="90" t="s">
        <v>267</v>
      </c>
      <c r="B109" s="90" t="s">
        <v>2353</v>
      </c>
      <c r="C109" s="90">
        <v>13130</v>
      </c>
      <c r="D109" s="90">
        <v>13070</v>
      </c>
      <c r="E109" s="90">
        <v>15000</v>
      </c>
      <c r="F109" s="90"/>
      <c r="G109" s="98">
        <v>8630</v>
      </c>
    </row>
    <row r="110" s="75" customFormat="1" ht="14.25" customHeight="1" spans="1:7">
      <c r="A110" s="90" t="s">
        <v>267</v>
      </c>
      <c r="B110" s="90" t="s">
        <v>2354</v>
      </c>
      <c r="C110" s="90">
        <v>13560</v>
      </c>
      <c r="D110" s="90">
        <v>13490</v>
      </c>
      <c r="E110" s="90">
        <v>16300</v>
      </c>
      <c r="F110" s="90"/>
      <c r="G110" s="98">
        <v>8920</v>
      </c>
    </row>
    <row r="111" s="75" customFormat="1" ht="14.25" customHeight="1" spans="1:7">
      <c r="A111" s="90" t="s">
        <v>267</v>
      </c>
      <c r="B111" s="90" t="s">
        <v>2355</v>
      </c>
      <c r="C111" s="90">
        <v>12440</v>
      </c>
      <c r="D111" s="90">
        <v>12380</v>
      </c>
      <c r="E111" s="90">
        <v>17850</v>
      </c>
      <c r="F111" s="90"/>
      <c r="G111" s="98">
        <v>8180</v>
      </c>
    </row>
    <row r="112" s="75" customFormat="1" ht="14.25" customHeight="1" spans="1:7">
      <c r="A112" s="90" t="s">
        <v>267</v>
      </c>
      <c r="B112" s="90" t="s">
        <v>2356</v>
      </c>
      <c r="C112" s="90">
        <v>13260</v>
      </c>
      <c r="D112" s="90">
        <v>13180</v>
      </c>
      <c r="E112" s="90">
        <v>19740</v>
      </c>
      <c r="F112" s="90"/>
      <c r="G112" s="98">
        <v>8710</v>
      </c>
    </row>
    <row r="113" s="75" customFormat="1" ht="14.25" customHeight="1" spans="1:7">
      <c r="A113" s="90" t="s">
        <v>267</v>
      </c>
      <c r="B113" s="90" t="s">
        <v>2357</v>
      </c>
      <c r="C113" s="90">
        <v>15520</v>
      </c>
      <c r="D113" s="90">
        <v>15450</v>
      </c>
      <c r="E113" s="90"/>
      <c r="F113" s="90"/>
      <c r="G113" s="98">
        <v>10210</v>
      </c>
    </row>
    <row r="114" s="75" customFormat="1" ht="14.25" customHeight="1" spans="1:7">
      <c r="A114" s="90" t="s">
        <v>267</v>
      </c>
      <c r="B114" s="90" t="s">
        <v>2358</v>
      </c>
      <c r="C114" s="90">
        <v>13110</v>
      </c>
      <c r="D114" s="90">
        <v>13050</v>
      </c>
      <c r="E114" s="90"/>
      <c r="F114" s="90"/>
      <c r="G114" s="98">
        <v>8620</v>
      </c>
    </row>
    <row r="115" s="75" customFormat="1" ht="14.25" customHeight="1" spans="1:7">
      <c r="A115" s="90" t="s">
        <v>267</v>
      </c>
      <c r="B115" s="90" t="s">
        <v>2359</v>
      </c>
      <c r="C115" s="90">
        <v>12460</v>
      </c>
      <c r="D115" s="90">
        <v>12390</v>
      </c>
      <c r="E115" s="90"/>
      <c r="F115" s="90"/>
      <c r="G115" s="98">
        <v>8190</v>
      </c>
    </row>
    <row r="116" s="75" customFormat="1" ht="14.25" customHeight="1" spans="1:7">
      <c r="A116" s="90" t="s">
        <v>267</v>
      </c>
      <c r="B116" s="90" t="s">
        <v>2360</v>
      </c>
      <c r="C116" s="90">
        <v>13580</v>
      </c>
      <c r="D116" s="90">
        <v>13520</v>
      </c>
      <c r="E116" s="90"/>
      <c r="F116" s="90"/>
      <c r="G116" s="98">
        <v>8930</v>
      </c>
    </row>
    <row r="117" s="75" customFormat="1" ht="14.25" customHeight="1" spans="1:7">
      <c r="A117" s="90" t="s">
        <v>267</v>
      </c>
      <c r="B117" s="90" t="s">
        <v>2361</v>
      </c>
      <c r="C117" s="90">
        <v>17120</v>
      </c>
      <c r="D117" s="90">
        <v>17040</v>
      </c>
      <c r="E117" s="90"/>
      <c r="F117" s="90"/>
      <c r="G117" s="98">
        <v>11260</v>
      </c>
    </row>
    <row r="118" s="75" customFormat="1" ht="14.25" customHeight="1" spans="1:7">
      <c r="A118" s="90" t="s">
        <v>267</v>
      </c>
      <c r="B118" s="90" t="s">
        <v>2362</v>
      </c>
      <c r="C118" s="90">
        <v>14860</v>
      </c>
      <c r="D118" s="90">
        <v>14790</v>
      </c>
      <c r="E118" s="90"/>
      <c r="F118" s="90"/>
      <c r="G118" s="98">
        <v>9780</v>
      </c>
    </row>
    <row r="119" s="75" customFormat="1" ht="14.25" customHeight="1" spans="1:7">
      <c r="A119" s="90" t="s">
        <v>267</v>
      </c>
      <c r="B119" s="90" t="s">
        <v>2363</v>
      </c>
      <c r="C119" s="90">
        <v>16470</v>
      </c>
      <c r="D119" s="90">
        <v>16400</v>
      </c>
      <c r="E119" s="90"/>
      <c r="F119" s="90"/>
      <c r="G119" s="98">
        <v>10840</v>
      </c>
    </row>
    <row r="120" s="75" customFormat="1" ht="14.25" customHeight="1" spans="1:7">
      <c r="A120" s="90" t="s">
        <v>267</v>
      </c>
      <c r="B120" s="90" t="s">
        <v>2364</v>
      </c>
      <c r="C120" s="90"/>
      <c r="D120" s="90"/>
      <c r="E120" s="90"/>
      <c r="F120" s="90">
        <v>4160</v>
      </c>
      <c r="G120" s="98"/>
    </row>
    <row r="121" s="75" customFormat="1" ht="14.25" customHeight="1" spans="1:7">
      <c r="A121" s="90" t="s">
        <v>267</v>
      </c>
      <c r="B121" s="90" t="s">
        <v>2365</v>
      </c>
      <c r="C121" s="90"/>
      <c r="D121" s="90"/>
      <c r="E121" s="90"/>
      <c r="F121" s="90">
        <v>3880</v>
      </c>
      <c r="G121" s="98"/>
    </row>
    <row r="122" s="75" customFormat="1" ht="14.25" customHeight="1" spans="1:7">
      <c r="A122" s="90" t="s">
        <v>267</v>
      </c>
      <c r="B122" s="90" t="s">
        <v>2366</v>
      </c>
      <c r="C122" s="90">
        <v>13750</v>
      </c>
      <c r="D122" s="90">
        <v>13680</v>
      </c>
      <c r="E122" s="90">
        <v>16460</v>
      </c>
      <c r="F122" s="90">
        <v>2880</v>
      </c>
      <c r="G122" s="98">
        <v>9040</v>
      </c>
    </row>
    <row r="123" s="75" customFormat="1" ht="14.25" customHeight="1" spans="1:7">
      <c r="A123" s="90" t="s">
        <v>267</v>
      </c>
      <c r="B123" s="90" t="s">
        <v>2367</v>
      </c>
      <c r="C123" s="90">
        <v>13590</v>
      </c>
      <c r="D123" s="90">
        <v>13520</v>
      </c>
      <c r="E123" s="90">
        <v>16290</v>
      </c>
      <c r="F123" s="90">
        <v>2790</v>
      </c>
      <c r="G123" s="98">
        <v>8930</v>
      </c>
    </row>
    <row r="124" s="75" customFormat="1" ht="14.25" customHeight="1" spans="1:7">
      <c r="A124" s="90" t="s">
        <v>267</v>
      </c>
      <c r="B124" s="90" t="s">
        <v>2368</v>
      </c>
      <c r="C124" s="90">
        <v>13400</v>
      </c>
      <c r="D124" s="90">
        <v>13320</v>
      </c>
      <c r="E124" s="90">
        <v>16100</v>
      </c>
      <c r="F124" s="90">
        <v>2320</v>
      </c>
      <c r="G124" s="98">
        <v>8800</v>
      </c>
    </row>
    <row r="125" s="75" customFormat="1" ht="14.25" customHeight="1" spans="1:7">
      <c r="A125" s="90" t="s">
        <v>267</v>
      </c>
      <c r="B125" s="90" t="s">
        <v>2369</v>
      </c>
      <c r="C125" s="90">
        <v>12860</v>
      </c>
      <c r="D125" s="90">
        <v>12790</v>
      </c>
      <c r="E125" s="90">
        <v>15370</v>
      </c>
      <c r="F125" s="90">
        <v>2280</v>
      </c>
      <c r="G125" s="98">
        <v>8450</v>
      </c>
    </row>
    <row r="126" s="75" customFormat="1" ht="14.25" customHeight="1" spans="1:7">
      <c r="A126" s="99" t="s">
        <v>267</v>
      </c>
      <c r="B126" s="94" t="s">
        <v>2370</v>
      </c>
      <c r="C126" s="94">
        <v>12960</v>
      </c>
      <c r="D126" s="94">
        <v>12890</v>
      </c>
      <c r="E126" s="94">
        <v>15530</v>
      </c>
      <c r="F126" s="94">
        <v>2910</v>
      </c>
      <c r="G126" s="100">
        <v>8520</v>
      </c>
    </row>
    <row r="127" s="75" customFormat="1" ht="14.25" customHeight="1" spans="1:7">
      <c r="A127" s="88" t="s">
        <v>273</v>
      </c>
      <c r="B127" s="89" t="s">
        <v>2371</v>
      </c>
      <c r="C127" s="90">
        <v>12280</v>
      </c>
      <c r="D127" s="90">
        <v>12250</v>
      </c>
      <c r="E127" s="90">
        <v>15130</v>
      </c>
      <c r="F127" s="90">
        <v>2710</v>
      </c>
      <c r="G127" s="90">
        <v>7870</v>
      </c>
    </row>
    <row r="128" s="75" customFormat="1" ht="14.25" customHeight="1" spans="1:7">
      <c r="A128" s="90" t="s">
        <v>273</v>
      </c>
      <c r="B128" s="90" t="s">
        <v>2372</v>
      </c>
      <c r="C128" s="90">
        <v>13180</v>
      </c>
      <c r="D128" s="90">
        <v>13150</v>
      </c>
      <c r="E128" s="90">
        <v>16190</v>
      </c>
      <c r="F128" s="90">
        <v>2820</v>
      </c>
      <c r="G128" s="90">
        <v>8460</v>
      </c>
    </row>
    <row r="129" s="75" customFormat="1" ht="14.25" customHeight="1" spans="1:7">
      <c r="A129" s="90" t="s">
        <v>273</v>
      </c>
      <c r="B129" s="90" t="s">
        <v>2373</v>
      </c>
      <c r="C129" s="90">
        <v>10950</v>
      </c>
      <c r="D129" s="90">
        <v>10920</v>
      </c>
      <c r="E129" s="90">
        <v>13820</v>
      </c>
      <c r="F129" s="90">
        <v>2500</v>
      </c>
      <c r="G129" s="90">
        <v>7020</v>
      </c>
    </row>
    <row r="130" s="75" customFormat="1" ht="14.25" customHeight="1" spans="1:7">
      <c r="A130" s="90" t="s">
        <v>273</v>
      </c>
      <c r="B130" s="90" t="s">
        <v>2374</v>
      </c>
      <c r="C130" s="90">
        <v>10910</v>
      </c>
      <c r="D130" s="90">
        <v>10860</v>
      </c>
      <c r="E130" s="90">
        <v>13730</v>
      </c>
      <c r="F130" s="90">
        <v>2760</v>
      </c>
      <c r="G130" s="90">
        <v>6990</v>
      </c>
    </row>
    <row r="131" s="75" customFormat="1" ht="14.25" customHeight="1" spans="1:7">
      <c r="A131" s="90" t="s">
        <v>273</v>
      </c>
      <c r="B131" s="90" t="s">
        <v>2375</v>
      </c>
      <c r="C131" s="90">
        <v>12910</v>
      </c>
      <c r="D131" s="90">
        <v>12870</v>
      </c>
      <c r="E131" s="90">
        <v>15720</v>
      </c>
      <c r="F131" s="90">
        <v>2750</v>
      </c>
      <c r="G131" s="90">
        <v>8280</v>
      </c>
    </row>
    <row r="132" s="75" customFormat="1" ht="14.25" customHeight="1" spans="1:7">
      <c r="A132" s="90" t="s">
        <v>273</v>
      </c>
      <c r="B132" s="90" t="s">
        <v>2376</v>
      </c>
      <c r="C132" s="90">
        <v>11910</v>
      </c>
      <c r="D132" s="90">
        <v>11860</v>
      </c>
      <c r="E132" s="90">
        <v>14730</v>
      </c>
      <c r="F132" s="90">
        <v>2360</v>
      </c>
      <c r="G132" s="90">
        <v>7630</v>
      </c>
    </row>
    <row r="133" s="75" customFormat="1" ht="14.25" customHeight="1" spans="1:7">
      <c r="A133" s="90" t="s">
        <v>273</v>
      </c>
      <c r="B133" s="90" t="s">
        <v>2377</v>
      </c>
      <c r="C133" s="90">
        <v>12270</v>
      </c>
      <c r="D133" s="90">
        <v>12210</v>
      </c>
      <c r="E133" s="90">
        <v>15010</v>
      </c>
      <c r="F133" s="90">
        <v>2580</v>
      </c>
      <c r="G133" s="90">
        <v>7860</v>
      </c>
    </row>
    <row r="134" s="75" customFormat="1" ht="14.25" customHeight="1" spans="1:7">
      <c r="A134" s="90" t="s">
        <v>273</v>
      </c>
      <c r="B134" s="90" t="s">
        <v>2378</v>
      </c>
      <c r="C134" s="90">
        <v>10800</v>
      </c>
      <c r="D134" s="90">
        <v>10780</v>
      </c>
      <c r="E134" s="90">
        <v>13640</v>
      </c>
      <c r="F134" s="90">
        <v>2110</v>
      </c>
      <c r="G134" s="90">
        <v>6930</v>
      </c>
    </row>
    <row r="135" s="75" customFormat="1" ht="14.25" customHeight="1" spans="1:7">
      <c r="A135" s="90" t="s">
        <v>273</v>
      </c>
      <c r="B135" s="90" t="s">
        <v>2379</v>
      </c>
      <c r="C135" s="90">
        <v>10430</v>
      </c>
      <c r="D135" s="90">
        <v>10390</v>
      </c>
      <c r="E135" s="90">
        <v>13140</v>
      </c>
      <c r="F135" s="90">
        <v>2240</v>
      </c>
      <c r="G135" s="90">
        <v>6680</v>
      </c>
    </row>
    <row r="136" s="75" customFormat="1" ht="14.25" customHeight="1" spans="1:7">
      <c r="A136" s="90" t="s">
        <v>273</v>
      </c>
      <c r="B136" s="90" t="s">
        <v>2380</v>
      </c>
      <c r="C136" s="90">
        <v>11930</v>
      </c>
      <c r="D136" s="90">
        <v>11880</v>
      </c>
      <c r="E136" s="90">
        <v>14770</v>
      </c>
      <c r="F136" s="90">
        <v>1970</v>
      </c>
      <c r="G136" s="90">
        <v>7640</v>
      </c>
    </row>
    <row r="137" s="75" customFormat="1" ht="14.25" customHeight="1" spans="1:7">
      <c r="A137" s="90" t="s">
        <v>273</v>
      </c>
      <c r="B137" s="90" t="s">
        <v>2381</v>
      </c>
      <c r="C137" s="90">
        <v>10470</v>
      </c>
      <c r="D137" s="90">
        <v>10430</v>
      </c>
      <c r="E137" s="90">
        <v>13190</v>
      </c>
      <c r="F137" s="90">
        <v>1990</v>
      </c>
      <c r="G137" s="90">
        <v>6710</v>
      </c>
    </row>
    <row r="138" s="75" customFormat="1" ht="14.25" customHeight="1" spans="1:7">
      <c r="A138" s="90" t="s">
        <v>273</v>
      </c>
      <c r="B138" s="90" t="s">
        <v>2382</v>
      </c>
      <c r="C138" s="90">
        <v>10410</v>
      </c>
      <c r="D138" s="90">
        <v>10380</v>
      </c>
      <c r="E138" s="90">
        <v>13130</v>
      </c>
      <c r="F138" s="90">
        <v>2030</v>
      </c>
      <c r="G138" s="90">
        <v>6680</v>
      </c>
    </row>
    <row r="139" s="75" customFormat="1" ht="14.25" customHeight="1" spans="1:7">
      <c r="A139" s="90" t="s">
        <v>273</v>
      </c>
      <c r="B139" s="90" t="s">
        <v>2383</v>
      </c>
      <c r="C139" s="90">
        <v>9460</v>
      </c>
      <c r="D139" s="90">
        <v>9410</v>
      </c>
      <c r="E139" s="90">
        <v>12050</v>
      </c>
      <c r="F139" s="90">
        <v>2140</v>
      </c>
      <c r="G139" s="90">
        <v>6050</v>
      </c>
    </row>
    <row r="140" s="75" customFormat="1" ht="14.25" customHeight="1" spans="1:7">
      <c r="A140" s="90" t="s">
        <v>273</v>
      </c>
      <c r="B140" s="90" t="s">
        <v>2384</v>
      </c>
      <c r="C140" s="90">
        <v>11030</v>
      </c>
      <c r="D140" s="90">
        <v>10980</v>
      </c>
      <c r="E140" s="90">
        <v>13880</v>
      </c>
      <c r="F140" s="90">
        <v>2210</v>
      </c>
      <c r="G140" s="90">
        <v>7060</v>
      </c>
    </row>
    <row r="141" s="75" customFormat="1" ht="14.25" customHeight="1" spans="1:7">
      <c r="A141" s="90" t="s">
        <v>273</v>
      </c>
      <c r="B141" s="90" t="s">
        <v>2385</v>
      </c>
      <c r="C141" s="90">
        <v>11200</v>
      </c>
      <c r="D141" s="90">
        <v>11150</v>
      </c>
      <c r="E141" s="90">
        <v>14100</v>
      </c>
      <c r="F141" s="90">
        <v>2470</v>
      </c>
      <c r="G141" s="90">
        <v>7170</v>
      </c>
    </row>
    <row r="142" s="75" customFormat="1" ht="14.25" customHeight="1" spans="1:7">
      <c r="A142" s="90" t="s">
        <v>273</v>
      </c>
      <c r="B142" s="90" t="s">
        <v>2386</v>
      </c>
      <c r="C142" s="90">
        <v>10780</v>
      </c>
      <c r="D142" s="90">
        <v>10730</v>
      </c>
      <c r="E142" s="90">
        <v>13540</v>
      </c>
      <c r="F142" s="90">
        <v>2280</v>
      </c>
      <c r="G142" s="90">
        <v>6900</v>
      </c>
    </row>
    <row r="143" s="75" customFormat="1" ht="14.25" customHeight="1" spans="1:7">
      <c r="A143" s="90" t="s">
        <v>273</v>
      </c>
      <c r="B143" s="90" t="s">
        <v>2387</v>
      </c>
      <c r="C143" s="90">
        <v>11550</v>
      </c>
      <c r="D143" s="90">
        <v>11490</v>
      </c>
      <c r="E143" s="90">
        <v>14480</v>
      </c>
      <c r="F143" s="90">
        <v>2070</v>
      </c>
      <c r="G143" s="90">
        <v>7390</v>
      </c>
    </row>
    <row r="144" s="75" customFormat="1" ht="14.25" customHeight="1" spans="1:7">
      <c r="A144" s="90" t="s">
        <v>273</v>
      </c>
      <c r="B144" s="90" t="s">
        <v>2388</v>
      </c>
      <c r="C144" s="90">
        <v>10720</v>
      </c>
      <c r="D144" s="90">
        <v>10680</v>
      </c>
      <c r="E144" s="90">
        <v>13480</v>
      </c>
      <c r="F144" s="90">
        <v>2440</v>
      </c>
      <c r="G144" s="90">
        <v>6870</v>
      </c>
    </row>
    <row r="145" s="75" customFormat="1" ht="14.25" customHeight="1" spans="1:7">
      <c r="A145" s="90" t="s">
        <v>273</v>
      </c>
      <c r="B145" s="90" t="s">
        <v>2389</v>
      </c>
      <c r="C145" s="90">
        <v>10340</v>
      </c>
      <c r="D145" s="90">
        <v>10290</v>
      </c>
      <c r="E145" s="90">
        <v>12880</v>
      </c>
      <c r="F145" s="90">
        <v>2650</v>
      </c>
      <c r="G145" s="90">
        <v>6620</v>
      </c>
    </row>
    <row r="146" s="75" customFormat="1" ht="14.25" customHeight="1" spans="1:7">
      <c r="A146" s="90" t="s">
        <v>273</v>
      </c>
      <c r="B146" s="90" t="s">
        <v>2390</v>
      </c>
      <c r="C146" s="90">
        <v>11890</v>
      </c>
      <c r="D146" s="90">
        <v>11830</v>
      </c>
      <c r="E146" s="90">
        <v>14670</v>
      </c>
      <c r="F146" s="90"/>
      <c r="G146" s="90">
        <v>7610</v>
      </c>
    </row>
    <row r="147" s="75" customFormat="1" ht="14.25" customHeight="1" spans="1:7">
      <c r="A147" s="90" t="s">
        <v>273</v>
      </c>
      <c r="B147" s="90" t="s">
        <v>2391</v>
      </c>
      <c r="C147" s="90">
        <v>12650</v>
      </c>
      <c r="D147" s="90">
        <v>12600</v>
      </c>
      <c r="E147" s="90">
        <v>15440</v>
      </c>
      <c r="F147" s="90"/>
      <c r="G147" s="90">
        <v>8110</v>
      </c>
    </row>
    <row r="148" s="75" customFormat="1" ht="14.25" customHeight="1" spans="1:7">
      <c r="A148" s="90" t="s">
        <v>273</v>
      </c>
      <c r="B148" s="90" t="s">
        <v>2392</v>
      </c>
      <c r="C148" s="90">
        <v>10370</v>
      </c>
      <c r="D148" s="90">
        <v>10310</v>
      </c>
      <c r="E148" s="90">
        <v>12970</v>
      </c>
      <c r="F148" s="90"/>
      <c r="G148" s="90">
        <v>6630</v>
      </c>
    </row>
    <row r="149" s="75" customFormat="1" ht="14.25" customHeight="1" spans="1:7">
      <c r="A149" s="90" t="s">
        <v>273</v>
      </c>
      <c r="B149" s="90" t="s">
        <v>2393</v>
      </c>
      <c r="C149" s="90">
        <v>11600</v>
      </c>
      <c r="D149" s="90">
        <v>11560</v>
      </c>
      <c r="E149" s="90">
        <v>14540</v>
      </c>
      <c r="F149" s="90">
        <v>2390</v>
      </c>
      <c r="G149" s="90">
        <v>7430</v>
      </c>
    </row>
    <row r="150" s="75" customFormat="1" ht="14.25" customHeight="1" spans="1:7">
      <c r="A150" s="90" t="s">
        <v>273</v>
      </c>
      <c r="B150" s="90" t="s">
        <v>2394</v>
      </c>
      <c r="C150" s="90">
        <v>9950</v>
      </c>
      <c r="D150" s="90">
        <v>9890</v>
      </c>
      <c r="E150" s="90">
        <v>12590</v>
      </c>
      <c r="F150" s="90">
        <v>1970</v>
      </c>
      <c r="G150" s="90">
        <v>6360</v>
      </c>
    </row>
    <row r="151" s="75" customFormat="1" ht="14.25" customHeight="1" spans="1:7">
      <c r="A151" s="90" t="s">
        <v>273</v>
      </c>
      <c r="B151" s="90" t="s">
        <v>2395</v>
      </c>
      <c r="C151" s="90">
        <v>10700</v>
      </c>
      <c r="D151" s="90">
        <v>10650</v>
      </c>
      <c r="E151" s="90">
        <v>13420</v>
      </c>
      <c r="F151" s="90">
        <v>2020</v>
      </c>
      <c r="G151" s="90">
        <v>6850</v>
      </c>
    </row>
    <row r="152" s="75" customFormat="1" ht="14.25" customHeight="1" spans="1:7">
      <c r="A152" s="90" t="s">
        <v>273</v>
      </c>
      <c r="B152" s="90" t="s">
        <v>2396</v>
      </c>
      <c r="C152" s="90">
        <v>10310</v>
      </c>
      <c r="D152" s="90">
        <v>10260</v>
      </c>
      <c r="E152" s="90">
        <v>12820</v>
      </c>
      <c r="F152" s="90">
        <v>1980</v>
      </c>
      <c r="G152" s="90">
        <v>6600</v>
      </c>
    </row>
    <row r="153" s="75" customFormat="1" ht="14.25" customHeight="1" spans="1:7">
      <c r="A153" s="90" t="s">
        <v>273</v>
      </c>
      <c r="B153" s="90" t="s">
        <v>2397</v>
      </c>
      <c r="C153" s="90">
        <v>10880</v>
      </c>
      <c r="D153" s="90">
        <v>10820</v>
      </c>
      <c r="E153" s="90">
        <v>13660</v>
      </c>
      <c r="F153" s="90">
        <v>2260</v>
      </c>
      <c r="G153" s="90">
        <v>6970</v>
      </c>
    </row>
    <row r="154" s="75" customFormat="1" ht="14.25" customHeight="1" spans="1:7">
      <c r="A154" s="90" t="s">
        <v>273</v>
      </c>
      <c r="B154" s="90" t="s">
        <v>2398</v>
      </c>
      <c r="C154" s="90">
        <v>11220</v>
      </c>
      <c r="D154" s="90">
        <v>11160</v>
      </c>
      <c r="E154" s="90">
        <v>14130</v>
      </c>
      <c r="F154" s="90">
        <v>2230</v>
      </c>
      <c r="G154" s="90">
        <v>7180</v>
      </c>
    </row>
    <row r="155" s="75" customFormat="1" ht="14.25" customHeight="1" spans="1:7">
      <c r="A155" s="90" t="s">
        <v>273</v>
      </c>
      <c r="B155" s="90" t="s">
        <v>2399</v>
      </c>
      <c r="C155" s="90">
        <v>10430</v>
      </c>
      <c r="D155" s="90">
        <v>10380</v>
      </c>
      <c r="E155" s="90">
        <v>13140</v>
      </c>
      <c r="F155" s="90">
        <v>2080</v>
      </c>
      <c r="G155" s="90">
        <v>6650</v>
      </c>
    </row>
    <row r="156" s="75" customFormat="1" ht="14.25" customHeight="1" spans="1:7">
      <c r="A156" s="90" t="s">
        <v>273</v>
      </c>
      <c r="B156" s="90" t="s">
        <v>2400</v>
      </c>
      <c r="C156" s="90">
        <v>10440</v>
      </c>
      <c r="D156" s="90">
        <v>10400</v>
      </c>
      <c r="E156" s="90">
        <v>13150</v>
      </c>
      <c r="F156" s="90">
        <v>2490</v>
      </c>
      <c r="G156" s="90">
        <v>6690</v>
      </c>
    </row>
    <row r="157" s="75" customFormat="1" ht="14.25" customHeight="1" spans="1:7">
      <c r="A157" s="90" t="s">
        <v>273</v>
      </c>
      <c r="B157" s="90" t="s">
        <v>2401</v>
      </c>
      <c r="C157" s="90">
        <v>10970</v>
      </c>
      <c r="D157" s="90">
        <v>10920</v>
      </c>
      <c r="E157" s="90">
        <v>13840</v>
      </c>
      <c r="F157" s="90">
        <v>2420</v>
      </c>
      <c r="G157" s="90">
        <v>7020</v>
      </c>
    </row>
    <row r="158" s="75" customFormat="1" ht="14.25" customHeight="1" spans="1:7">
      <c r="A158" s="90" t="s">
        <v>273</v>
      </c>
      <c r="B158" s="90" t="s">
        <v>2402</v>
      </c>
      <c r="C158" s="90">
        <v>9590</v>
      </c>
      <c r="D158" s="90">
        <v>9540</v>
      </c>
      <c r="E158" s="90">
        <v>12210</v>
      </c>
      <c r="F158" s="90">
        <v>2100</v>
      </c>
      <c r="G158" s="90">
        <v>6130</v>
      </c>
    </row>
    <row r="159" s="75" customFormat="1" ht="14.25" customHeight="1" spans="1:7">
      <c r="A159" s="90" t="s">
        <v>273</v>
      </c>
      <c r="B159" s="90" t="s">
        <v>2403</v>
      </c>
      <c r="C159" s="90">
        <v>11190</v>
      </c>
      <c r="D159" s="90">
        <v>11140</v>
      </c>
      <c r="E159" s="90">
        <v>14090</v>
      </c>
      <c r="F159" s="90">
        <v>2470</v>
      </c>
      <c r="G159" s="90">
        <v>7170</v>
      </c>
    </row>
    <row r="160" s="75" customFormat="1" ht="14.25" customHeight="1" spans="1:7">
      <c r="A160" s="90" t="s">
        <v>273</v>
      </c>
      <c r="B160" s="90" t="s">
        <v>2404</v>
      </c>
      <c r="C160" s="90">
        <v>11180</v>
      </c>
      <c r="D160" s="90">
        <v>11140</v>
      </c>
      <c r="E160" s="90">
        <v>14050</v>
      </c>
      <c r="F160" s="90">
        <v>2270</v>
      </c>
      <c r="G160" s="90">
        <v>7170</v>
      </c>
    </row>
    <row r="161" s="75" customFormat="1" ht="14.25" customHeight="1" spans="1:7">
      <c r="A161" s="90" t="s">
        <v>273</v>
      </c>
      <c r="B161" s="90" t="s">
        <v>2405</v>
      </c>
      <c r="C161" s="90">
        <v>11160</v>
      </c>
      <c r="D161" s="90">
        <v>11120</v>
      </c>
      <c r="E161" s="90">
        <v>14020</v>
      </c>
      <c r="F161" s="90">
        <v>2150</v>
      </c>
      <c r="G161" s="90">
        <v>7160</v>
      </c>
    </row>
    <row r="162" s="75" customFormat="1" ht="14.25" customHeight="1" spans="1:7">
      <c r="A162" s="90" t="s">
        <v>273</v>
      </c>
      <c r="B162" s="90" t="s">
        <v>2406</v>
      </c>
      <c r="C162" s="90">
        <v>9620</v>
      </c>
      <c r="D162" s="90">
        <v>9570</v>
      </c>
      <c r="E162" s="90">
        <v>12320</v>
      </c>
      <c r="F162" s="90">
        <v>2010</v>
      </c>
      <c r="G162" s="90">
        <v>6160</v>
      </c>
    </row>
    <row r="163" s="75" customFormat="1" ht="14.25" customHeight="1" spans="1:7">
      <c r="A163" s="90" t="s">
        <v>273</v>
      </c>
      <c r="B163" s="90" t="s">
        <v>2407</v>
      </c>
      <c r="C163" s="90">
        <v>9320</v>
      </c>
      <c r="D163" s="90">
        <v>9270</v>
      </c>
      <c r="E163" s="90">
        <v>11790</v>
      </c>
      <c r="F163" s="90">
        <v>1920</v>
      </c>
      <c r="G163" s="90">
        <v>5960</v>
      </c>
    </row>
    <row r="164" s="75" customFormat="1" ht="14.25" customHeight="1" spans="1:7">
      <c r="A164" s="90" t="s">
        <v>273</v>
      </c>
      <c r="B164" s="90" t="s">
        <v>2408</v>
      </c>
      <c r="C164" s="90"/>
      <c r="D164" s="90"/>
      <c r="E164" s="90"/>
      <c r="F164" s="90">
        <v>1980</v>
      </c>
      <c r="G164" s="90"/>
    </row>
    <row r="165" s="75" customFormat="1" ht="14.25" customHeight="1" spans="1:7">
      <c r="A165" s="90" t="s">
        <v>273</v>
      </c>
      <c r="B165" s="90" t="s">
        <v>2409</v>
      </c>
      <c r="C165" s="90">
        <v>11060</v>
      </c>
      <c r="D165" s="90">
        <v>11030</v>
      </c>
      <c r="E165" s="90">
        <v>13850</v>
      </c>
      <c r="F165" s="90">
        <v>2170</v>
      </c>
      <c r="G165" s="90">
        <v>7090</v>
      </c>
    </row>
    <row r="166" s="75" customFormat="1" ht="14.25" customHeight="1" spans="1:7">
      <c r="A166" s="90" t="s">
        <v>273</v>
      </c>
      <c r="B166" s="90" t="s">
        <v>2410</v>
      </c>
      <c r="C166" s="90">
        <v>11050</v>
      </c>
      <c r="D166" s="90">
        <v>11010</v>
      </c>
      <c r="E166" s="90">
        <v>13920</v>
      </c>
      <c r="F166" s="90">
        <v>2140</v>
      </c>
      <c r="G166" s="90">
        <v>7080</v>
      </c>
    </row>
    <row r="167" s="75" customFormat="1" ht="14.25" customHeight="1" spans="1:7">
      <c r="A167" s="90" t="s">
        <v>273</v>
      </c>
      <c r="B167" s="90" t="s">
        <v>2411</v>
      </c>
      <c r="C167" s="90">
        <v>10930</v>
      </c>
      <c r="D167" s="90">
        <v>10890</v>
      </c>
      <c r="E167" s="90">
        <v>13790</v>
      </c>
      <c r="F167" s="90">
        <v>2010</v>
      </c>
      <c r="G167" s="90">
        <v>7000</v>
      </c>
    </row>
    <row r="168" s="75" customFormat="1" ht="14.25" customHeight="1" spans="1:7">
      <c r="A168" s="90" t="s">
        <v>273</v>
      </c>
      <c r="B168" s="90" t="s">
        <v>2412</v>
      </c>
      <c r="C168" s="90">
        <v>9420</v>
      </c>
      <c r="D168" s="90">
        <v>9380</v>
      </c>
      <c r="E168" s="90">
        <v>11970</v>
      </c>
      <c r="F168" s="90"/>
      <c r="G168" s="90">
        <v>6040</v>
      </c>
    </row>
    <row r="169" s="75" customFormat="1" ht="14.25" customHeight="1" spans="1:7">
      <c r="A169" s="90" t="s">
        <v>273</v>
      </c>
      <c r="B169" s="90" t="s">
        <v>2413</v>
      </c>
      <c r="C169" s="90"/>
      <c r="D169" s="90"/>
      <c r="E169" s="90"/>
      <c r="F169" s="90">
        <v>2880</v>
      </c>
      <c r="G169" s="90"/>
    </row>
    <row r="170" s="75" customFormat="1" ht="14.25" customHeight="1" spans="1:7">
      <c r="A170" s="90" t="s">
        <v>273</v>
      </c>
      <c r="B170" s="90" t="s">
        <v>2414</v>
      </c>
      <c r="C170" s="90"/>
      <c r="D170" s="90"/>
      <c r="E170" s="90"/>
      <c r="F170" s="90">
        <v>2880</v>
      </c>
      <c r="G170" s="90"/>
    </row>
    <row r="171" s="75" customFormat="1" ht="14.25" customHeight="1" spans="1:7">
      <c r="A171" s="90" t="s">
        <v>273</v>
      </c>
      <c r="B171" s="90" t="s">
        <v>2415</v>
      </c>
      <c r="C171" s="90"/>
      <c r="D171" s="90"/>
      <c r="E171" s="90"/>
      <c r="F171" s="90">
        <v>2880</v>
      </c>
      <c r="G171" s="90"/>
    </row>
    <row r="172" s="75" customFormat="1" ht="14.25" customHeight="1" spans="1:7">
      <c r="A172" s="90" t="s">
        <v>273</v>
      </c>
      <c r="B172" s="90" t="s">
        <v>2416</v>
      </c>
      <c r="C172" s="90"/>
      <c r="D172" s="90"/>
      <c r="E172" s="90"/>
      <c r="F172" s="90">
        <v>2880</v>
      </c>
      <c r="G172" s="90"/>
    </row>
    <row r="173" s="75" customFormat="1" ht="14.25" customHeight="1" spans="1:7">
      <c r="A173" s="90" t="s">
        <v>273</v>
      </c>
      <c r="B173" s="90" t="s">
        <v>2417</v>
      </c>
      <c r="C173" s="90"/>
      <c r="D173" s="90"/>
      <c r="E173" s="90"/>
      <c r="F173" s="90">
        <v>2150</v>
      </c>
      <c r="G173" s="90"/>
    </row>
    <row r="174" s="75" customFormat="1" ht="14.25" customHeight="1" spans="1:7">
      <c r="A174" s="90" t="s">
        <v>273</v>
      </c>
      <c r="B174" s="90" t="s">
        <v>2418</v>
      </c>
      <c r="C174" s="90"/>
      <c r="D174" s="90"/>
      <c r="E174" s="90"/>
      <c r="F174" s="90">
        <v>2030</v>
      </c>
      <c r="G174" s="90"/>
    </row>
    <row r="175" s="75" customFormat="1" ht="14.25" customHeight="1" spans="1:7">
      <c r="A175" s="90" t="s">
        <v>273</v>
      </c>
      <c r="B175" s="90" t="s">
        <v>2419</v>
      </c>
      <c r="C175" s="90"/>
      <c r="D175" s="90"/>
      <c r="E175" s="90"/>
      <c r="F175" s="90">
        <v>2780</v>
      </c>
      <c r="G175" s="90"/>
    </row>
    <row r="176" s="75" customFormat="1" ht="14.25" customHeight="1" spans="1:7">
      <c r="A176" s="90" t="s">
        <v>273</v>
      </c>
      <c r="B176" s="90" t="s">
        <v>2420</v>
      </c>
      <c r="C176" s="90"/>
      <c r="D176" s="90"/>
      <c r="E176" s="90"/>
      <c r="F176" s="90">
        <v>2780</v>
      </c>
      <c r="G176" s="90"/>
    </row>
    <row r="177" s="75" customFormat="1" ht="14.25" customHeight="1" spans="1:7">
      <c r="A177" s="90" t="s">
        <v>273</v>
      </c>
      <c r="B177" s="90" t="s">
        <v>2421</v>
      </c>
      <c r="C177" s="90"/>
      <c r="D177" s="90"/>
      <c r="E177" s="90"/>
      <c r="F177" s="90">
        <v>2780</v>
      </c>
      <c r="G177" s="90"/>
    </row>
    <row r="178" s="75" customFormat="1" ht="14.25" customHeight="1" spans="1:7">
      <c r="A178" s="90" t="s">
        <v>273</v>
      </c>
      <c r="B178" s="90" t="s">
        <v>2422</v>
      </c>
      <c r="C178" s="90"/>
      <c r="D178" s="90"/>
      <c r="E178" s="90"/>
      <c r="F178" s="90">
        <v>2060</v>
      </c>
      <c r="G178" s="90"/>
    </row>
    <row r="179" s="75" customFormat="1" ht="14.25" customHeight="1" spans="1:7">
      <c r="A179" s="90" t="s">
        <v>273</v>
      </c>
      <c r="B179" s="90" t="s">
        <v>2423</v>
      </c>
      <c r="C179" s="90"/>
      <c r="D179" s="90"/>
      <c r="E179" s="90"/>
      <c r="F179" s="90">
        <v>2120</v>
      </c>
      <c r="G179" s="90"/>
    </row>
    <row r="180" s="75" customFormat="1" ht="14.25" customHeight="1" spans="1:7">
      <c r="A180" s="90" t="s">
        <v>273</v>
      </c>
      <c r="B180" s="90" t="s">
        <v>2424</v>
      </c>
      <c r="C180" s="90"/>
      <c r="D180" s="90"/>
      <c r="E180" s="90"/>
      <c r="F180" s="90">
        <v>2340</v>
      </c>
      <c r="G180" s="90"/>
    </row>
    <row r="181" s="75" customFormat="1" ht="14.25" customHeight="1" spans="1:7">
      <c r="A181" s="90" t="s">
        <v>273</v>
      </c>
      <c r="B181" s="90" t="s">
        <v>2425</v>
      </c>
      <c r="C181" s="90"/>
      <c r="D181" s="90"/>
      <c r="E181" s="90"/>
      <c r="F181" s="90">
        <v>2340</v>
      </c>
      <c r="G181" s="90"/>
    </row>
    <row r="182" s="75" customFormat="1" ht="14.25" customHeight="1" spans="1:7">
      <c r="A182" s="90" t="s">
        <v>273</v>
      </c>
      <c r="B182" s="90" t="s">
        <v>2426</v>
      </c>
      <c r="C182" s="90"/>
      <c r="D182" s="90"/>
      <c r="E182" s="90"/>
      <c r="F182" s="90">
        <v>2340</v>
      </c>
      <c r="G182" s="90"/>
    </row>
    <row r="183" s="75" customFormat="1" ht="14.25" customHeight="1" spans="1:7">
      <c r="A183" s="90" t="s">
        <v>273</v>
      </c>
      <c r="B183" s="90" t="s">
        <v>2427</v>
      </c>
      <c r="C183" s="90"/>
      <c r="D183" s="90"/>
      <c r="E183" s="90"/>
      <c r="F183" s="90">
        <v>2340</v>
      </c>
      <c r="G183" s="90"/>
    </row>
    <row r="184" s="75" customFormat="1" ht="14.25" customHeight="1" spans="1:7">
      <c r="A184" s="90" t="s">
        <v>273</v>
      </c>
      <c r="B184" s="90" t="s">
        <v>2428</v>
      </c>
      <c r="C184" s="90"/>
      <c r="D184" s="90"/>
      <c r="E184" s="90"/>
      <c r="F184" s="90">
        <v>2340</v>
      </c>
      <c r="G184" s="90"/>
    </row>
    <row r="185" s="75" customFormat="1" ht="14.25" customHeight="1" spans="1:7">
      <c r="A185" s="90" t="s">
        <v>273</v>
      </c>
      <c r="B185" s="90" t="s">
        <v>2429</v>
      </c>
      <c r="C185" s="90"/>
      <c r="D185" s="90"/>
      <c r="E185" s="90"/>
      <c r="F185" s="90">
        <v>2530</v>
      </c>
      <c r="G185" s="90"/>
    </row>
    <row r="186" s="75" customFormat="1" ht="14.25" customHeight="1" spans="1:7">
      <c r="A186" s="90" t="s">
        <v>273</v>
      </c>
      <c r="B186" s="90" t="s">
        <v>2430</v>
      </c>
      <c r="C186" s="90"/>
      <c r="D186" s="90"/>
      <c r="E186" s="90"/>
      <c r="F186" s="90">
        <v>2550</v>
      </c>
      <c r="G186" s="90"/>
    </row>
    <row r="187" s="75" customFormat="1" ht="14.25" customHeight="1" spans="1:7">
      <c r="A187" s="90" t="s">
        <v>273</v>
      </c>
      <c r="B187" s="90" t="s">
        <v>2431</v>
      </c>
      <c r="C187" s="90"/>
      <c r="D187" s="90"/>
      <c r="E187" s="90"/>
      <c r="F187" s="90">
        <v>2070</v>
      </c>
      <c r="G187" s="90"/>
    </row>
    <row r="188" s="75" customFormat="1" ht="14.25" customHeight="1" spans="1:7">
      <c r="A188" s="90" t="s">
        <v>273</v>
      </c>
      <c r="B188" s="90" t="s">
        <v>2432</v>
      </c>
      <c r="C188" s="90"/>
      <c r="D188" s="90"/>
      <c r="E188" s="90"/>
      <c r="F188" s="90">
        <v>2340</v>
      </c>
      <c r="G188" s="90"/>
    </row>
    <row r="189" s="75" customFormat="1" ht="14.25" customHeight="1" spans="1:7">
      <c r="A189" s="92" t="s">
        <v>273</v>
      </c>
      <c r="B189" s="96" t="s">
        <v>2433</v>
      </c>
      <c r="C189" s="96"/>
      <c r="D189" s="96"/>
      <c r="E189" s="96"/>
      <c r="F189" s="96">
        <v>2050</v>
      </c>
      <c r="G189" s="96"/>
    </row>
    <row r="190" s="75" customFormat="1" ht="14.25" customHeight="1" spans="1:7">
      <c r="A190" s="88" t="s">
        <v>278</v>
      </c>
      <c r="B190" s="89" t="s">
        <v>2434</v>
      </c>
      <c r="C190" s="89">
        <v>8830</v>
      </c>
      <c r="D190" s="89">
        <v>8790</v>
      </c>
      <c r="E190" s="89">
        <v>11630</v>
      </c>
      <c r="F190" s="89">
        <v>1790</v>
      </c>
      <c r="G190" s="97">
        <v>5550</v>
      </c>
    </row>
    <row r="191" s="75" customFormat="1" ht="14.25" customHeight="1" spans="1:7">
      <c r="A191" s="90" t="s">
        <v>278</v>
      </c>
      <c r="B191" s="90" t="s">
        <v>2435</v>
      </c>
      <c r="C191" s="90">
        <v>9780</v>
      </c>
      <c r="D191" s="90">
        <v>9710</v>
      </c>
      <c r="E191" s="90">
        <v>12550</v>
      </c>
      <c r="F191" s="90">
        <v>1980</v>
      </c>
      <c r="G191" s="98">
        <v>6130</v>
      </c>
    </row>
    <row r="192" s="75" customFormat="1" ht="14.25" customHeight="1" spans="1:7">
      <c r="A192" s="90" t="s">
        <v>278</v>
      </c>
      <c r="B192" s="90" t="s">
        <v>2436</v>
      </c>
      <c r="C192" s="90">
        <v>8180</v>
      </c>
      <c r="D192" s="90">
        <v>8140</v>
      </c>
      <c r="E192" s="90">
        <v>10870</v>
      </c>
      <c r="F192" s="90">
        <v>1690</v>
      </c>
      <c r="G192" s="98">
        <v>5140</v>
      </c>
    </row>
    <row r="193" s="75" customFormat="1" ht="14.25" customHeight="1" spans="1:7">
      <c r="A193" s="90" t="s">
        <v>278</v>
      </c>
      <c r="B193" s="90" t="s">
        <v>2437</v>
      </c>
      <c r="C193" s="90">
        <v>8440</v>
      </c>
      <c r="D193" s="90">
        <v>8390</v>
      </c>
      <c r="E193" s="90">
        <v>11210</v>
      </c>
      <c r="F193" s="90">
        <v>1600</v>
      </c>
      <c r="G193" s="98">
        <v>5300</v>
      </c>
    </row>
    <row r="194" s="75" customFormat="1" ht="14.25" customHeight="1" spans="1:7">
      <c r="A194" s="90" t="s">
        <v>278</v>
      </c>
      <c r="B194" s="90" t="s">
        <v>2438</v>
      </c>
      <c r="C194" s="90">
        <v>8780</v>
      </c>
      <c r="D194" s="90">
        <v>8730</v>
      </c>
      <c r="E194" s="90">
        <v>11550</v>
      </c>
      <c r="F194" s="90">
        <v>1660</v>
      </c>
      <c r="G194" s="98">
        <v>5520</v>
      </c>
    </row>
    <row r="195" s="75" customFormat="1" ht="14.25" customHeight="1" spans="1:7">
      <c r="A195" s="90" t="s">
        <v>278</v>
      </c>
      <c r="B195" s="90" t="s">
        <v>2439</v>
      </c>
      <c r="C195" s="90">
        <v>8720</v>
      </c>
      <c r="D195" s="90">
        <v>8670</v>
      </c>
      <c r="E195" s="90">
        <v>11450</v>
      </c>
      <c r="F195" s="90">
        <v>1720</v>
      </c>
      <c r="G195" s="98">
        <v>5480</v>
      </c>
    </row>
    <row r="196" s="75" customFormat="1" ht="14.25" customHeight="1" spans="1:7">
      <c r="A196" s="90" t="s">
        <v>278</v>
      </c>
      <c r="B196" s="90" t="s">
        <v>2440</v>
      </c>
      <c r="C196" s="90">
        <v>8460</v>
      </c>
      <c r="D196" s="90">
        <v>8410</v>
      </c>
      <c r="E196" s="90">
        <v>11230</v>
      </c>
      <c r="F196" s="90">
        <v>1730</v>
      </c>
      <c r="G196" s="98">
        <v>5310</v>
      </c>
    </row>
    <row r="197" s="75" customFormat="1" ht="14.25" customHeight="1" spans="1:7">
      <c r="A197" s="90" t="s">
        <v>278</v>
      </c>
      <c r="B197" s="90" t="s">
        <v>2441</v>
      </c>
      <c r="C197" s="90">
        <v>8790</v>
      </c>
      <c r="D197" s="90">
        <v>8730</v>
      </c>
      <c r="E197" s="90">
        <v>11560</v>
      </c>
      <c r="F197" s="90">
        <v>1750</v>
      </c>
      <c r="G197" s="98">
        <v>5520</v>
      </c>
    </row>
    <row r="198" s="75" customFormat="1" ht="14.25" customHeight="1" spans="1:7">
      <c r="A198" s="90" t="s">
        <v>278</v>
      </c>
      <c r="B198" s="90" t="s">
        <v>2442</v>
      </c>
      <c r="C198" s="90">
        <v>8720</v>
      </c>
      <c r="D198" s="90">
        <v>8680</v>
      </c>
      <c r="E198" s="90">
        <v>11470</v>
      </c>
      <c r="F198" s="90"/>
      <c r="G198" s="98">
        <v>5480</v>
      </c>
    </row>
    <row r="199" s="75" customFormat="1" ht="14.25" customHeight="1" spans="1:7">
      <c r="A199" s="90" t="s">
        <v>278</v>
      </c>
      <c r="B199" s="90" t="s">
        <v>2443</v>
      </c>
      <c r="C199" s="90">
        <v>8690</v>
      </c>
      <c r="D199" s="90">
        <v>8630</v>
      </c>
      <c r="E199" s="90">
        <v>11350</v>
      </c>
      <c r="F199" s="90">
        <v>1600</v>
      </c>
      <c r="G199" s="98">
        <v>5450</v>
      </c>
    </row>
    <row r="200" s="75" customFormat="1" ht="14.25" customHeight="1" spans="1:7">
      <c r="A200" s="90" t="s">
        <v>278</v>
      </c>
      <c r="B200" s="90" t="s">
        <v>2444</v>
      </c>
      <c r="C200" s="90"/>
      <c r="D200" s="90"/>
      <c r="E200" s="90"/>
      <c r="F200" s="90">
        <v>1510</v>
      </c>
      <c r="G200" s="98"/>
    </row>
    <row r="201" s="75" customFormat="1" ht="14.25" customHeight="1" spans="1:7">
      <c r="A201" s="90" t="s">
        <v>278</v>
      </c>
      <c r="B201" s="90" t="s">
        <v>2445</v>
      </c>
      <c r="C201" s="90">
        <v>8440</v>
      </c>
      <c r="D201" s="90">
        <v>8390</v>
      </c>
      <c r="E201" s="90">
        <v>10930</v>
      </c>
      <c r="F201" s="90">
        <v>1500</v>
      </c>
      <c r="G201" s="98">
        <v>5300</v>
      </c>
    </row>
    <row r="202" s="75" customFormat="1" ht="14.25" customHeight="1" spans="1:7">
      <c r="A202" s="90" t="s">
        <v>278</v>
      </c>
      <c r="B202" s="90" t="s">
        <v>2446</v>
      </c>
      <c r="C202" s="90">
        <v>8530</v>
      </c>
      <c r="D202" s="90">
        <v>8490</v>
      </c>
      <c r="E202" s="90">
        <v>11160</v>
      </c>
      <c r="F202" s="90">
        <v>1580</v>
      </c>
      <c r="G202" s="98">
        <v>5360</v>
      </c>
    </row>
    <row r="203" s="75" customFormat="1" ht="14.25" customHeight="1" spans="1:7">
      <c r="A203" s="90" t="s">
        <v>278</v>
      </c>
      <c r="B203" s="90" t="s">
        <v>2447</v>
      </c>
      <c r="C203" s="90">
        <v>8130</v>
      </c>
      <c r="D203" s="90">
        <v>8070</v>
      </c>
      <c r="E203" s="90">
        <v>10820</v>
      </c>
      <c r="F203" s="90">
        <v>1690</v>
      </c>
      <c r="G203" s="98">
        <v>5100</v>
      </c>
    </row>
    <row r="204" s="75" customFormat="1" ht="14.25" customHeight="1" spans="1:7">
      <c r="A204" s="90" t="s">
        <v>278</v>
      </c>
      <c r="B204" s="90" t="s">
        <v>2448</v>
      </c>
      <c r="C204" s="90">
        <v>8350</v>
      </c>
      <c r="D204" s="90">
        <v>8290</v>
      </c>
      <c r="E204" s="90">
        <v>11080</v>
      </c>
      <c r="F204" s="90">
        <v>1450</v>
      </c>
      <c r="G204" s="98">
        <v>5240</v>
      </c>
    </row>
    <row r="205" s="75" customFormat="1" ht="14.25" customHeight="1" spans="1:7">
      <c r="A205" s="90" t="s">
        <v>278</v>
      </c>
      <c r="B205" s="90" t="s">
        <v>2449</v>
      </c>
      <c r="C205" s="90">
        <v>7190</v>
      </c>
      <c r="D205" s="90">
        <v>7130</v>
      </c>
      <c r="E205" s="90">
        <v>9490</v>
      </c>
      <c r="F205" s="90">
        <v>1470</v>
      </c>
      <c r="G205" s="98">
        <v>4510</v>
      </c>
    </row>
    <row r="206" s="75" customFormat="1" ht="14.25" customHeight="1" spans="1:7">
      <c r="A206" s="90" t="s">
        <v>278</v>
      </c>
      <c r="B206" s="90" t="s">
        <v>2450</v>
      </c>
      <c r="C206" s="90">
        <v>7000</v>
      </c>
      <c r="D206" s="90">
        <v>6950</v>
      </c>
      <c r="E206" s="90">
        <v>9170</v>
      </c>
      <c r="F206" s="90">
        <v>1400</v>
      </c>
      <c r="G206" s="98">
        <v>4380</v>
      </c>
    </row>
    <row r="207" s="75" customFormat="1" ht="14.25" customHeight="1" spans="1:7">
      <c r="A207" s="90" t="s">
        <v>278</v>
      </c>
      <c r="B207" s="90" t="s">
        <v>2451</v>
      </c>
      <c r="C207" s="90">
        <v>6950</v>
      </c>
      <c r="D207" s="90">
        <v>6900</v>
      </c>
      <c r="E207" s="90">
        <v>9110</v>
      </c>
      <c r="F207" s="90">
        <v>1790</v>
      </c>
      <c r="G207" s="98">
        <v>4360</v>
      </c>
    </row>
    <row r="208" s="75" customFormat="1" ht="14.25" customHeight="1" spans="1:7">
      <c r="A208" s="90" t="s">
        <v>278</v>
      </c>
      <c r="B208" s="90" t="s">
        <v>2452</v>
      </c>
      <c r="C208" s="90">
        <v>9470</v>
      </c>
      <c r="D208" s="90">
        <v>9410</v>
      </c>
      <c r="E208" s="90">
        <v>12330</v>
      </c>
      <c r="F208" s="90">
        <v>1770</v>
      </c>
      <c r="G208" s="98">
        <v>5940</v>
      </c>
    </row>
    <row r="209" s="75" customFormat="1" ht="14.25" customHeight="1" spans="1:7">
      <c r="A209" s="90" t="s">
        <v>278</v>
      </c>
      <c r="B209" s="90" t="s">
        <v>2453</v>
      </c>
      <c r="C209" s="90">
        <v>8740</v>
      </c>
      <c r="D209" s="90">
        <v>8700</v>
      </c>
      <c r="E209" s="90">
        <v>11500</v>
      </c>
      <c r="F209" s="90">
        <v>1730</v>
      </c>
      <c r="G209" s="98">
        <v>5490</v>
      </c>
    </row>
    <row r="210" s="75" customFormat="1" ht="14.25" customHeight="1" spans="1:7">
      <c r="A210" s="90" t="s">
        <v>278</v>
      </c>
      <c r="B210" s="90" t="s">
        <v>2454</v>
      </c>
      <c r="C210" s="90">
        <v>8710</v>
      </c>
      <c r="D210" s="90">
        <v>8660</v>
      </c>
      <c r="E210" s="90">
        <v>11440</v>
      </c>
      <c r="F210" s="90">
        <v>1740</v>
      </c>
      <c r="G210" s="98">
        <v>5470</v>
      </c>
    </row>
    <row r="211" s="75" customFormat="1" ht="14.25" customHeight="1" spans="1:7">
      <c r="A211" s="90" t="s">
        <v>278</v>
      </c>
      <c r="B211" s="90" t="s">
        <v>2455</v>
      </c>
      <c r="C211" s="90">
        <v>9480</v>
      </c>
      <c r="D211" s="90">
        <v>9430</v>
      </c>
      <c r="E211" s="90">
        <v>12360</v>
      </c>
      <c r="F211" s="90">
        <v>1820</v>
      </c>
      <c r="G211" s="98">
        <v>5950</v>
      </c>
    </row>
    <row r="212" s="75" customFormat="1" ht="14.25" customHeight="1" spans="1:7">
      <c r="A212" s="90" t="s">
        <v>278</v>
      </c>
      <c r="B212" s="90" t="s">
        <v>2456</v>
      </c>
      <c r="C212" s="90">
        <v>9070</v>
      </c>
      <c r="D212" s="90">
        <v>9020</v>
      </c>
      <c r="E212" s="90">
        <v>11720</v>
      </c>
      <c r="F212" s="90">
        <v>1850</v>
      </c>
      <c r="G212" s="98">
        <v>5700</v>
      </c>
    </row>
    <row r="213" s="75" customFormat="1" ht="14.25" customHeight="1" spans="1:7">
      <c r="A213" s="90" t="s">
        <v>278</v>
      </c>
      <c r="B213" s="90" t="s">
        <v>2457</v>
      </c>
      <c r="C213" s="90">
        <v>9030</v>
      </c>
      <c r="D213" s="90">
        <v>8980</v>
      </c>
      <c r="E213" s="90">
        <v>11670</v>
      </c>
      <c r="F213" s="90">
        <v>1690</v>
      </c>
      <c r="G213" s="98">
        <v>5670</v>
      </c>
    </row>
    <row r="214" s="75" customFormat="1" ht="14.25" customHeight="1" spans="1:7">
      <c r="A214" s="90" t="s">
        <v>278</v>
      </c>
      <c r="B214" s="90" t="s">
        <v>2458</v>
      </c>
      <c r="C214" s="90">
        <v>8090</v>
      </c>
      <c r="D214" s="90">
        <v>8030</v>
      </c>
      <c r="E214" s="90">
        <v>10780</v>
      </c>
      <c r="F214" s="90">
        <v>1570</v>
      </c>
      <c r="G214" s="98">
        <v>5070</v>
      </c>
    </row>
    <row r="215" s="75" customFormat="1" ht="14.25" customHeight="1" spans="1:7">
      <c r="A215" s="90" t="s">
        <v>278</v>
      </c>
      <c r="B215" s="90" t="s">
        <v>2459</v>
      </c>
      <c r="C215" s="90">
        <v>7950</v>
      </c>
      <c r="D215" s="90">
        <v>7900</v>
      </c>
      <c r="E215" s="90">
        <v>10560</v>
      </c>
      <c r="F215" s="90">
        <v>1630</v>
      </c>
      <c r="G215" s="98">
        <v>4990</v>
      </c>
    </row>
    <row r="216" s="75" customFormat="1" ht="14.25" customHeight="1" spans="1:7">
      <c r="A216" s="90" t="s">
        <v>278</v>
      </c>
      <c r="B216" s="90" t="s">
        <v>2460</v>
      </c>
      <c r="C216" s="90">
        <v>8490</v>
      </c>
      <c r="D216" s="90">
        <v>8440</v>
      </c>
      <c r="E216" s="90">
        <v>11260</v>
      </c>
      <c r="F216" s="90">
        <v>1690</v>
      </c>
      <c r="G216" s="98">
        <v>5330</v>
      </c>
    </row>
    <row r="217" s="75" customFormat="1" ht="14.25" customHeight="1" spans="1:7">
      <c r="A217" s="90" t="s">
        <v>278</v>
      </c>
      <c r="B217" s="90" t="s">
        <v>2461</v>
      </c>
      <c r="C217" s="90">
        <v>8200</v>
      </c>
      <c r="D217" s="90">
        <v>8150</v>
      </c>
      <c r="E217" s="90">
        <v>10910</v>
      </c>
      <c r="F217" s="90">
        <v>1670</v>
      </c>
      <c r="G217" s="98">
        <v>5150</v>
      </c>
    </row>
    <row r="218" s="75" customFormat="1" ht="14.25" customHeight="1" spans="1:7">
      <c r="A218" s="90" t="s">
        <v>278</v>
      </c>
      <c r="B218" s="90" t="s">
        <v>2462</v>
      </c>
      <c r="C218" s="90"/>
      <c r="D218" s="90"/>
      <c r="E218" s="90"/>
      <c r="F218" s="90">
        <v>2040</v>
      </c>
      <c r="G218" s="98"/>
    </row>
    <row r="219" s="75" customFormat="1" ht="14.25" customHeight="1" spans="1:7">
      <c r="A219" s="90" t="s">
        <v>278</v>
      </c>
      <c r="B219" s="90" t="s">
        <v>2463</v>
      </c>
      <c r="C219" s="90"/>
      <c r="D219" s="90"/>
      <c r="E219" s="90"/>
      <c r="F219" s="90">
        <v>2040</v>
      </c>
      <c r="G219" s="98"/>
    </row>
    <row r="220" s="75" customFormat="1" ht="14.25" customHeight="1" spans="1:7">
      <c r="A220" s="90" t="s">
        <v>278</v>
      </c>
      <c r="B220" s="90" t="s">
        <v>2464</v>
      </c>
      <c r="C220" s="90"/>
      <c r="D220" s="90"/>
      <c r="E220" s="90"/>
      <c r="F220" s="90">
        <v>2040</v>
      </c>
      <c r="G220" s="98"/>
    </row>
    <row r="221" s="75" customFormat="1" ht="14.25" customHeight="1" spans="1:7">
      <c r="A221" s="90" t="s">
        <v>278</v>
      </c>
      <c r="B221" s="90" t="s">
        <v>2465</v>
      </c>
      <c r="C221" s="90"/>
      <c r="D221" s="90"/>
      <c r="E221" s="90"/>
      <c r="F221" s="90">
        <v>2040</v>
      </c>
      <c r="G221" s="98"/>
    </row>
    <row r="222" s="75" customFormat="1" ht="14.25" customHeight="1" spans="1:7">
      <c r="A222" s="90" t="s">
        <v>278</v>
      </c>
      <c r="B222" s="90" t="s">
        <v>2466</v>
      </c>
      <c r="C222" s="90"/>
      <c r="D222" s="90"/>
      <c r="E222" s="90"/>
      <c r="F222" s="90">
        <v>2040</v>
      </c>
      <c r="G222" s="98"/>
    </row>
    <row r="223" s="75" customFormat="1" ht="14.25" customHeight="1" spans="1:7">
      <c r="A223" s="90" t="s">
        <v>278</v>
      </c>
      <c r="B223" s="90" t="s">
        <v>2467</v>
      </c>
      <c r="C223" s="90"/>
      <c r="D223" s="90"/>
      <c r="E223" s="90"/>
      <c r="F223" s="90">
        <v>1930</v>
      </c>
      <c r="G223" s="98"/>
    </row>
    <row r="224" s="75" customFormat="1" ht="14.25" customHeight="1" spans="1:7">
      <c r="A224" s="90" t="s">
        <v>278</v>
      </c>
      <c r="B224" s="90" t="s">
        <v>2468</v>
      </c>
      <c r="C224" s="90"/>
      <c r="D224" s="90"/>
      <c r="E224" s="90"/>
      <c r="F224" s="90">
        <v>1930</v>
      </c>
      <c r="G224" s="98"/>
    </row>
    <row r="225" s="75" customFormat="1" ht="14.25" customHeight="1" spans="1:7">
      <c r="A225" s="90" t="s">
        <v>278</v>
      </c>
      <c r="B225" s="90" t="s">
        <v>2469</v>
      </c>
      <c r="C225" s="90"/>
      <c r="D225" s="90"/>
      <c r="E225" s="90"/>
      <c r="F225" s="90">
        <v>1930</v>
      </c>
      <c r="G225" s="98"/>
    </row>
    <row r="226" s="75" customFormat="1" ht="14.25" customHeight="1" spans="1:7">
      <c r="A226" s="90" t="s">
        <v>278</v>
      </c>
      <c r="B226" s="90" t="s">
        <v>2470</v>
      </c>
      <c r="C226" s="90"/>
      <c r="D226" s="90"/>
      <c r="E226" s="90"/>
      <c r="F226" s="90">
        <v>1700</v>
      </c>
      <c r="G226" s="98"/>
    </row>
    <row r="227" s="75" customFormat="1" ht="14.25" customHeight="1" spans="1:7">
      <c r="A227" s="90" t="s">
        <v>278</v>
      </c>
      <c r="B227" s="90" t="s">
        <v>2933</v>
      </c>
      <c r="C227" s="90"/>
      <c r="D227" s="90"/>
      <c r="E227" s="90"/>
      <c r="F227" s="90">
        <v>1520</v>
      </c>
      <c r="G227" s="98"/>
    </row>
    <row r="228" s="75" customFormat="1" ht="14.25" customHeight="1" spans="1:7">
      <c r="A228" s="90" t="s">
        <v>278</v>
      </c>
      <c r="B228" s="90" t="s">
        <v>2934</v>
      </c>
      <c r="C228" s="90"/>
      <c r="D228" s="90"/>
      <c r="E228" s="90"/>
      <c r="F228" s="90">
        <v>1520</v>
      </c>
      <c r="G228" s="98"/>
    </row>
    <row r="229" s="75" customFormat="1" ht="14.25" customHeight="1" spans="1:7">
      <c r="A229" s="90" t="s">
        <v>278</v>
      </c>
      <c r="B229" s="90" t="s">
        <v>2935</v>
      </c>
      <c r="C229" s="90"/>
      <c r="D229" s="90"/>
      <c r="E229" s="90"/>
      <c r="F229" s="90">
        <v>1520</v>
      </c>
      <c r="G229" s="98"/>
    </row>
    <row r="230" s="75" customFormat="1" ht="14.25" customHeight="1" spans="1:7">
      <c r="A230" s="90" t="s">
        <v>278</v>
      </c>
      <c r="B230" s="90" t="s">
        <v>2474</v>
      </c>
      <c r="C230" s="90"/>
      <c r="D230" s="90"/>
      <c r="E230" s="90"/>
      <c r="F230" s="90">
        <v>1820</v>
      </c>
      <c r="G230" s="98"/>
    </row>
    <row r="231" s="75" customFormat="1" ht="14.25" customHeight="1" spans="1:7">
      <c r="A231" s="90" t="s">
        <v>278</v>
      </c>
      <c r="B231" s="90" t="s">
        <v>2475</v>
      </c>
      <c r="C231" s="90"/>
      <c r="D231" s="90"/>
      <c r="E231" s="90"/>
      <c r="F231" s="90">
        <v>1760</v>
      </c>
      <c r="G231" s="98"/>
    </row>
    <row r="232" s="75" customFormat="1" ht="14.25" customHeight="1" spans="1:7">
      <c r="A232" s="90" t="s">
        <v>278</v>
      </c>
      <c r="B232" s="90" t="s">
        <v>2936</v>
      </c>
      <c r="C232" s="90"/>
      <c r="D232" s="90"/>
      <c r="E232" s="90"/>
      <c r="F232" s="90">
        <v>1840</v>
      </c>
      <c r="G232" s="98"/>
    </row>
    <row r="233" s="75" customFormat="1" ht="14.25" customHeight="1" spans="1:7">
      <c r="A233" s="99" t="s">
        <v>278</v>
      </c>
      <c r="B233" s="94" t="s">
        <v>2477</v>
      </c>
      <c r="C233" s="94"/>
      <c r="D233" s="94"/>
      <c r="E233" s="94"/>
      <c r="F233" s="94">
        <v>1770</v>
      </c>
      <c r="G233" s="100"/>
    </row>
    <row r="234" s="75" customFormat="1" ht="14.25" customHeight="1" spans="1:7">
      <c r="A234" s="88" t="s">
        <v>284</v>
      </c>
      <c r="B234" s="89" t="s">
        <v>2478</v>
      </c>
      <c r="C234" s="90">
        <v>6980</v>
      </c>
      <c r="D234" s="90">
        <v>6970</v>
      </c>
      <c r="E234" s="90">
        <v>8720</v>
      </c>
      <c r="F234" s="90">
        <v>1350</v>
      </c>
      <c r="G234" s="90">
        <v>4280</v>
      </c>
    </row>
    <row r="235" s="75" customFormat="1" ht="14.25" customHeight="1" spans="1:7">
      <c r="A235" s="90" t="s">
        <v>284</v>
      </c>
      <c r="B235" s="90" t="s">
        <v>2479</v>
      </c>
      <c r="C235" s="90">
        <v>7620</v>
      </c>
      <c r="D235" s="90">
        <v>7580</v>
      </c>
      <c r="E235" s="90">
        <v>9360</v>
      </c>
      <c r="F235" s="90">
        <v>1490</v>
      </c>
      <c r="G235" s="90">
        <v>4650</v>
      </c>
    </row>
    <row r="236" s="75" customFormat="1" ht="14.25" customHeight="1" spans="1:7">
      <c r="A236" s="90" t="s">
        <v>284</v>
      </c>
      <c r="B236" s="90" t="s">
        <v>2480</v>
      </c>
      <c r="C236" s="90">
        <v>6650</v>
      </c>
      <c r="D236" s="90">
        <v>6630</v>
      </c>
      <c r="E236" s="90">
        <v>8330</v>
      </c>
      <c r="F236" s="90">
        <v>1250</v>
      </c>
      <c r="G236" s="90">
        <v>4070</v>
      </c>
    </row>
    <row r="237" s="75" customFormat="1" ht="14.25" customHeight="1" spans="1:7">
      <c r="A237" s="90" t="s">
        <v>284</v>
      </c>
      <c r="B237" s="90" t="s">
        <v>2481</v>
      </c>
      <c r="C237" s="90">
        <v>5850</v>
      </c>
      <c r="D237" s="90">
        <v>5820</v>
      </c>
      <c r="E237" s="90">
        <v>7260</v>
      </c>
      <c r="F237" s="90">
        <v>1140</v>
      </c>
      <c r="G237" s="90">
        <v>3570</v>
      </c>
    </row>
    <row r="238" s="75" customFormat="1" ht="14.25" customHeight="1" spans="1:7">
      <c r="A238" s="90" t="s">
        <v>284</v>
      </c>
      <c r="B238" s="90" t="s">
        <v>2482</v>
      </c>
      <c r="C238" s="90">
        <v>6920</v>
      </c>
      <c r="D238" s="90">
        <v>6890</v>
      </c>
      <c r="E238" s="90">
        <v>8640</v>
      </c>
      <c r="F238" s="90">
        <v>1310</v>
      </c>
      <c r="G238" s="90">
        <v>4230</v>
      </c>
    </row>
    <row r="239" s="75" customFormat="1" ht="14.25" customHeight="1" spans="1:7">
      <c r="A239" s="90" t="s">
        <v>284</v>
      </c>
      <c r="B239" s="90" t="s">
        <v>2483</v>
      </c>
      <c r="C239" s="90">
        <v>6780</v>
      </c>
      <c r="D239" s="90">
        <v>6750</v>
      </c>
      <c r="E239" s="90">
        <v>8440</v>
      </c>
      <c r="F239" s="90">
        <v>1160</v>
      </c>
      <c r="G239" s="90">
        <v>4140</v>
      </c>
    </row>
    <row r="240" s="75" customFormat="1" ht="14.25" customHeight="1" spans="1:7">
      <c r="A240" s="90" t="s">
        <v>284</v>
      </c>
      <c r="B240" s="90" t="s">
        <v>2484</v>
      </c>
      <c r="C240" s="90">
        <v>5420</v>
      </c>
      <c r="D240" s="90">
        <v>5380</v>
      </c>
      <c r="E240" s="90">
        <v>6640</v>
      </c>
      <c r="F240" s="90">
        <v>1020</v>
      </c>
      <c r="G240" s="90">
        <v>3300</v>
      </c>
    </row>
    <row r="241" s="75" customFormat="1" ht="14.25" customHeight="1" spans="1:7">
      <c r="A241" s="90" t="s">
        <v>284</v>
      </c>
      <c r="B241" s="90" t="s">
        <v>2485</v>
      </c>
      <c r="C241" s="90">
        <v>6660</v>
      </c>
      <c r="D241" s="90">
        <v>6640</v>
      </c>
      <c r="E241" s="90">
        <v>8340</v>
      </c>
      <c r="F241" s="90">
        <v>1130</v>
      </c>
      <c r="G241" s="90">
        <v>4080</v>
      </c>
    </row>
    <row r="242" s="75" customFormat="1" ht="14.25" customHeight="1" spans="1:7">
      <c r="A242" s="90" t="s">
        <v>284</v>
      </c>
      <c r="B242" s="90" t="s">
        <v>2486</v>
      </c>
      <c r="C242" s="90">
        <v>6580</v>
      </c>
      <c r="D242" s="90">
        <v>6550</v>
      </c>
      <c r="E242" s="90">
        <v>8090</v>
      </c>
      <c r="F242" s="90">
        <v>1240</v>
      </c>
      <c r="G242" s="90">
        <v>4020</v>
      </c>
    </row>
    <row r="243" s="75" customFormat="1" ht="14.25" customHeight="1" spans="1:7">
      <c r="A243" s="90" t="s">
        <v>284</v>
      </c>
      <c r="B243" s="90" t="s">
        <v>2487</v>
      </c>
      <c r="C243" s="90">
        <v>6000</v>
      </c>
      <c r="D243" s="90">
        <v>5970</v>
      </c>
      <c r="E243" s="90">
        <v>7370</v>
      </c>
      <c r="F243" s="90">
        <v>1070</v>
      </c>
      <c r="G243" s="90">
        <v>3670</v>
      </c>
    </row>
    <row r="244" s="75" customFormat="1" ht="14.25" customHeight="1" spans="1:7">
      <c r="A244" s="90" t="s">
        <v>284</v>
      </c>
      <c r="B244" s="90" t="s">
        <v>2488</v>
      </c>
      <c r="C244" s="90">
        <v>5840</v>
      </c>
      <c r="D244" s="90">
        <v>5810</v>
      </c>
      <c r="E244" s="90">
        <v>7240</v>
      </c>
      <c r="F244" s="90">
        <v>1100</v>
      </c>
      <c r="G244" s="90">
        <v>3560</v>
      </c>
    </row>
    <row r="245" s="75" customFormat="1" ht="14.25" customHeight="1" spans="1:7">
      <c r="A245" s="90" t="s">
        <v>284</v>
      </c>
      <c r="B245" s="90" t="s">
        <v>2489</v>
      </c>
      <c r="C245" s="90">
        <v>6040</v>
      </c>
      <c r="D245" s="90">
        <v>6000</v>
      </c>
      <c r="E245" s="90">
        <v>7420</v>
      </c>
      <c r="F245" s="90">
        <v>1140</v>
      </c>
      <c r="G245" s="90">
        <v>3690</v>
      </c>
    </row>
    <row r="246" s="75" customFormat="1" ht="14.25" customHeight="1" spans="1:7">
      <c r="A246" s="90" t="s">
        <v>284</v>
      </c>
      <c r="B246" s="90" t="s">
        <v>2490</v>
      </c>
      <c r="C246" s="90">
        <v>5890</v>
      </c>
      <c r="D246" s="90">
        <v>5860</v>
      </c>
      <c r="E246" s="90">
        <v>7300</v>
      </c>
      <c r="F246" s="90">
        <v>1110</v>
      </c>
      <c r="G246" s="90">
        <v>3590</v>
      </c>
    </row>
    <row r="247" s="75" customFormat="1" ht="14.25" customHeight="1" spans="1:7">
      <c r="A247" s="90" t="s">
        <v>284</v>
      </c>
      <c r="B247" s="90" t="s">
        <v>2491</v>
      </c>
      <c r="C247" s="90">
        <v>6480</v>
      </c>
      <c r="D247" s="90">
        <v>6450</v>
      </c>
      <c r="E247" s="90">
        <v>8010</v>
      </c>
      <c r="F247" s="90">
        <v>1170</v>
      </c>
      <c r="G247" s="90">
        <v>3960</v>
      </c>
    </row>
    <row r="248" s="75" customFormat="1" ht="14.25" customHeight="1" spans="1:7">
      <c r="A248" s="90" t="s">
        <v>284</v>
      </c>
      <c r="B248" s="90" t="s">
        <v>2492</v>
      </c>
      <c r="C248" s="90">
        <v>6860</v>
      </c>
      <c r="D248" s="90">
        <v>6840</v>
      </c>
      <c r="E248" s="90">
        <v>8520</v>
      </c>
      <c r="F248" s="90">
        <v>1240</v>
      </c>
      <c r="G248" s="90">
        <v>4200</v>
      </c>
    </row>
    <row r="249" s="75" customFormat="1" ht="14.25" customHeight="1" spans="1:7">
      <c r="A249" s="90" t="s">
        <v>284</v>
      </c>
      <c r="B249" s="90" t="s">
        <v>2493</v>
      </c>
      <c r="C249" s="90">
        <v>7180</v>
      </c>
      <c r="D249" s="90">
        <v>7140</v>
      </c>
      <c r="E249" s="90">
        <v>8900</v>
      </c>
      <c r="F249" s="90">
        <v>1350</v>
      </c>
      <c r="G249" s="90">
        <v>4380</v>
      </c>
    </row>
    <row r="250" s="75" customFormat="1" ht="14.25" customHeight="1" spans="1:7">
      <c r="A250" s="90" t="s">
        <v>284</v>
      </c>
      <c r="B250" s="90" t="s">
        <v>2494</v>
      </c>
      <c r="C250" s="90">
        <v>6880</v>
      </c>
      <c r="D250" s="90">
        <v>6860</v>
      </c>
      <c r="E250" s="90">
        <v>8550</v>
      </c>
      <c r="F250" s="90">
        <v>1220</v>
      </c>
      <c r="G250" s="90">
        <v>4210</v>
      </c>
    </row>
    <row r="251" s="75" customFormat="1" ht="14.25" customHeight="1" spans="1:7">
      <c r="A251" s="90" t="s">
        <v>284</v>
      </c>
      <c r="B251" s="90" t="s">
        <v>2495</v>
      </c>
      <c r="C251" s="90"/>
      <c r="D251" s="90"/>
      <c r="E251" s="90"/>
      <c r="F251" s="90">
        <v>1100</v>
      </c>
      <c r="G251" s="90"/>
    </row>
    <row r="252" s="75" customFormat="1" ht="14.25" customHeight="1" spans="1:7">
      <c r="A252" s="90" t="s">
        <v>284</v>
      </c>
      <c r="B252" s="90" t="s">
        <v>2496</v>
      </c>
      <c r="C252" s="90">
        <v>7240</v>
      </c>
      <c r="D252" s="90">
        <v>7200</v>
      </c>
      <c r="E252" s="90">
        <v>9040</v>
      </c>
      <c r="F252" s="90">
        <v>1380</v>
      </c>
      <c r="G252" s="90">
        <v>4420</v>
      </c>
    </row>
    <row r="253" s="75" customFormat="1" ht="14.25" customHeight="1" spans="1:7">
      <c r="A253" s="90" t="s">
        <v>284</v>
      </c>
      <c r="B253" s="90" t="s">
        <v>2497</v>
      </c>
      <c r="C253" s="90">
        <v>6670</v>
      </c>
      <c r="D253" s="90">
        <v>6650</v>
      </c>
      <c r="E253" s="90">
        <v>8350</v>
      </c>
      <c r="F253" s="90">
        <v>1260</v>
      </c>
      <c r="G253" s="90">
        <v>4080</v>
      </c>
    </row>
    <row r="254" s="75" customFormat="1" ht="14.25" customHeight="1" spans="1:7">
      <c r="A254" s="90" t="s">
        <v>284</v>
      </c>
      <c r="B254" s="90" t="s">
        <v>2498</v>
      </c>
      <c r="C254" s="90">
        <v>7630</v>
      </c>
      <c r="D254" s="90">
        <v>7590</v>
      </c>
      <c r="E254" s="90">
        <v>9380</v>
      </c>
      <c r="F254" s="90">
        <v>1320</v>
      </c>
      <c r="G254" s="90">
        <v>4660</v>
      </c>
    </row>
    <row r="255" s="75" customFormat="1" ht="14.25" customHeight="1" spans="1:7">
      <c r="A255" s="90" t="s">
        <v>284</v>
      </c>
      <c r="B255" s="90" t="s">
        <v>2499</v>
      </c>
      <c r="C255" s="90">
        <v>6940</v>
      </c>
      <c r="D255" s="90">
        <v>6890</v>
      </c>
      <c r="E255" s="90">
        <v>8650</v>
      </c>
      <c r="F255" s="90">
        <v>1210</v>
      </c>
      <c r="G255" s="90">
        <v>4230</v>
      </c>
    </row>
    <row r="256" s="75" customFormat="1" ht="14.25" customHeight="1" spans="1:7">
      <c r="A256" s="90" t="s">
        <v>284</v>
      </c>
      <c r="B256" s="90" t="s">
        <v>2500</v>
      </c>
      <c r="C256" s="90">
        <v>7520</v>
      </c>
      <c r="D256" s="90">
        <v>7490</v>
      </c>
      <c r="E256" s="90">
        <v>9240</v>
      </c>
      <c r="F256" s="90">
        <v>1270</v>
      </c>
      <c r="G256" s="90">
        <v>4590</v>
      </c>
    </row>
    <row r="257" s="75" customFormat="1" ht="14.25" customHeight="1" spans="1:7">
      <c r="A257" s="90" t="s">
        <v>284</v>
      </c>
      <c r="B257" s="90" t="s">
        <v>2501</v>
      </c>
      <c r="C257" s="90">
        <v>6280</v>
      </c>
      <c r="D257" s="90">
        <v>6230</v>
      </c>
      <c r="E257" s="90">
        <v>7740</v>
      </c>
      <c r="F257" s="90">
        <v>1080</v>
      </c>
      <c r="G257" s="90">
        <v>3830</v>
      </c>
    </row>
    <row r="258" s="75" customFormat="1" ht="14.25" customHeight="1" spans="1:7">
      <c r="A258" s="90" t="s">
        <v>284</v>
      </c>
      <c r="B258" s="90" t="s">
        <v>2502</v>
      </c>
      <c r="C258" s="90">
        <v>6190</v>
      </c>
      <c r="D258" s="90">
        <v>6160</v>
      </c>
      <c r="E258" s="90">
        <v>7680</v>
      </c>
      <c r="F258" s="90">
        <v>1170</v>
      </c>
      <c r="G258" s="90">
        <v>3780</v>
      </c>
    </row>
    <row r="259" s="75" customFormat="1" ht="14.25" customHeight="1" spans="1:7">
      <c r="A259" s="90" t="s">
        <v>284</v>
      </c>
      <c r="B259" s="90" t="s">
        <v>2503</v>
      </c>
      <c r="C259" s="90">
        <v>7610</v>
      </c>
      <c r="D259" s="90">
        <v>7570</v>
      </c>
      <c r="E259" s="90">
        <v>9350</v>
      </c>
      <c r="F259" s="90">
        <v>1350</v>
      </c>
      <c r="G259" s="90">
        <v>4650</v>
      </c>
    </row>
    <row r="260" s="75" customFormat="1" ht="14.25" customHeight="1" spans="1:7">
      <c r="A260" s="90" t="s">
        <v>284</v>
      </c>
      <c r="B260" s="90" t="s">
        <v>2504</v>
      </c>
      <c r="C260" s="90">
        <v>6920</v>
      </c>
      <c r="D260" s="90">
        <v>6880</v>
      </c>
      <c r="E260" s="90">
        <v>8380</v>
      </c>
      <c r="F260" s="90">
        <v>1160</v>
      </c>
      <c r="G260" s="90">
        <v>4220</v>
      </c>
    </row>
    <row r="261" s="75" customFormat="1" ht="14.25" customHeight="1" spans="1:7">
      <c r="A261" s="90" t="s">
        <v>284</v>
      </c>
      <c r="B261" s="90" t="s">
        <v>2505</v>
      </c>
      <c r="C261" s="90">
        <v>6850</v>
      </c>
      <c r="D261" s="90">
        <v>6810</v>
      </c>
      <c r="E261" s="90">
        <v>8290</v>
      </c>
      <c r="F261" s="90">
        <v>1130</v>
      </c>
      <c r="G261" s="90">
        <v>4180</v>
      </c>
    </row>
    <row r="262" s="75" customFormat="1" ht="14.25" customHeight="1" spans="1:7">
      <c r="A262" s="90" t="s">
        <v>284</v>
      </c>
      <c r="B262" s="90" t="s">
        <v>2506</v>
      </c>
      <c r="C262" s="90">
        <v>5860</v>
      </c>
      <c r="D262" s="90">
        <v>5820</v>
      </c>
      <c r="E262" s="90">
        <v>7640</v>
      </c>
      <c r="F262" s="90">
        <v>1070</v>
      </c>
      <c r="G262" s="90">
        <v>3570</v>
      </c>
    </row>
    <row r="263" s="75" customFormat="1" ht="14.25" customHeight="1" spans="1:7">
      <c r="A263" s="90" t="s">
        <v>284</v>
      </c>
      <c r="B263" s="90" t="s">
        <v>2507</v>
      </c>
      <c r="C263" s="90">
        <v>5870</v>
      </c>
      <c r="D263" s="90">
        <v>5840</v>
      </c>
      <c r="E263" s="90">
        <v>7270</v>
      </c>
      <c r="F263" s="90">
        <v>1190</v>
      </c>
      <c r="G263" s="90">
        <v>3580</v>
      </c>
    </row>
    <row r="264" s="75" customFormat="1" ht="14.25" customHeight="1" spans="1:7">
      <c r="A264" s="90" t="s">
        <v>284</v>
      </c>
      <c r="B264" s="90" t="s">
        <v>2508</v>
      </c>
      <c r="C264" s="90">
        <v>6190</v>
      </c>
      <c r="D264" s="90">
        <v>6150</v>
      </c>
      <c r="E264" s="90">
        <v>7660</v>
      </c>
      <c r="F264" s="90">
        <v>1160</v>
      </c>
      <c r="G264" s="90">
        <v>3770</v>
      </c>
    </row>
    <row r="265" s="75" customFormat="1" ht="14.25" customHeight="1" spans="1:7">
      <c r="A265" s="90" t="s">
        <v>284</v>
      </c>
      <c r="B265" s="90" t="s">
        <v>2509</v>
      </c>
      <c r="C265" s="90"/>
      <c r="D265" s="90"/>
      <c r="E265" s="90"/>
      <c r="F265" s="90">
        <v>1500</v>
      </c>
      <c r="G265" s="90"/>
    </row>
    <row r="266" s="75" customFormat="1" ht="14.25" customHeight="1" spans="1:7">
      <c r="A266" s="90" t="s">
        <v>284</v>
      </c>
      <c r="B266" s="90" t="s">
        <v>2510</v>
      </c>
      <c r="C266" s="90"/>
      <c r="D266" s="90"/>
      <c r="E266" s="90"/>
      <c r="F266" s="90">
        <v>1500</v>
      </c>
      <c r="G266" s="90"/>
    </row>
    <row r="267" s="75" customFormat="1" ht="14.25" customHeight="1" spans="1:7">
      <c r="A267" s="90" t="s">
        <v>284</v>
      </c>
      <c r="B267" s="90" t="s">
        <v>2511</v>
      </c>
      <c r="C267" s="90"/>
      <c r="D267" s="90"/>
      <c r="E267" s="90"/>
      <c r="F267" s="90">
        <v>1500</v>
      </c>
      <c r="G267" s="90"/>
    </row>
    <row r="268" s="75" customFormat="1" ht="14.25" customHeight="1" spans="1:7">
      <c r="A268" s="90" t="s">
        <v>284</v>
      </c>
      <c r="B268" s="90" t="s">
        <v>2512</v>
      </c>
      <c r="C268" s="90"/>
      <c r="D268" s="90"/>
      <c r="E268" s="90"/>
      <c r="F268" s="90">
        <v>1290</v>
      </c>
      <c r="G268" s="90"/>
    </row>
    <row r="269" s="75" customFormat="1" ht="14.25" customHeight="1" spans="1:7">
      <c r="A269" s="90" t="s">
        <v>284</v>
      </c>
      <c r="B269" s="90" t="s">
        <v>2513</v>
      </c>
      <c r="C269" s="90"/>
      <c r="D269" s="90"/>
      <c r="E269" s="90"/>
      <c r="F269" s="90">
        <v>1150</v>
      </c>
      <c r="G269" s="90"/>
    </row>
    <row r="270" s="75" customFormat="1" ht="14.25" customHeight="1" spans="1:7">
      <c r="A270" s="90" t="s">
        <v>284</v>
      </c>
      <c r="B270" s="90" t="s">
        <v>2514</v>
      </c>
      <c r="C270" s="90"/>
      <c r="D270" s="90"/>
      <c r="E270" s="90"/>
      <c r="F270" s="90">
        <v>1380</v>
      </c>
      <c r="G270" s="90"/>
    </row>
    <row r="271" s="75" customFormat="1" ht="14.25" customHeight="1" spans="1:7">
      <c r="A271" s="90" t="s">
        <v>284</v>
      </c>
      <c r="B271" s="90" t="s">
        <v>2515</v>
      </c>
      <c r="C271" s="90"/>
      <c r="D271" s="90"/>
      <c r="E271" s="90"/>
      <c r="F271" s="90">
        <v>1460</v>
      </c>
      <c r="G271" s="90"/>
    </row>
    <row r="272" s="75" customFormat="1" ht="14.25" customHeight="1" spans="1:7">
      <c r="A272" s="90" t="s">
        <v>284</v>
      </c>
      <c r="B272" s="90" t="s">
        <v>2516</v>
      </c>
      <c r="C272" s="90"/>
      <c r="D272" s="90"/>
      <c r="E272" s="90"/>
      <c r="F272" s="90">
        <v>1460</v>
      </c>
      <c r="G272" s="90"/>
    </row>
    <row r="273" s="75" customFormat="1" ht="14.25" customHeight="1" spans="1:7">
      <c r="A273" s="90" t="s">
        <v>284</v>
      </c>
      <c r="B273" s="90" t="s">
        <v>2517</v>
      </c>
      <c r="C273" s="90"/>
      <c r="D273" s="90"/>
      <c r="E273" s="90"/>
      <c r="F273" s="90">
        <v>1490</v>
      </c>
      <c r="G273" s="90"/>
    </row>
    <row r="274" s="75" customFormat="1" ht="14.25" customHeight="1" spans="1:7">
      <c r="A274" s="90" t="s">
        <v>284</v>
      </c>
      <c r="B274" s="90" t="s">
        <v>2518</v>
      </c>
      <c r="C274" s="90"/>
      <c r="D274" s="90"/>
      <c r="E274" s="90"/>
      <c r="F274" s="90">
        <v>1490</v>
      </c>
      <c r="G274" s="90"/>
    </row>
    <row r="275" s="75" customFormat="1" ht="14.25" customHeight="1" spans="1:7">
      <c r="A275" s="90" t="s">
        <v>284</v>
      </c>
      <c r="B275" s="90" t="s">
        <v>2519</v>
      </c>
      <c r="C275" s="90"/>
      <c r="D275" s="90"/>
      <c r="E275" s="90"/>
      <c r="F275" s="90">
        <v>1220</v>
      </c>
      <c r="G275" s="90"/>
    </row>
    <row r="276" s="75" customFormat="1" ht="14.25" customHeight="1" spans="1:7">
      <c r="A276" s="92" t="s">
        <v>284</v>
      </c>
      <c r="B276" s="95" t="s">
        <v>2520</v>
      </c>
      <c r="C276" s="96"/>
      <c r="D276" s="96"/>
      <c r="E276" s="96"/>
      <c r="F276" s="96">
        <v>1380</v>
      </c>
      <c r="G276" s="96"/>
    </row>
    <row r="277" s="75" customFormat="1" ht="14.25" customHeight="1" spans="1:7">
      <c r="A277" s="88" t="s">
        <v>288</v>
      </c>
      <c r="B277" s="89" t="s">
        <v>2521</v>
      </c>
      <c r="C277" s="89">
        <v>5790</v>
      </c>
      <c r="D277" s="89">
        <v>5740</v>
      </c>
      <c r="E277" s="89">
        <v>6730</v>
      </c>
      <c r="F277" s="89">
        <v>1110</v>
      </c>
      <c r="G277" s="97">
        <v>3460</v>
      </c>
    </row>
    <row r="278" s="75" customFormat="1" ht="14.25" customHeight="1" spans="1:7">
      <c r="A278" s="90" t="s">
        <v>288</v>
      </c>
      <c r="B278" s="90" t="s">
        <v>2522</v>
      </c>
      <c r="C278" s="90">
        <v>5740</v>
      </c>
      <c r="D278" s="90">
        <v>5670</v>
      </c>
      <c r="E278" s="90">
        <v>6680</v>
      </c>
      <c r="F278" s="90">
        <v>1070</v>
      </c>
      <c r="G278" s="98">
        <v>3420</v>
      </c>
    </row>
    <row r="279" s="75" customFormat="1" ht="14.25" customHeight="1" spans="1:7">
      <c r="A279" s="90" t="s">
        <v>288</v>
      </c>
      <c r="B279" s="90" t="s">
        <v>2523</v>
      </c>
      <c r="C279" s="90">
        <v>4760</v>
      </c>
      <c r="D279" s="90">
        <v>4720</v>
      </c>
      <c r="E279" s="90">
        <v>5540</v>
      </c>
      <c r="F279" s="90">
        <v>810</v>
      </c>
      <c r="G279" s="98">
        <v>2850</v>
      </c>
    </row>
    <row r="280" s="75" customFormat="1" ht="14.25" customHeight="1" spans="1:7">
      <c r="A280" s="90" t="s">
        <v>288</v>
      </c>
      <c r="B280" s="90" t="s">
        <v>2524</v>
      </c>
      <c r="C280" s="90">
        <v>4010</v>
      </c>
      <c r="D280" s="90">
        <v>3950</v>
      </c>
      <c r="E280" s="90">
        <v>4710</v>
      </c>
      <c r="F280" s="90">
        <v>800</v>
      </c>
      <c r="G280" s="98">
        <v>2390</v>
      </c>
    </row>
    <row r="281" s="75" customFormat="1" ht="14.25" customHeight="1" spans="1:7">
      <c r="A281" s="90" t="s">
        <v>288</v>
      </c>
      <c r="B281" s="90" t="s">
        <v>2525</v>
      </c>
      <c r="C281" s="90">
        <v>4480</v>
      </c>
      <c r="D281" s="90">
        <v>4420</v>
      </c>
      <c r="E281" s="90">
        <v>5230</v>
      </c>
      <c r="F281" s="90">
        <v>870</v>
      </c>
      <c r="G281" s="98">
        <v>2660</v>
      </c>
    </row>
    <row r="282" s="75" customFormat="1" ht="14.25" customHeight="1" spans="1:7">
      <c r="A282" s="90" t="s">
        <v>288</v>
      </c>
      <c r="B282" s="90" t="s">
        <v>2526</v>
      </c>
      <c r="C282" s="90">
        <v>5360</v>
      </c>
      <c r="D282" s="90">
        <v>5300</v>
      </c>
      <c r="E282" s="90">
        <v>6190</v>
      </c>
      <c r="F282" s="90">
        <v>950</v>
      </c>
      <c r="G282" s="98">
        <v>3190</v>
      </c>
    </row>
    <row r="283" s="75" customFormat="1" ht="14.25" customHeight="1" spans="1:7">
      <c r="A283" s="90" t="s">
        <v>288</v>
      </c>
      <c r="B283" s="90" t="s">
        <v>2527</v>
      </c>
      <c r="C283" s="90">
        <v>4950</v>
      </c>
      <c r="D283" s="90">
        <v>4900</v>
      </c>
      <c r="E283" s="90">
        <v>5720</v>
      </c>
      <c r="F283" s="90">
        <v>920</v>
      </c>
      <c r="G283" s="98">
        <v>2950</v>
      </c>
    </row>
    <row r="284" s="75" customFormat="1" ht="14.25" customHeight="1" spans="1:7">
      <c r="A284" s="90" t="s">
        <v>288</v>
      </c>
      <c r="B284" s="90" t="s">
        <v>2528</v>
      </c>
      <c r="C284" s="90">
        <v>5610</v>
      </c>
      <c r="D284" s="90">
        <v>5560</v>
      </c>
      <c r="E284" s="90">
        <v>6520</v>
      </c>
      <c r="F284" s="90">
        <v>1030</v>
      </c>
      <c r="G284" s="98">
        <v>3360</v>
      </c>
    </row>
    <row r="285" s="75" customFormat="1" ht="14.25" customHeight="1" spans="1:7">
      <c r="A285" s="90" t="s">
        <v>288</v>
      </c>
      <c r="B285" s="90" t="s">
        <v>2529</v>
      </c>
      <c r="C285" s="90">
        <v>5340</v>
      </c>
      <c r="D285" s="90">
        <v>5290</v>
      </c>
      <c r="E285" s="90">
        <v>6170</v>
      </c>
      <c r="F285" s="90">
        <v>1080</v>
      </c>
      <c r="G285" s="98">
        <v>3180</v>
      </c>
    </row>
    <row r="286" s="75" customFormat="1" ht="14.25" customHeight="1" spans="1:7">
      <c r="A286" s="90" t="s">
        <v>288</v>
      </c>
      <c r="B286" s="90" t="s">
        <v>2530</v>
      </c>
      <c r="C286" s="90">
        <v>4890</v>
      </c>
      <c r="D286" s="90">
        <v>4840</v>
      </c>
      <c r="E286" s="90">
        <v>5640</v>
      </c>
      <c r="F286" s="90">
        <v>960</v>
      </c>
      <c r="G286" s="98">
        <v>2910</v>
      </c>
    </row>
    <row r="287" s="75" customFormat="1" ht="14.25" customHeight="1" spans="1:7">
      <c r="A287" s="90" t="s">
        <v>288</v>
      </c>
      <c r="B287" s="90" t="s">
        <v>2531</v>
      </c>
      <c r="C287" s="90">
        <v>4960</v>
      </c>
      <c r="D287" s="90">
        <v>4920</v>
      </c>
      <c r="E287" s="90">
        <v>5730</v>
      </c>
      <c r="F287" s="90">
        <v>930</v>
      </c>
      <c r="G287" s="98">
        <v>2960</v>
      </c>
    </row>
    <row r="288" s="75" customFormat="1" ht="14.25" customHeight="1" spans="1:7">
      <c r="A288" s="90" t="s">
        <v>288</v>
      </c>
      <c r="B288" s="90" t="s">
        <v>2532</v>
      </c>
      <c r="C288" s="90">
        <v>4350</v>
      </c>
      <c r="D288" s="90">
        <v>4300</v>
      </c>
      <c r="E288" s="90">
        <v>4900</v>
      </c>
      <c r="F288" s="90">
        <v>820</v>
      </c>
      <c r="G288" s="98">
        <v>2590</v>
      </c>
    </row>
    <row r="289" s="75" customFormat="1" ht="14.25" customHeight="1" spans="1:7">
      <c r="A289" s="90" t="s">
        <v>288</v>
      </c>
      <c r="B289" s="90" t="s">
        <v>2533</v>
      </c>
      <c r="C289" s="90">
        <v>5230</v>
      </c>
      <c r="D289" s="90">
        <v>5170</v>
      </c>
      <c r="E289" s="90">
        <v>6060</v>
      </c>
      <c r="F289" s="90">
        <v>900</v>
      </c>
      <c r="G289" s="98">
        <v>3120</v>
      </c>
    </row>
    <row r="290" s="75" customFormat="1" ht="14.25" customHeight="1" spans="1:7">
      <c r="A290" s="90" t="s">
        <v>288</v>
      </c>
      <c r="B290" s="90" t="s">
        <v>2534</v>
      </c>
      <c r="C290" s="90">
        <v>5550</v>
      </c>
      <c r="D290" s="90">
        <v>5500</v>
      </c>
      <c r="E290" s="90">
        <v>6440</v>
      </c>
      <c r="F290" s="90">
        <v>960</v>
      </c>
      <c r="G290" s="98">
        <v>3320</v>
      </c>
    </row>
    <row r="291" s="75" customFormat="1" ht="14.25" customHeight="1" spans="1:7">
      <c r="A291" s="90" t="s">
        <v>288</v>
      </c>
      <c r="B291" s="90" t="s">
        <v>2535</v>
      </c>
      <c r="C291" s="90">
        <v>5440</v>
      </c>
      <c r="D291" s="90">
        <v>5400</v>
      </c>
      <c r="E291" s="90">
        <v>6320</v>
      </c>
      <c r="F291" s="90">
        <v>930</v>
      </c>
      <c r="G291" s="98">
        <v>3250</v>
      </c>
    </row>
    <row r="292" s="75" customFormat="1" ht="14.25" customHeight="1" spans="1:7">
      <c r="A292" s="90" t="s">
        <v>288</v>
      </c>
      <c r="B292" s="90" t="s">
        <v>2536</v>
      </c>
      <c r="C292" s="90">
        <v>5400</v>
      </c>
      <c r="D292" s="90">
        <v>5360</v>
      </c>
      <c r="E292" s="90">
        <v>6270</v>
      </c>
      <c r="F292" s="90">
        <v>1040</v>
      </c>
      <c r="G292" s="98">
        <v>3230</v>
      </c>
    </row>
    <row r="293" s="75" customFormat="1" ht="14.25" customHeight="1" spans="1:7">
      <c r="A293" s="90" t="s">
        <v>288</v>
      </c>
      <c r="B293" s="90" t="s">
        <v>2537</v>
      </c>
      <c r="C293" s="90">
        <v>5320</v>
      </c>
      <c r="D293" s="90">
        <v>5270</v>
      </c>
      <c r="E293" s="90">
        <v>6160</v>
      </c>
      <c r="F293" s="90">
        <v>990</v>
      </c>
      <c r="G293" s="98">
        <v>3170</v>
      </c>
    </row>
    <row r="294" s="75" customFormat="1" ht="14.25" customHeight="1" spans="1:7">
      <c r="A294" s="90" t="s">
        <v>288</v>
      </c>
      <c r="B294" s="90" t="s">
        <v>2538</v>
      </c>
      <c r="C294" s="90">
        <v>5260</v>
      </c>
      <c r="D294" s="90">
        <v>5210</v>
      </c>
      <c r="E294" s="90">
        <v>6100</v>
      </c>
      <c r="F294" s="90">
        <v>950</v>
      </c>
      <c r="G294" s="98">
        <v>3150</v>
      </c>
    </row>
    <row r="295" s="75" customFormat="1" ht="14.25" customHeight="1" spans="1:7">
      <c r="A295" s="90" t="s">
        <v>288</v>
      </c>
      <c r="B295" s="90" t="s">
        <v>2539</v>
      </c>
      <c r="C295" s="90">
        <v>5610</v>
      </c>
      <c r="D295" s="90">
        <v>5570</v>
      </c>
      <c r="E295" s="90">
        <v>6530</v>
      </c>
      <c r="F295" s="90">
        <v>960</v>
      </c>
      <c r="G295" s="98">
        <v>3360</v>
      </c>
    </row>
    <row r="296" s="75" customFormat="1" ht="14.25" customHeight="1" spans="1:7">
      <c r="A296" s="90" t="s">
        <v>288</v>
      </c>
      <c r="B296" s="90" t="s">
        <v>2540</v>
      </c>
      <c r="C296" s="90">
        <v>5540</v>
      </c>
      <c r="D296" s="90">
        <v>5490</v>
      </c>
      <c r="E296" s="90">
        <v>6430</v>
      </c>
      <c r="F296" s="90">
        <v>980</v>
      </c>
      <c r="G296" s="98">
        <v>3310</v>
      </c>
    </row>
    <row r="297" s="75" customFormat="1" ht="14.25" customHeight="1" spans="1:7">
      <c r="A297" s="90" t="s">
        <v>288</v>
      </c>
      <c r="B297" s="90" t="s">
        <v>2541</v>
      </c>
      <c r="C297" s="90">
        <v>5480</v>
      </c>
      <c r="D297" s="90">
        <v>5420</v>
      </c>
      <c r="E297" s="90">
        <v>6370</v>
      </c>
      <c r="F297" s="90">
        <v>990</v>
      </c>
      <c r="G297" s="98">
        <v>3270</v>
      </c>
    </row>
    <row r="298" s="75" customFormat="1" ht="14.25" customHeight="1" spans="1:7">
      <c r="A298" s="90" t="s">
        <v>288</v>
      </c>
      <c r="B298" s="90" t="s">
        <v>2542</v>
      </c>
      <c r="C298" s="90">
        <v>5090</v>
      </c>
      <c r="D298" s="90">
        <v>5050</v>
      </c>
      <c r="E298" s="90">
        <v>5910</v>
      </c>
      <c r="F298" s="90">
        <v>900</v>
      </c>
      <c r="G298" s="98">
        <v>3040</v>
      </c>
    </row>
    <row r="299" s="75" customFormat="1" ht="14.25" customHeight="1" spans="1:7">
      <c r="A299" s="90" t="s">
        <v>288</v>
      </c>
      <c r="B299" s="104" t="s">
        <v>2543</v>
      </c>
      <c r="C299" s="90">
        <v>5430</v>
      </c>
      <c r="D299" s="90">
        <v>5380</v>
      </c>
      <c r="E299" s="90">
        <v>6280</v>
      </c>
      <c r="F299" s="90">
        <v>1000</v>
      </c>
      <c r="G299" s="98">
        <v>3240</v>
      </c>
    </row>
    <row r="300" s="75" customFormat="1" ht="14.25" customHeight="1" spans="1:7">
      <c r="A300" s="90" t="s">
        <v>288</v>
      </c>
      <c r="B300" s="104" t="s">
        <v>2544</v>
      </c>
      <c r="C300" s="90">
        <v>4740</v>
      </c>
      <c r="D300" s="90">
        <v>4680</v>
      </c>
      <c r="E300" s="90">
        <v>5450</v>
      </c>
      <c r="F300" s="90">
        <v>900</v>
      </c>
      <c r="G300" s="98">
        <v>2830</v>
      </c>
    </row>
    <row r="301" s="75" customFormat="1" ht="14.25" customHeight="1" spans="1:7">
      <c r="A301" s="90" t="s">
        <v>288</v>
      </c>
      <c r="B301" s="104" t="s">
        <v>2545</v>
      </c>
      <c r="C301" s="90">
        <v>4870</v>
      </c>
      <c r="D301" s="90">
        <v>4810</v>
      </c>
      <c r="E301" s="90">
        <v>5560</v>
      </c>
      <c r="F301" s="90">
        <v>990</v>
      </c>
      <c r="G301" s="98">
        <v>2910</v>
      </c>
    </row>
    <row r="302" s="75" customFormat="1" ht="14.25" customHeight="1" spans="1:7">
      <c r="A302" s="90" t="s">
        <v>288</v>
      </c>
      <c r="B302" s="90" t="s">
        <v>2546</v>
      </c>
      <c r="C302" s="90">
        <v>5520</v>
      </c>
      <c r="D302" s="90">
        <v>5470</v>
      </c>
      <c r="E302" s="90">
        <v>6410</v>
      </c>
      <c r="F302" s="90">
        <v>950</v>
      </c>
      <c r="G302" s="98">
        <v>3300</v>
      </c>
    </row>
    <row r="303" s="75" customFormat="1" ht="14.25" customHeight="1" spans="1:7">
      <c r="A303" s="90" t="s">
        <v>288</v>
      </c>
      <c r="B303" s="90" t="s">
        <v>2547</v>
      </c>
      <c r="C303" s="90">
        <v>5630</v>
      </c>
      <c r="D303" s="90">
        <v>5590</v>
      </c>
      <c r="E303" s="90">
        <v>6550</v>
      </c>
      <c r="F303" s="90">
        <v>1010</v>
      </c>
      <c r="G303" s="98">
        <v>3370</v>
      </c>
    </row>
    <row r="304" s="75" customFormat="1" ht="14.25" customHeight="1" spans="1:7">
      <c r="A304" s="90" t="s">
        <v>288</v>
      </c>
      <c r="B304" s="90" t="s">
        <v>2548</v>
      </c>
      <c r="C304" s="90">
        <v>5680</v>
      </c>
      <c r="D304" s="90">
        <v>5620</v>
      </c>
      <c r="E304" s="90">
        <v>6620</v>
      </c>
      <c r="F304" s="90">
        <v>1050</v>
      </c>
      <c r="G304" s="98">
        <v>3390</v>
      </c>
    </row>
    <row r="305" s="75" customFormat="1" ht="14.25" customHeight="1" spans="1:7">
      <c r="A305" s="90" t="s">
        <v>288</v>
      </c>
      <c r="B305" s="90" t="s">
        <v>2549</v>
      </c>
      <c r="C305" s="90">
        <v>5590</v>
      </c>
      <c r="D305" s="90">
        <v>5530</v>
      </c>
      <c r="E305" s="90">
        <v>6460</v>
      </c>
      <c r="F305" s="90">
        <v>900</v>
      </c>
      <c r="G305" s="98">
        <v>3340</v>
      </c>
    </row>
    <row r="306" s="75" customFormat="1" ht="14.25" customHeight="1" spans="1:7">
      <c r="A306" s="90" t="s">
        <v>288</v>
      </c>
      <c r="B306" s="90" t="s">
        <v>2550</v>
      </c>
      <c r="C306" s="90">
        <v>5560</v>
      </c>
      <c r="D306" s="90">
        <v>5510</v>
      </c>
      <c r="E306" s="90">
        <v>6440</v>
      </c>
      <c r="F306" s="90">
        <v>900</v>
      </c>
      <c r="G306" s="98">
        <v>3320</v>
      </c>
    </row>
    <row r="307" s="75" customFormat="1" ht="14.25" customHeight="1" spans="1:7">
      <c r="A307" s="90" t="s">
        <v>288</v>
      </c>
      <c r="B307" s="90" t="s">
        <v>2551</v>
      </c>
      <c r="C307" s="90">
        <v>5650</v>
      </c>
      <c r="D307" s="90">
        <v>5600</v>
      </c>
      <c r="E307" s="90">
        <v>6590</v>
      </c>
      <c r="F307" s="90">
        <v>930</v>
      </c>
      <c r="G307" s="98">
        <v>3380</v>
      </c>
    </row>
    <row r="308" s="75" customFormat="1" ht="14.25" customHeight="1" spans="1:7">
      <c r="A308" s="90" t="s">
        <v>288</v>
      </c>
      <c r="B308" s="90" t="s">
        <v>2552</v>
      </c>
      <c r="C308" s="90">
        <v>5620</v>
      </c>
      <c r="D308" s="90">
        <v>5580</v>
      </c>
      <c r="E308" s="90">
        <v>6540</v>
      </c>
      <c r="F308" s="90">
        <v>910</v>
      </c>
      <c r="G308" s="98">
        <v>3370</v>
      </c>
    </row>
    <row r="309" s="75" customFormat="1" ht="14.25" customHeight="1" spans="1:7">
      <c r="A309" s="90" t="s">
        <v>288</v>
      </c>
      <c r="B309" s="90" t="s">
        <v>2553</v>
      </c>
      <c r="C309" s="90">
        <v>5060</v>
      </c>
      <c r="D309" s="90">
        <v>5020</v>
      </c>
      <c r="E309" s="90">
        <v>6370</v>
      </c>
      <c r="F309" s="90">
        <v>800</v>
      </c>
      <c r="G309" s="98">
        <v>3020</v>
      </c>
    </row>
    <row r="310" s="75" customFormat="1" ht="14.25" customHeight="1" spans="1:7">
      <c r="A310" s="90" t="s">
        <v>288</v>
      </c>
      <c r="B310" s="90" t="s">
        <v>2554</v>
      </c>
      <c r="C310" s="90">
        <v>5150</v>
      </c>
      <c r="D310" s="90">
        <v>5110</v>
      </c>
      <c r="E310" s="90">
        <v>6500</v>
      </c>
      <c r="F310" s="90">
        <v>880</v>
      </c>
      <c r="G310" s="98">
        <v>3080</v>
      </c>
    </row>
    <row r="311" s="75" customFormat="1" ht="14.25" customHeight="1" spans="1:7">
      <c r="A311" s="90" t="s">
        <v>288</v>
      </c>
      <c r="B311" s="90" t="s">
        <v>2555</v>
      </c>
      <c r="C311" s="90">
        <v>4750</v>
      </c>
      <c r="D311" s="90">
        <v>4710</v>
      </c>
      <c r="E311" s="90">
        <v>5510</v>
      </c>
      <c r="F311" s="90">
        <v>880</v>
      </c>
      <c r="G311" s="98">
        <v>2840</v>
      </c>
    </row>
    <row r="312" s="75" customFormat="1" ht="14.25" customHeight="1" spans="1:7">
      <c r="A312" s="90" t="s">
        <v>288</v>
      </c>
      <c r="B312" s="90" t="s">
        <v>2556</v>
      </c>
      <c r="C312" s="90">
        <v>4690</v>
      </c>
      <c r="D312" s="90">
        <v>4640</v>
      </c>
      <c r="E312" s="90">
        <v>5420</v>
      </c>
      <c r="F312" s="90">
        <v>800</v>
      </c>
      <c r="G312" s="98">
        <v>2800</v>
      </c>
    </row>
    <row r="313" s="75" customFormat="1" ht="14.25" customHeight="1" spans="1:7">
      <c r="A313" s="90" t="s">
        <v>288</v>
      </c>
      <c r="B313" s="90" t="s">
        <v>2557</v>
      </c>
      <c r="C313" s="90">
        <v>4810</v>
      </c>
      <c r="D313" s="90">
        <v>4760</v>
      </c>
      <c r="E313" s="90">
        <v>5550</v>
      </c>
      <c r="F313" s="90">
        <v>920</v>
      </c>
      <c r="G313" s="98">
        <v>2870</v>
      </c>
    </row>
    <row r="314" s="75" customFormat="1" ht="14.25" customHeight="1" spans="1:7">
      <c r="A314" s="90" t="s">
        <v>288</v>
      </c>
      <c r="B314" s="90" t="s">
        <v>2558</v>
      </c>
      <c r="C314" s="90"/>
      <c r="D314" s="90"/>
      <c r="E314" s="90"/>
      <c r="F314" s="90">
        <v>1020</v>
      </c>
      <c r="G314" s="98"/>
    </row>
    <row r="315" s="75" customFormat="1" ht="14.25" customHeight="1" spans="1:7">
      <c r="A315" s="90" t="s">
        <v>288</v>
      </c>
      <c r="B315" s="90" t="s">
        <v>2559</v>
      </c>
      <c r="C315" s="90"/>
      <c r="D315" s="90"/>
      <c r="E315" s="90"/>
      <c r="F315" s="90">
        <v>1050</v>
      </c>
      <c r="G315" s="98"/>
    </row>
    <row r="316" s="75" customFormat="1" ht="14.25" customHeight="1" spans="1:7">
      <c r="A316" s="90" t="s">
        <v>288</v>
      </c>
      <c r="B316" s="90" t="s">
        <v>2560</v>
      </c>
      <c r="C316" s="90"/>
      <c r="D316" s="90"/>
      <c r="E316" s="90"/>
      <c r="F316" s="90">
        <v>900</v>
      </c>
      <c r="G316" s="98"/>
    </row>
    <row r="317" s="75" customFormat="1" ht="14.25" customHeight="1" spans="1:7">
      <c r="A317" s="90" t="s">
        <v>288</v>
      </c>
      <c r="B317" s="90" t="s">
        <v>2561</v>
      </c>
      <c r="C317" s="90"/>
      <c r="D317" s="90"/>
      <c r="E317" s="90"/>
      <c r="F317" s="90">
        <v>920</v>
      </c>
      <c r="G317" s="98"/>
    </row>
    <row r="318" s="75" customFormat="1" ht="14.25" customHeight="1" spans="1:7">
      <c r="A318" s="90" t="s">
        <v>288</v>
      </c>
      <c r="B318" s="90" t="s">
        <v>2562</v>
      </c>
      <c r="C318" s="90"/>
      <c r="D318" s="90"/>
      <c r="E318" s="90"/>
      <c r="F318" s="90">
        <v>1080</v>
      </c>
      <c r="G318" s="98"/>
    </row>
    <row r="319" s="75" customFormat="1" ht="14.25" customHeight="1" spans="1:7">
      <c r="A319" s="90" t="s">
        <v>288</v>
      </c>
      <c r="B319" s="90" t="s">
        <v>2563</v>
      </c>
      <c r="C319" s="90"/>
      <c r="D319" s="90"/>
      <c r="E319" s="90"/>
      <c r="F319" s="90">
        <v>1020</v>
      </c>
      <c r="G319" s="98"/>
    </row>
    <row r="320" s="75" customFormat="1" ht="14.25" customHeight="1" spans="1:7">
      <c r="A320" s="90" t="s">
        <v>288</v>
      </c>
      <c r="B320" s="90" t="s">
        <v>2564</v>
      </c>
      <c r="C320" s="90"/>
      <c r="D320" s="90"/>
      <c r="E320" s="90"/>
      <c r="F320" s="90">
        <v>1050</v>
      </c>
      <c r="G320" s="98"/>
    </row>
    <row r="321" s="75" customFormat="1" ht="14.25" customHeight="1" spans="1:7">
      <c r="A321" s="90" t="s">
        <v>288</v>
      </c>
      <c r="B321" s="90" t="s">
        <v>2565</v>
      </c>
      <c r="C321" s="90"/>
      <c r="D321" s="90"/>
      <c r="E321" s="90"/>
      <c r="F321" s="90">
        <v>960</v>
      </c>
      <c r="G321" s="98"/>
    </row>
    <row r="322" s="75" customFormat="1" ht="14.25" customHeight="1" spans="1:7">
      <c r="A322" s="90" t="s">
        <v>288</v>
      </c>
      <c r="B322" s="90" t="s">
        <v>2566</v>
      </c>
      <c r="C322" s="90"/>
      <c r="D322" s="90"/>
      <c r="E322" s="90"/>
      <c r="F322" s="90">
        <v>960</v>
      </c>
      <c r="G322" s="98"/>
    </row>
    <row r="323" s="75" customFormat="1" ht="14.25" customHeight="1" spans="1:7">
      <c r="A323" s="90" t="s">
        <v>288</v>
      </c>
      <c r="B323" s="90" t="s">
        <v>2567</v>
      </c>
      <c r="C323" s="90"/>
      <c r="D323" s="90"/>
      <c r="E323" s="90"/>
      <c r="F323" s="90">
        <v>880</v>
      </c>
      <c r="G323" s="98"/>
    </row>
    <row r="324" s="75" customFormat="1" ht="14.25" customHeight="1" spans="1:7">
      <c r="A324" s="90" t="s">
        <v>288</v>
      </c>
      <c r="B324" s="90" t="s">
        <v>2568</v>
      </c>
      <c r="C324" s="90"/>
      <c r="D324" s="90"/>
      <c r="E324" s="90"/>
      <c r="F324" s="90">
        <v>930</v>
      </c>
      <c r="G324" s="98"/>
    </row>
    <row r="325" s="75" customFormat="1" ht="14.25" customHeight="1" spans="1:7">
      <c r="A325" s="90" t="s">
        <v>288</v>
      </c>
      <c r="B325" s="91" t="s">
        <v>2569</v>
      </c>
      <c r="C325" s="90"/>
      <c r="D325" s="90"/>
      <c r="E325" s="90"/>
      <c r="F325" s="90">
        <v>900</v>
      </c>
      <c r="G325" s="98"/>
    </row>
    <row r="326" s="75" customFormat="1" ht="14.25" customHeight="1" spans="1:7">
      <c r="A326" s="99" t="s">
        <v>288</v>
      </c>
      <c r="B326" s="94" t="s">
        <v>2570</v>
      </c>
      <c r="C326" s="94"/>
      <c r="D326" s="94"/>
      <c r="E326" s="94"/>
      <c r="F326" s="94">
        <v>790</v>
      </c>
      <c r="G326" s="100"/>
    </row>
    <row r="327" s="75" customFormat="1" ht="14.25" customHeight="1" spans="1:7">
      <c r="A327" s="88" t="s">
        <v>292</v>
      </c>
      <c r="B327" s="89" t="s">
        <v>2571</v>
      </c>
      <c r="C327" s="90">
        <v>3750</v>
      </c>
      <c r="D327" s="90">
        <v>3710</v>
      </c>
      <c r="E327" s="90">
        <v>4080</v>
      </c>
      <c r="F327" s="90">
        <v>860</v>
      </c>
      <c r="G327" s="90">
        <v>2210</v>
      </c>
    </row>
    <row r="328" s="75" customFormat="1" ht="14.25" customHeight="1" spans="1:7">
      <c r="A328" s="90" t="s">
        <v>292</v>
      </c>
      <c r="B328" s="90" t="s">
        <v>2572</v>
      </c>
      <c r="C328" s="90">
        <v>3330</v>
      </c>
      <c r="D328" s="90">
        <v>3290</v>
      </c>
      <c r="E328" s="90">
        <v>3610</v>
      </c>
      <c r="F328" s="90">
        <v>850</v>
      </c>
      <c r="G328" s="90">
        <v>1960</v>
      </c>
    </row>
    <row r="329" s="75" customFormat="1" ht="14.25" customHeight="1" spans="1:7">
      <c r="A329" s="90" t="s">
        <v>292</v>
      </c>
      <c r="B329" s="90" t="s">
        <v>2573</v>
      </c>
      <c r="C329" s="90">
        <v>2730</v>
      </c>
      <c r="D329" s="90">
        <v>2690</v>
      </c>
      <c r="E329" s="90">
        <v>3100</v>
      </c>
      <c r="F329" s="90">
        <v>660</v>
      </c>
      <c r="G329" s="90">
        <v>1610</v>
      </c>
    </row>
    <row r="330" s="75" customFormat="1" ht="14.25" customHeight="1" spans="1:7">
      <c r="A330" s="90" t="s">
        <v>292</v>
      </c>
      <c r="B330" s="90" t="s">
        <v>2574</v>
      </c>
      <c r="C330" s="90">
        <v>3270</v>
      </c>
      <c r="D330" s="90">
        <v>3240</v>
      </c>
      <c r="E330" s="90">
        <v>3560</v>
      </c>
      <c r="F330" s="90">
        <v>680</v>
      </c>
      <c r="G330" s="90">
        <v>1940</v>
      </c>
    </row>
    <row r="331" s="75" customFormat="1" ht="14.25" customHeight="1" spans="1:7">
      <c r="A331" s="90" t="s">
        <v>292</v>
      </c>
      <c r="B331" s="90" t="s">
        <v>2575</v>
      </c>
      <c r="C331" s="90">
        <v>3770</v>
      </c>
      <c r="D331" s="90">
        <v>3740</v>
      </c>
      <c r="E331" s="90">
        <v>4110</v>
      </c>
      <c r="F331" s="90">
        <v>730</v>
      </c>
      <c r="G331" s="90">
        <v>2230</v>
      </c>
    </row>
    <row r="332" s="75" customFormat="1" ht="14.25" customHeight="1" spans="1:7">
      <c r="A332" s="90" t="s">
        <v>292</v>
      </c>
      <c r="B332" s="90" t="s">
        <v>2576</v>
      </c>
      <c r="C332" s="90">
        <v>3520</v>
      </c>
      <c r="D332" s="90">
        <v>3480</v>
      </c>
      <c r="E332" s="90">
        <v>3830</v>
      </c>
      <c r="F332" s="90">
        <v>720</v>
      </c>
      <c r="G332" s="90">
        <v>2090</v>
      </c>
    </row>
    <row r="333" s="75" customFormat="1" ht="14.25" customHeight="1" spans="1:7">
      <c r="A333" s="90" t="s">
        <v>292</v>
      </c>
      <c r="B333" s="90" t="s">
        <v>2577</v>
      </c>
      <c r="C333" s="90">
        <v>3840</v>
      </c>
      <c r="D333" s="90">
        <v>3800</v>
      </c>
      <c r="E333" s="90">
        <v>4200</v>
      </c>
      <c r="F333" s="90">
        <v>760</v>
      </c>
      <c r="G333" s="90">
        <v>2270</v>
      </c>
    </row>
    <row r="334" s="75" customFormat="1" ht="14.25" customHeight="1" spans="1:7">
      <c r="A334" s="90" t="s">
        <v>292</v>
      </c>
      <c r="B334" s="90" t="s">
        <v>2578</v>
      </c>
      <c r="C334" s="90">
        <v>3960</v>
      </c>
      <c r="D334" s="90">
        <v>3910</v>
      </c>
      <c r="E334" s="90">
        <v>4340</v>
      </c>
      <c r="F334" s="90">
        <v>780</v>
      </c>
      <c r="G334" s="90">
        <v>2340</v>
      </c>
    </row>
    <row r="335" s="75" customFormat="1" ht="14.25" customHeight="1" spans="1:7">
      <c r="A335" s="90" t="s">
        <v>292</v>
      </c>
      <c r="B335" s="90" t="s">
        <v>2579</v>
      </c>
      <c r="C335" s="90">
        <v>3710</v>
      </c>
      <c r="D335" s="90">
        <v>3670</v>
      </c>
      <c r="E335" s="90">
        <v>4030</v>
      </c>
      <c r="F335" s="90">
        <v>750</v>
      </c>
      <c r="G335" s="90">
        <v>2200</v>
      </c>
    </row>
    <row r="336" s="75" customFormat="1" ht="14.25" customHeight="1" spans="1:7">
      <c r="A336" s="90" t="s">
        <v>292</v>
      </c>
      <c r="B336" s="90" t="s">
        <v>2580</v>
      </c>
      <c r="C336" s="90">
        <v>3570</v>
      </c>
      <c r="D336" s="90">
        <v>3530</v>
      </c>
      <c r="E336" s="90">
        <v>3880</v>
      </c>
      <c r="F336" s="90">
        <v>770</v>
      </c>
      <c r="G336" s="90">
        <v>2110</v>
      </c>
    </row>
    <row r="337" s="75" customFormat="1" ht="14.25" customHeight="1" spans="1:7">
      <c r="A337" s="90" t="s">
        <v>292</v>
      </c>
      <c r="B337" s="90" t="s">
        <v>2581</v>
      </c>
      <c r="C337" s="90">
        <v>3780</v>
      </c>
      <c r="D337" s="90">
        <v>3750</v>
      </c>
      <c r="E337" s="90">
        <v>4130</v>
      </c>
      <c r="F337" s="90">
        <v>750</v>
      </c>
      <c r="G337" s="90">
        <v>2240</v>
      </c>
    </row>
    <row r="338" s="75" customFormat="1" ht="14.25" customHeight="1" spans="1:7">
      <c r="A338" s="90" t="s">
        <v>292</v>
      </c>
      <c r="B338" s="90" t="s">
        <v>2582</v>
      </c>
      <c r="C338" s="90">
        <v>3600</v>
      </c>
      <c r="D338" s="90">
        <v>3570</v>
      </c>
      <c r="E338" s="90">
        <v>3920</v>
      </c>
      <c r="F338" s="90">
        <v>790</v>
      </c>
      <c r="G338" s="90">
        <v>2140</v>
      </c>
    </row>
    <row r="339" s="75" customFormat="1" ht="14.25" customHeight="1" spans="1:7">
      <c r="A339" s="90" t="s">
        <v>292</v>
      </c>
      <c r="B339" s="90" t="s">
        <v>2583</v>
      </c>
      <c r="C339" s="90">
        <v>3540</v>
      </c>
      <c r="D339" s="90">
        <v>3500</v>
      </c>
      <c r="E339" s="90">
        <v>3850</v>
      </c>
      <c r="F339" s="90">
        <v>780</v>
      </c>
      <c r="G339" s="90">
        <v>2100</v>
      </c>
    </row>
    <row r="340" s="75" customFormat="1" ht="14.25" customHeight="1" spans="1:7">
      <c r="A340" s="90" t="s">
        <v>292</v>
      </c>
      <c r="B340" s="90" t="s">
        <v>2584</v>
      </c>
      <c r="C340" s="90">
        <v>3850</v>
      </c>
      <c r="D340" s="90">
        <v>3810</v>
      </c>
      <c r="E340" s="90">
        <v>4210</v>
      </c>
      <c r="F340" s="90">
        <v>750</v>
      </c>
      <c r="G340" s="90">
        <v>2280</v>
      </c>
    </row>
    <row r="341" s="75" customFormat="1" ht="14.25" customHeight="1" spans="1:7">
      <c r="A341" s="90" t="s">
        <v>292</v>
      </c>
      <c r="B341" s="90" t="s">
        <v>2585</v>
      </c>
      <c r="C341" s="90">
        <v>3780</v>
      </c>
      <c r="D341" s="90">
        <v>3750</v>
      </c>
      <c r="E341" s="90">
        <v>4140</v>
      </c>
      <c r="F341" s="90">
        <v>720</v>
      </c>
      <c r="G341" s="90">
        <v>2240</v>
      </c>
    </row>
    <row r="342" s="75" customFormat="1" ht="14.25" customHeight="1" spans="1:7">
      <c r="A342" s="90" t="s">
        <v>292</v>
      </c>
      <c r="B342" s="90" t="s">
        <v>2586</v>
      </c>
      <c r="C342" s="90">
        <v>3670</v>
      </c>
      <c r="D342" s="90">
        <v>3620</v>
      </c>
      <c r="E342" s="90">
        <v>3990</v>
      </c>
      <c r="F342" s="90">
        <v>760</v>
      </c>
      <c r="G342" s="90">
        <v>2170</v>
      </c>
    </row>
    <row r="343" s="75" customFormat="1" ht="14.25" customHeight="1" spans="1:7">
      <c r="A343" s="90" t="s">
        <v>292</v>
      </c>
      <c r="B343" s="90" t="s">
        <v>2587</v>
      </c>
      <c r="C343" s="90">
        <v>3760</v>
      </c>
      <c r="D343" s="90">
        <v>3720</v>
      </c>
      <c r="E343" s="90">
        <v>4090</v>
      </c>
      <c r="F343" s="90">
        <v>780</v>
      </c>
      <c r="G343" s="90">
        <v>2220</v>
      </c>
    </row>
    <row r="344" s="75" customFormat="1" ht="14.25" customHeight="1" spans="1:7">
      <c r="A344" s="90" t="s">
        <v>292</v>
      </c>
      <c r="B344" s="90" t="s">
        <v>2588</v>
      </c>
      <c r="C344" s="90">
        <v>3680</v>
      </c>
      <c r="D344" s="90">
        <v>3640</v>
      </c>
      <c r="E344" s="90">
        <v>4010</v>
      </c>
      <c r="F344" s="90">
        <v>750</v>
      </c>
      <c r="G344" s="90">
        <v>2180</v>
      </c>
    </row>
    <row r="345" spans="1:10">
      <c r="A345" s="90" t="s">
        <v>292</v>
      </c>
      <c r="B345" s="90" t="s">
        <v>2589</v>
      </c>
      <c r="C345" s="90">
        <v>3190</v>
      </c>
      <c r="D345" s="90">
        <v>3140</v>
      </c>
      <c r="E345" s="90">
        <v>3450</v>
      </c>
      <c r="F345" s="90">
        <v>720</v>
      </c>
      <c r="G345" s="90">
        <v>1880</v>
      </c>
      <c r="J345" s="75"/>
    </row>
    <row r="346" spans="1:10">
      <c r="A346" s="90" t="s">
        <v>292</v>
      </c>
      <c r="B346" s="90" t="s">
        <v>2590</v>
      </c>
      <c r="C346" s="90">
        <v>3630</v>
      </c>
      <c r="D346" s="90">
        <v>3590</v>
      </c>
      <c r="E346" s="90">
        <v>3940</v>
      </c>
      <c r="F346" s="90">
        <v>730</v>
      </c>
      <c r="G346" s="90">
        <v>2150</v>
      </c>
      <c r="J346" s="75"/>
    </row>
    <row r="347" spans="1:10">
      <c r="A347" s="90" t="s">
        <v>292</v>
      </c>
      <c r="B347" s="90" t="s">
        <v>2591</v>
      </c>
      <c r="C347" s="90">
        <v>3860</v>
      </c>
      <c r="D347" s="90">
        <v>3820</v>
      </c>
      <c r="E347" s="90">
        <v>4220</v>
      </c>
      <c r="F347" s="90">
        <v>750</v>
      </c>
      <c r="G347" s="90">
        <v>2280</v>
      </c>
      <c r="J347" s="75"/>
    </row>
    <row r="348" spans="1:10">
      <c r="A348" s="90" t="s">
        <v>292</v>
      </c>
      <c r="B348" s="90" t="s">
        <v>2592</v>
      </c>
      <c r="C348" s="90">
        <v>4000</v>
      </c>
      <c r="D348" s="90">
        <v>3950</v>
      </c>
      <c r="E348" s="90">
        <v>4430</v>
      </c>
      <c r="F348" s="90">
        <v>760</v>
      </c>
      <c r="G348" s="90">
        <v>2360</v>
      </c>
      <c r="J348" s="75"/>
    </row>
    <row r="349" spans="1:10">
      <c r="A349" s="90" t="s">
        <v>292</v>
      </c>
      <c r="B349" s="90" t="s">
        <v>2593</v>
      </c>
      <c r="C349" s="90">
        <v>3820</v>
      </c>
      <c r="D349" s="90">
        <v>3780</v>
      </c>
      <c r="E349" s="90">
        <v>4170</v>
      </c>
      <c r="F349" s="90">
        <v>710</v>
      </c>
      <c r="G349" s="90">
        <v>2260</v>
      </c>
      <c r="J349" s="75"/>
    </row>
    <row r="350" spans="1:10">
      <c r="A350" s="90" t="s">
        <v>292</v>
      </c>
      <c r="B350" s="90" t="s">
        <v>2594</v>
      </c>
      <c r="C350" s="90">
        <v>3760</v>
      </c>
      <c r="D350" s="90">
        <v>3730</v>
      </c>
      <c r="E350" s="90">
        <v>4100</v>
      </c>
      <c r="F350" s="90">
        <v>800</v>
      </c>
      <c r="G350" s="90">
        <v>2230</v>
      </c>
      <c r="J350" s="75"/>
    </row>
    <row r="351" spans="1:10">
      <c r="A351" s="90" t="s">
        <v>292</v>
      </c>
      <c r="B351" s="90" t="s">
        <v>2595</v>
      </c>
      <c r="C351" s="90">
        <v>3610</v>
      </c>
      <c r="D351" s="90">
        <v>3580</v>
      </c>
      <c r="E351" s="90">
        <v>3930</v>
      </c>
      <c r="F351" s="90">
        <v>700</v>
      </c>
      <c r="G351" s="90">
        <v>2140</v>
      </c>
      <c r="J351" s="75"/>
    </row>
    <row r="352" spans="1:7">
      <c r="A352" s="90" t="s">
        <v>292</v>
      </c>
      <c r="B352" s="90" t="s">
        <v>2596</v>
      </c>
      <c r="C352" s="90">
        <v>3670</v>
      </c>
      <c r="D352" s="90">
        <v>3630</v>
      </c>
      <c r="E352" s="90">
        <v>4000</v>
      </c>
      <c r="F352" s="90">
        <v>750</v>
      </c>
      <c r="G352" s="90">
        <v>2180</v>
      </c>
    </row>
    <row r="353" s="76" customFormat="1" spans="1:7">
      <c r="A353" s="90" t="s">
        <v>292</v>
      </c>
      <c r="B353" s="90" t="s">
        <v>2597</v>
      </c>
      <c r="C353" s="90">
        <v>3190</v>
      </c>
      <c r="D353" s="90">
        <v>3150</v>
      </c>
      <c r="E353" s="90">
        <v>3640</v>
      </c>
      <c r="F353" s="90">
        <v>630</v>
      </c>
      <c r="G353" s="90">
        <v>1890</v>
      </c>
    </row>
    <row r="354" s="76" customFormat="1" spans="1:7">
      <c r="A354" s="90" t="s">
        <v>292</v>
      </c>
      <c r="B354" s="90" t="s">
        <v>2598</v>
      </c>
      <c r="C354" s="90">
        <v>3450</v>
      </c>
      <c r="D354" s="90">
        <v>3420</v>
      </c>
      <c r="E354" s="90">
        <v>3960</v>
      </c>
      <c r="F354" s="90">
        <v>660</v>
      </c>
      <c r="G354" s="90">
        <v>2050</v>
      </c>
    </row>
    <row r="355" s="76" customFormat="1" spans="1:7">
      <c r="A355" s="90" t="s">
        <v>292</v>
      </c>
      <c r="B355" s="90" t="s">
        <v>2599</v>
      </c>
      <c r="C355" s="90">
        <v>3650</v>
      </c>
      <c r="D355" s="90">
        <v>3610</v>
      </c>
      <c r="E355" s="90">
        <v>4200</v>
      </c>
      <c r="F355" s="90">
        <v>640</v>
      </c>
      <c r="G355" s="90">
        <v>2160</v>
      </c>
    </row>
    <row r="356" s="76" customFormat="1" spans="1:7">
      <c r="A356" s="90" t="s">
        <v>292</v>
      </c>
      <c r="B356" s="90" t="s">
        <v>2600</v>
      </c>
      <c r="C356" s="90">
        <v>3260</v>
      </c>
      <c r="D356" s="90">
        <v>3230</v>
      </c>
      <c r="E356" s="90">
        <v>3740</v>
      </c>
      <c r="F356" s="90">
        <v>600</v>
      </c>
      <c r="G356" s="90">
        <v>1930</v>
      </c>
    </row>
    <row r="357" s="76" customFormat="1" ht="12.75" spans="1:7">
      <c r="A357" s="92" t="s">
        <v>292</v>
      </c>
      <c r="B357" s="96" t="s">
        <v>2601</v>
      </c>
      <c r="C357" s="96">
        <v>3690</v>
      </c>
      <c r="D357" s="96">
        <v>3650</v>
      </c>
      <c r="E357" s="96">
        <v>4020</v>
      </c>
      <c r="F357" s="96">
        <v>700</v>
      </c>
      <c r="G357" s="96">
        <v>2190</v>
      </c>
    </row>
    <row r="358" s="76" customFormat="1" spans="1:7">
      <c r="A358" s="88" t="s">
        <v>296</v>
      </c>
      <c r="B358" s="89" t="s">
        <v>2602</v>
      </c>
      <c r="C358" s="89">
        <v>2080</v>
      </c>
      <c r="D358" s="89">
        <v>2040</v>
      </c>
      <c r="E358" s="89">
        <v>2010</v>
      </c>
      <c r="F358" s="89">
        <v>530</v>
      </c>
      <c r="G358" s="97">
        <v>1230</v>
      </c>
    </row>
    <row r="359" s="76" customFormat="1" spans="1:7">
      <c r="A359" s="90" t="s">
        <v>296</v>
      </c>
      <c r="B359" s="90" t="s">
        <v>2603</v>
      </c>
      <c r="C359" s="90">
        <v>1850</v>
      </c>
      <c r="D359" s="90">
        <v>1820</v>
      </c>
      <c r="E359" s="90">
        <v>1780</v>
      </c>
      <c r="F359" s="90">
        <v>520</v>
      </c>
      <c r="G359" s="98">
        <v>1100</v>
      </c>
    </row>
    <row r="360" s="76" customFormat="1" spans="1:7">
      <c r="A360" s="90" t="s">
        <v>296</v>
      </c>
      <c r="B360" s="90" t="s">
        <v>2604</v>
      </c>
      <c r="C360" s="90">
        <v>2020</v>
      </c>
      <c r="D360" s="90">
        <v>1990</v>
      </c>
      <c r="E360" s="90">
        <v>1950</v>
      </c>
      <c r="F360" s="90">
        <v>500</v>
      </c>
      <c r="G360" s="98">
        <v>1200</v>
      </c>
    </row>
    <row r="361" s="76" customFormat="1" spans="1:7">
      <c r="A361" s="90" t="s">
        <v>296</v>
      </c>
      <c r="B361" s="90" t="s">
        <v>2605</v>
      </c>
      <c r="C361" s="90">
        <v>2260</v>
      </c>
      <c r="D361" s="90">
        <v>2220</v>
      </c>
      <c r="E361" s="90">
        <v>2180</v>
      </c>
      <c r="F361" s="90">
        <v>580</v>
      </c>
      <c r="G361" s="98">
        <v>1340</v>
      </c>
    </row>
    <row r="362" s="76" customFormat="1" spans="1:7">
      <c r="A362" s="90" t="s">
        <v>296</v>
      </c>
      <c r="B362" s="90" t="s">
        <v>2606</v>
      </c>
      <c r="C362" s="90">
        <v>2650</v>
      </c>
      <c r="D362" s="90">
        <v>2610</v>
      </c>
      <c r="E362" s="90">
        <v>2570</v>
      </c>
      <c r="F362" s="90">
        <v>630</v>
      </c>
      <c r="G362" s="98">
        <v>1570</v>
      </c>
    </row>
    <row r="363" s="76" customFormat="1" spans="1:7">
      <c r="A363" s="90" t="s">
        <v>296</v>
      </c>
      <c r="B363" s="90" t="s">
        <v>2607</v>
      </c>
      <c r="C363" s="90">
        <v>2390</v>
      </c>
      <c r="D363" s="90">
        <v>2360</v>
      </c>
      <c r="E363" s="90">
        <v>2320</v>
      </c>
      <c r="F363" s="90">
        <v>600</v>
      </c>
      <c r="G363" s="98">
        <v>1420</v>
      </c>
    </row>
    <row r="364" s="76" customFormat="1" spans="1:7">
      <c r="A364" s="90" t="s">
        <v>296</v>
      </c>
      <c r="B364" s="90" t="s">
        <v>2608</v>
      </c>
      <c r="C364" s="90">
        <v>2050</v>
      </c>
      <c r="D364" s="90">
        <v>2030</v>
      </c>
      <c r="E364" s="90">
        <v>1990</v>
      </c>
      <c r="F364" s="90">
        <v>550</v>
      </c>
      <c r="G364" s="98">
        <v>1220</v>
      </c>
    </row>
    <row r="365" s="76" customFormat="1" spans="1:7">
      <c r="A365" s="90" t="s">
        <v>296</v>
      </c>
      <c r="B365" s="90" t="s">
        <v>2609</v>
      </c>
      <c r="C365" s="90">
        <v>2140</v>
      </c>
      <c r="D365" s="90">
        <v>2100</v>
      </c>
      <c r="E365" s="90">
        <v>2060</v>
      </c>
      <c r="F365" s="90">
        <v>540</v>
      </c>
      <c r="G365" s="98">
        <v>1270</v>
      </c>
    </row>
    <row r="366" s="76" customFormat="1" spans="1:7">
      <c r="A366" s="90" t="s">
        <v>296</v>
      </c>
      <c r="B366" s="90" t="s">
        <v>2610</v>
      </c>
      <c r="C366" s="90">
        <v>2410</v>
      </c>
      <c r="D366" s="90">
        <v>2370</v>
      </c>
      <c r="E366" s="90">
        <v>2330</v>
      </c>
      <c r="F366" s="90">
        <v>570</v>
      </c>
      <c r="G366" s="98">
        <v>1440</v>
      </c>
    </row>
    <row r="367" s="76" customFormat="1" spans="1:7">
      <c r="A367" s="90" t="s">
        <v>296</v>
      </c>
      <c r="B367" s="90" t="s">
        <v>2611</v>
      </c>
      <c r="C367" s="90">
        <v>2300</v>
      </c>
      <c r="D367" s="90">
        <v>2260</v>
      </c>
      <c r="E367" s="90">
        <v>2220</v>
      </c>
      <c r="F367" s="90">
        <v>560</v>
      </c>
      <c r="G367" s="98">
        <v>1370</v>
      </c>
    </row>
    <row r="368" s="76" customFormat="1" spans="1:7">
      <c r="A368" s="90" t="s">
        <v>296</v>
      </c>
      <c r="B368" s="90" t="s">
        <v>2612</v>
      </c>
      <c r="C368" s="90">
        <v>2430</v>
      </c>
      <c r="D368" s="90">
        <v>2390</v>
      </c>
      <c r="E368" s="90">
        <v>2350</v>
      </c>
      <c r="F368" s="90">
        <v>570</v>
      </c>
      <c r="G368" s="98">
        <v>1450</v>
      </c>
    </row>
    <row r="369" s="76" customFormat="1" spans="1:7">
      <c r="A369" s="90" t="s">
        <v>296</v>
      </c>
      <c r="B369" s="90" t="s">
        <v>2613</v>
      </c>
      <c r="C369" s="90">
        <v>2320</v>
      </c>
      <c r="D369" s="90">
        <v>2290</v>
      </c>
      <c r="E369" s="90">
        <v>2250</v>
      </c>
      <c r="F369" s="90">
        <v>550</v>
      </c>
      <c r="G369" s="98">
        <v>1380</v>
      </c>
    </row>
    <row r="370" s="76" customFormat="1" spans="1:7">
      <c r="A370" s="90" t="s">
        <v>296</v>
      </c>
      <c r="B370" s="90" t="s">
        <v>2614</v>
      </c>
      <c r="C370" s="90">
        <v>2190</v>
      </c>
      <c r="D370" s="90">
        <v>2170</v>
      </c>
      <c r="E370" s="90">
        <v>2130</v>
      </c>
      <c r="F370" s="90">
        <v>530</v>
      </c>
      <c r="G370" s="98">
        <v>1310</v>
      </c>
    </row>
    <row r="371" s="76" customFormat="1" spans="1:7">
      <c r="A371" s="90" t="s">
        <v>296</v>
      </c>
      <c r="B371" s="90" t="s">
        <v>2615</v>
      </c>
      <c r="C371" s="90">
        <v>2460</v>
      </c>
      <c r="D371" s="90">
        <v>2420</v>
      </c>
      <c r="E371" s="90">
        <v>2370</v>
      </c>
      <c r="F371" s="90">
        <v>560</v>
      </c>
      <c r="G371" s="98">
        <v>1470</v>
      </c>
    </row>
    <row r="372" s="76" customFormat="1" spans="1:7">
      <c r="A372" s="90" t="s">
        <v>296</v>
      </c>
      <c r="B372" s="90" t="s">
        <v>2616</v>
      </c>
      <c r="C372" s="90">
        <v>2250</v>
      </c>
      <c r="D372" s="90">
        <v>2210</v>
      </c>
      <c r="E372" s="90">
        <v>2180</v>
      </c>
      <c r="F372" s="90">
        <v>550</v>
      </c>
      <c r="G372" s="98">
        <v>1340</v>
      </c>
    </row>
    <row r="373" s="76" customFormat="1" spans="1:7">
      <c r="A373" s="90" t="s">
        <v>296</v>
      </c>
      <c r="B373" s="90" t="s">
        <v>2617</v>
      </c>
      <c r="C373" s="90">
        <v>2210</v>
      </c>
      <c r="D373" s="90">
        <v>2190</v>
      </c>
      <c r="E373" s="90">
        <v>2150</v>
      </c>
      <c r="F373" s="90">
        <v>530</v>
      </c>
      <c r="G373" s="98">
        <v>1320</v>
      </c>
    </row>
    <row r="374" s="76" customFormat="1" spans="1:7">
      <c r="A374" s="90" t="s">
        <v>296</v>
      </c>
      <c r="B374" s="90" t="s">
        <v>2618</v>
      </c>
      <c r="C374" s="90">
        <v>2320</v>
      </c>
      <c r="D374" s="90">
        <v>2280</v>
      </c>
      <c r="E374" s="90">
        <v>2230</v>
      </c>
      <c r="F374" s="90">
        <v>580</v>
      </c>
      <c r="G374" s="98">
        <v>1380</v>
      </c>
    </row>
    <row r="375" s="76" customFormat="1" spans="1:7">
      <c r="A375" s="90" t="s">
        <v>296</v>
      </c>
      <c r="B375" s="90" t="s">
        <v>2619</v>
      </c>
      <c r="C375" s="90">
        <v>2090</v>
      </c>
      <c r="D375" s="90">
        <v>2050</v>
      </c>
      <c r="E375" s="90">
        <v>2020</v>
      </c>
      <c r="F375" s="90">
        <v>520</v>
      </c>
      <c r="G375" s="98">
        <v>1240</v>
      </c>
    </row>
    <row r="376" s="76" customFormat="1" spans="1:7">
      <c r="A376" s="90" t="s">
        <v>296</v>
      </c>
      <c r="B376" s="90" t="s">
        <v>2620</v>
      </c>
      <c r="C376" s="90">
        <v>2010</v>
      </c>
      <c r="D376" s="90">
        <v>1980</v>
      </c>
      <c r="E376" s="90">
        <v>1940</v>
      </c>
      <c r="F376" s="90">
        <v>540</v>
      </c>
      <c r="G376" s="98">
        <v>1190</v>
      </c>
    </row>
    <row r="377" s="76" customFormat="1" ht="12.75" spans="1:7">
      <c r="A377" s="92" t="s">
        <v>296</v>
      </c>
      <c r="B377" s="96" t="s">
        <v>2621</v>
      </c>
      <c r="C377" s="96">
        <v>1930</v>
      </c>
      <c r="D377" s="96">
        <v>1890</v>
      </c>
      <c r="E377" s="96">
        <v>1860</v>
      </c>
      <c r="F377" s="96">
        <v>530</v>
      </c>
      <c r="G377" s="105">
        <v>1150</v>
      </c>
    </row>
    <row r="378" s="76" customFormat="1" spans="1:7">
      <c r="A378" s="106" t="s">
        <v>300</v>
      </c>
      <c r="B378" s="89" t="s">
        <v>2622</v>
      </c>
      <c r="C378" s="89">
        <v>1520</v>
      </c>
      <c r="D378" s="89">
        <v>1490</v>
      </c>
      <c r="E378" s="89">
        <v>1460</v>
      </c>
      <c r="F378" s="89">
        <v>460</v>
      </c>
      <c r="G378" s="97">
        <v>940</v>
      </c>
    </row>
    <row r="379" s="76" customFormat="1" spans="1:7">
      <c r="A379" s="107" t="s">
        <v>300</v>
      </c>
      <c r="B379" s="90" t="s">
        <v>2623</v>
      </c>
      <c r="C379" s="90">
        <v>1500</v>
      </c>
      <c r="D379" s="90">
        <v>1470</v>
      </c>
      <c r="E379" s="90">
        <v>1430</v>
      </c>
      <c r="F379" s="90">
        <v>460</v>
      </c>
      <c r="G379" s="98">
        <v>920</v>
      </c>
    </row>
    <row r="380" s="76" customFormat="1" spans="1:7">
      <c r="A380" s="107" t="s">
        <v>300</v>
      </c>
      <c r="B380" s="90" t="s">
        <v>2624</v>
      </c>
      <c r="C380" s="90">
        <v>1620</v>
      </c>
      <c r="D380" s="90">
        <v>1590</v>
      </c>
      <c r="E380" s="90">
        <v>1560</v>
      </c>
      <c r="F380" s="90">
        <v>480</v>
      </c>
      <c r="G380" s="98">
        <v>1000</v>
      </c>
    </row>
    <row r="381" s="76" customFormat="1" spans="1:7">
      <c r="A381" s="107" t="s">
        <v>300</v>
      </c>
      <c r="B381" s="90" t="s">
        <v>2625</v>
      </c>
      <c r="C381" s="90">
        <v>1460</v>
      </c>
      <c r="D381" s="90">
        <v>1430</v>
      </c>
      <c r="E381" s="90">
        <v>1390</v>
      </c>
      <c r="F381" s="90">
        <v>450</v>
      </c>
      <c r="G381" s="98">
        <v>900</v>
      </c>
    </row>
    <row r="382" s="76" customFormat="1" spans="1:7">
      <c r="A382" s="107" t="s">
        <v>300</v>
      </c>
      <c r="B382" s="90" t="s">
        <v>2626</v>
      </c>
      <c r="C382" s="90">
        <v>1310</v>
      </c>
      <c r="D382" s="90">
        <v>1280</v>
      </c>
      <c r="E382" s="90">
        <v>1250</v>
      </c>
      <c r="F382" s="90">
        <v>440</v>
      </c>
      <c r="G382" s="98">
        <v>800</v>
      </c>
    </row>
    <row r="383" s="76" customFormat="1" spans="1:7">
      <c r="A383" s="107" t="s">
        <v>300</v>
      </c>
      <c r="B383" s="90" t="s">
        <v>2627</v>
      </c>
      <c r="C383" s="90">
        <v>1260</v>
      </c>
      <c r="D383" s="90">
        <v>1230</v>
      </c>
      <c r="E383" s="90">
        <v>1200</v>
      </c>
      <c r="F383" s="90">
        <v>420</v>
      </c>
      <c r="G383" s="98">
        <v>770</v>
      </c>
    </row>
    <row r="384" s="76" customFormat="1" ht="12.75" spans="1:7">
      <c r="A384" s="108" t="s">
        <v>300</v>
      </c>
      <c r="B384" s="94" t="s">
        <v>2628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45861</v>
      </c>
      <c r="D1" s="7" t="s">
        <v>2937</v>
      </c>
      <c r="E1" s="9">
        <f>'数据-取费表'!B22</f>
        <v>1</v>
      </c>
      <c r="F1" s="7" t="s">
        <v>2938</v>
      </c>
      <c r="G1" s="10">
        <f ca="1">INDIRECT("d"&amp;$K$1)/100</f>
        <v>0.03</v>
      </c>
      <c r="H1" s="7" t="s">
        <v>2939</v>
      </c>
      <c r="I1" s="10">
        <f ca="1">F4/100</f>
        <v>0.015</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2938</v>
      </c>
      <c r="E2" s="11"/>
      <c r="F2" s="11" t="s">
        <v>2940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2947</v>
      </c>
      <c r="C10" s="35"/>
      <c r="D10" s="35"/>
      <c r="E10" s="35"/>
      <c r="F10" s="35"/>
      <c r="G10" s="35"/>
      <c r="H10" s="35"/>
      <c r="I10" s="3"/>
      <c r="J10" s="3"/>
      <c r="K10" s="35"/>
      <c r="L10" s="36" t="s">
        <v>2948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2949</v>
      </c>
      <c r="C11" s="39" t="s">
        <v>2950</v>
      </c>
      <c r="D11" s="40" t="s">
        <v>2951</v>
      </c>
      <c r="E11" s="41"/>
      <c r="F11" s="40" t="s">
        <v>2952</v>
      </c>
      <c r="G11" s="42"/>
      <c r="H11" s="41"/>
      <c r="I11" s="40" t="s">
        <v>2953</v>
      </c>
      <c r="J11" s="41"/>
      <c r="K11" s="37"/>
      <c r="L11" s="38" t="s">
        <v>2949</v>
      </c>
      <c r="M11" s="39" t="s">
        <v>2950</v>
      </c>
      <c r="N11" s="38" t="s">
        <v>2954</v>
      </c>
      <c r="O11" s="40" t="s">
        <v>2955</v>
      </c>
      <c r="P11" s="42"/>
      <c r="Q11" s="42"/>
      <c r="R11" s="42"/>
      <c r="S11" s="42"/>
      <c r="T11" s="41"/>
      <c r="U11" s="40" t="s">
        <v>2956</v>
      </c>
      <c r="V11" s="42"/>
      <c r="W11" s="41"/>
      <c r="X11" s="38" t="s">
        <v>2957</v>
      </c>
      <c r="Y11" s="38" t="s">
        <v>2958</v>
      </c>
      <c r="Z11" s="38" t="s">
        <v>2959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2960</v>
      </c>
      <c r="E12" s="46" t="s">
        <v>2942</v>
      </c>
      <c r="F12" s="46" t="s">
        <v>2943</v>
      </c>
      <c r="G12" s="46" t="s">
        <v>2944</v>
      </c>
      <c r="H12" s="46" t="s">
        <v>2945</v>
      </c>
      <c r="I12" s="60" t="s">
        <v>2961</v>
      </c>
      <c r="J12" s="60" t="s">
        <v>2961</v>
      </c>
      <c r="K12" s="43"/>
      <c r="L12" s="44"/>
      <c r="M12" s="45"/>
      <c r="N12" s="44"/>
      <c r="O12" s="60" t="s">
        <v>2962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2963</v>
      </c>
      <c r="C13" s="49">
        <v>45797</v>
      </c>
      <c r="D13" s="50">
        <v>3</v>
      </c>
      <c r="E13" s="50">
        <v>3</v>
      </c>
      <c r="F13" s="50">
        <f t="shared" ref="F13:F18" si="0">D13</f>
        <v>3</v>
      </c>
      <c r="G13" s="50">
        <f t="shared" ref="G13:G18" si="1">D13</f>
        <v>3</v>
      </c>
      <c r="H13" s="50">
        <v>3.5</v>
      </c>
      <c r="I13" s="50"/>
      <c r="J13" s="50"/>
      <c r="K13" s="47"/>
      <c r="L13" s="48" t="s">
        <v>2963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2964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2965</v>
      </c>
      <c r="Y42" s="52" t="s">
        <v>2965</v>
      </c>
      <c r="Z42" s="52" t="s">
        <v>2965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2965</v>
      </c>
      <c r="Y43" s="52" t="s">
        <v>2965</v>
      </c>
      <c r="Z43" s="52" t="s">
        <v>2965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2965</v>
      </c>
      <c r="Y44" s="52" t="s">
        <v>2965</v>
      </c>
      <c r="Z44" s="52" t="s">
        <v>2965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2965</v>
      </c>
      <c r="Y45" s="52" t="s">
        <v>2965</v>
      </c>
      <c r="Z45" s="52" t="s">
        <v>2965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2965</v>
      </c>
      <c r="Y46" s="52" t="s">
        <v>2965</v>
      </c>
      <c r="Z46" s="52" t="s">
        <v>2965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2965</v>
      </c>
      <c r="Y47" s="52" t="s">
        <v>2965</v>
      </c>
      <c r="Z47" s="52" t="s">
        <v>2965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2965</v>
      </c>
      <c r="Y48" s="52" t="s">
        <v>2965</v>
      </c>
      <c r="Z48" s="52" t="s">
        <v>2965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2965</v>
      </c>
      <c r="Y49" s="52" t="s">
        <v>2965</v>
      </c>
      <c r="Z49" s="52" t="s">
        <v>2965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2965</v>
      </c>
      <c r="Y50" s="52" t="s">
        <v>2965</v>
      </c>
      <c r="Z50" s="52" t="s">
        <v>2965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2965</v>
      </c>
      <c r="V51" s="52" t="s">
        <v>2965</v>
      </c>
      <c r="W51" s="52" t="s">
        <v>2965</v>
      </c>
      <c r="X51" s="52" t="s">
        <v>2965</v>
      </c>
      <c r="Y51" s="52" t="s">
        <v>2965</v>
      </c>
      <c r="Z51" s="52" t="s">
        <v>2965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2965</v>
      </c>
      <c r="J70" s="52" t="s">
        <v>2965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4" customWidth="1"/>
    <col min="2" max="9" width="12.1272727272727" style="984" customWidth="1"/>
    <col min="10" max="16384" width="9" style="984"/>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房地产</v>
      </c>
      <c r="B4" s="3655">
        <f>项目基本情况!C17</f>
        <v>54377.37</v>
      </c>
      <c r="C4" s="3655">
        <f>项目基本情况!C18</f>
        <v>11805</v>
      </c>
      <c r="D4" s="3655">
        <f ca="1">结果表!D118</f>
        <v>1966</v>
      </c>
      <c r="E4" s="3655">
        <f ca="1">结果表!E118</f>
        <v>361</v>
      </c>
      <c r="F4" s="3655">
        <f ca="1">结果表!F118</f>
        <v>7768</v>
      </c>
      <c r="G4" s="3655">
        <f ca="1">结果表!G118</f>
        <v>1429</v>
      </c>
      <c r="H4" s="3655">
        <f ca="1">结果表!H118</f>
        <v>9734</v>
      </c>
      <c r="I4" s="3655">
        <f ca="1">结果表!I118</f>
        <v>1790</v>
      </c>
    </row>
    <row r="5" ht="30" customHeight="1" spans="1:9">
      <c r="A5" s="3655" t="s">
        <v>112</v>
      </c>
      <c r="B5" s="3655"/>
      <c r="C5" s="3655"/>
      <c r="D5" s="3655" t="str">
        <f ca="1">结果表!D119</f>
        <v>壹仟玖佰陆拾陆万元整</v>
      </c>
      <c r="E5" s="3655"/>
      <c r="F5" s="3655" t="str">
        <f ca="1">结果表!F119</f>
        <v>柒仟柒佰陆拾捌万元整</v>
      </c>
      <c r="G5" s="3655"/>
      <c r="H5" s="3655" t="str">
        <f ca="1">结果表!H119</f>
        <v>玖仟柒佰叁拾肆万元整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 ca="1">结果表!D122</f>
        <v>9734</v>
      </c>
      <c r="E8" s="3657"/>
      <c r="F8" s="3657"/>
      <c r="G8" s="3657"/>
      <c r="H8" s="3657"/>
      <c r="I8" s="3657"/>
    </row>
    <row r="9" ht="15.5" spans="1:9">
      <c r="A9" s="3655" t="s">
        <v>112</v>
      </c>
      <c r="B9" s="3655"/>
      <c r="C9" s="3655"/>
      <c r="D9" s="3655" t="str">
        <f ca="1">结果表!D123</f>
        <v>玖仟柒佰叁拾肆万元整</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0" t="s">
        <v>112</v>
      </c>
      <c r="B13" s="3660"/>
      <c r="C13" s="3660"/>
      <c r="D13" s="3660" t="e">
        <f ca="1">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4" customWidth="1"/>
    <col min="2" max="3" width="22.3727272727273" style="984" customWidth="1"/>
    <col min="4" max="4" width="23" style="984" customWidth="1"/>
    <col min="5" max="16384" width="9" style="984"/>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55"/>
      <c r="C23" s="1855"/>
      <c r="D23" s="1855"/>
    </row>
    <row r="24" spans="1:4">
      <c r="A24" s="3649"/>
      <c r="B24" s="1855"/>
      <c r="C24" s="1855"/>
      <c r="D24" s="1855"/>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45863</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t="str">
        <f ca="1">IF(C9&lt;B2,"已过期",1120060040)</f>
        <v>已过期</v>
      </c>
      <c r="C9" s="3588">
        <v>45592</v>
      </c>
      <c r="D9" s="3584" t="str">
        <f ca="1" t="shared" si="0"/>
        <v>陈颖（注册号：已过期）</v>
      </c>
      <c r="E9" s="3585" t="s">
        <v>189</v>
      </c>
      <c r="F9" s="3582">
        <f ca="1">IF(G9&lt;B2,"已过期",2004110096)</f>
        <v>2004110096</v>
      </c>
      <c r="G9" s="3586">
        <v>47118</v>
      </c>
      <c r="H9" s="3587" t="str">
        <f ca="1" t="shared" si="1"/>
        <v>陈颖（注册号：2004110096）</v>
      </c>
    </row>
    <row r="10" customHeight="1" spans="1:8">
      <c r="A10" s="3582" t="s">
        <v>190</v>
      </c>
      <c r="B10" s="3582" t="str">
        <f ca="1">IF(C10&lt;B2,"已过期",1120100036)</f>
        <v>已过期</v>
      </c>
      <c r="C10" s="3588">
        <v>45752</v>
      </c>
      <c r="D10" s="3584" t="str">
        <f ca="1" t="shared" si="0"/>
        <v>崔锴（注册号：已过期）</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2025-07-25T01:27:45Z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2052-12.1.0.21915</vt:lpwstr>
  </property>
</Properties>
</file>