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V19" i="1"/>
  <c r="F18" i="81"/>
  <c r="U6" i="1" l="1"/>
  <c r="L18" i="1"/>
  <c r="J56" i="81"/>
  <c r="C7" i="80"/>
  <c r="G51" i="43"/>
  <c r="G52" i="43"/>
  <c r="G53" i="43"/>
  <c r="G54" i="43"/>
  <c r="G55" i="43"/>
  <c r="G56" i="43"/>
  <c r="G57" i="43"/>
  <c r="G58" i="43"/>
  <c r="G50" i="43"/>
  <c r="D33" i="43"/>
  <c r="B29" i="1"/>
  <c r="Y6" i="1"/>
  <c r="N6" i="1"/>
  <c r="N20" i="1"/>
  <c r="N18" i="1"/>
  <c r="N17" i="1"/>
  <c r="F19" i="6"/>
  <c r="C19" i="6"/>
  <c r="D3" i="4"/>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70" i="15" s="1"/>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M26" i="67"/>
  <c r="F43" i="67"/>
  <c r="F3" i="73"/>
  <c r="F13" i="67"/>
  <c r="M30" i="15"/>
  <c r="B8" i="76"/>
  <c r="F27" i="15"/>
  <c r="M6" i="67"/>
  <c r="M21" i="15"/>
  <c r="F7" i="15"/>
  <c r="F51" i="15"/>
  <c r="F38" i="67"/>
  <c r="E2" i="69"/>
  <c r="E10" i="76"/>
  <c r="F7" i="73"/>
  <c r="M23" i="67"/>
  <c r="M28" i="67"/>
  <c r="E11" i="76"/>
  <c r="M29" i="15"/>
  <c r="M27" i="15"/>
  <c r="M6" i="15"/>
  <c r="C76" i="67"/>
  <c r="F25" i="15"/>
  <c r="M8" i="15"/>
  <c r="F47" i="15"/>
  <c r="B12" i="76"/>
  <c r="M24" i="67"/>
  <c r="F6" i="73"/>
  <c r="F5" i="73"/>
  <c r="D6" i="73"/>
  <c r="F4" i="73"/>
  <c r="J15" i="67"/>
  <c r="F21" i="15"/>
  <c r="F23" i="15"/>
  <c r="M25" i="15"/>
  <c r="C69" i="15"/>
  <c r="M29" i="67"/>
  <c r="F7" i="67"/>
  <c r="F9" i="15"/>
  <c r="B7" i="76"/>
  <c r="M22" i="67"/>
  <c r="F31" i="15"/>
  <c r="F9" i="67"/>
  <c r="E12" i="76"/>
  <c r="M9" i="15"/>
  <c r="E9" i="76"/>
  <c r="F8" i="67"/>
  <c r="B10" i="76"/>
  <c r="E8" i="76"/>
  <c r="F6" i="15"/>
  <c r="M35" i="15"/>
  <c r="B13" i="76"/>
  <c r="F26" i="67"/>
  <c r="M9" i="67"/>
  <c r="F6" i="67"/>
  <c r="F20" i="31"/>
  <c r="C18" i="15"/>
  <c r="F16" i="67"/>
  <c r="F40" i="67"/>
  <c r="L55" i="15"/>
  <c r="F8" i="15"/>
  <c r="B9" i="76"/>
  <c r="F37" i="15"/>
  <c r="F29" i="15"/>
  <c r="M8" i="67"/>
  <c r="AO13" i="1"/>
  <c r="C86" i="15"/>
  <c r="E13" i="76"/>
  <c r="M23" i="15"/>
  <c r="L47" i="67"/>
  <c r="F37" i="67"/>
  <c r="F42" i="67"/>
  <c r="E7" i="76"/>
  <c r="B11" i="76"/>
  <c r="D51" i="43" l="1"/>
  <c r="D52" i="43"/>
  <c r="D50" i="43"/>
  <c r="E17" i="68"/>
  <c r="G29" i="6"/>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F76" i="15"/>
  <c r="Q71" i="67"/>
  <c r="F73" i="15"/>
  <c r="C27" i="67"/>
  <c r="F71" i="67"/>
  <c r="C48" i="15"/>
  <c r="F75" i="15"/>
  <c r="N59" i="67"/>
  <c r="L59" i="67"/>
  <c r="M59" i="67"/>
  <c r="B13" i="70"/>
  <c r="M7" i="67"/>
  <c r="J6" i="67" s="1"/>
  <c r="F50" i="67"/>
  <c r="F68" i="67"/>
  <c r="F64" i="67"/>
  <c r="F78" i="15"/>
  <c r="D9" i="69"/>
  <c r="D15" i="80"/>
  <c r="D21" i="12"/>
  <c r="D15" i="68"/>
  <c r="M29" i="81"/>
  <c r="M21" i="81"/>
  <c r="F27" i="81"/>
  <c r="C85" i="81"/>
  <c r="L55" i="81"/>
  <c r="D7" i="73"/>
  <c r="M9" i="81"/>
  <c r="F8" i="81"/>
  <c r="C68" i="81"/>
  <c r="L56" i="15"/>
  <c r="M27" i="81"/>
  <c r="D4" i="73"/>
  <c r="M23" i="81"/>
  <c r="M30" i="81"/>
  <c r="M6" i="81"/>
  <c r="F9" i="81"/>
  <c r="F25" i="81"/>
  <c r="M25" i="81"/>
  <c r="D3" i="73"/>
  <c r="D5" i="73"/>
  <c r="L54" i="81"/>
  <c r="F46" i="81"/>
  <c r="M34" i="81"/>
  <c r="L48" i="67"/>
  <c r="F29" i="81"/>
  <c r="C16" i="67"/>
  <c r="F36" i="81"/>
  <c r="F21" i="81"/>
  <c r="F7" i="81"/>
  <c r="F6" i="81"/>
  <c r="M8" i="81"/>
  <c r="F23" i="81"/>
  <c r="F31" i="81"/>
  <c r="C37" i="15"/>
  <c r="F50" i="81"/>
  <c r="E13" i="6" l="1"/>
  <c r="L67" i="15"/>
  <c r="Q84" i="15" s="1"/>
  <c r="M67" i="15"/>
  <c r="D69" i="39"/>
  <c r="D71" i="39" s="1"/>
  <c r="J7" i="36"/>
  <c r="AC7" i="36" s="1"/>
  <c r="V36" i="36" s="1"/>
  <c r="I36" i="36"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U7" i="36"/>
  <c r="F7" i="33"/>
  <c r="E58" i="21"/>
  <c r="W7" i="36"/>
  <c r="F7" i="37"/>
  <c r="M17" i="67"/>
  <c r="P28" i="43"/>
  <c r="B68" i="40" s="1"/>
  <c r="P25" i="43"/>
  <c r="C49" i="67"/>
  <c r="P29" i="43"/>
  <c r="P27" i="43"/>
  <c r="B72" i="39" s="1"/>
  <c r="M11" i="67"/>
  <c r="J10" i="67" s="1"/>
  <c r="J5" i="67" s="1"/>
  <c r="F11" i="15"/>
  <c r="M11" i="15"/>
  <c r="J10" i="15" s="1"/>
  <c r="F11" i="67"/>
  <c r="Q61" i="67"/>
  <c r="Q74" i="67"/>
  <c r="Q69" i="15"/>
  <c r="AE11" i="1"/>
  <c r="AE12" i="1"/>
  <c r="AE10" i="1"/>
  <c r="AE9" i="1"/>
  <c r="AE8" i="1"/>
  <c r="F33" i="12"/>
  <c r="C18" i="12"/>
  <c r="F27" i="68"/>
  <c r="C18" i="81"/>
  <c r="G1" i="73"/>
  <c r="C36" i="81"/>
  <c r="F1" i="15" l="1"/>
  <c r="E16" i="6"/>
  <c r="E58" i="40"/>
  <c r="E27" i="6"/>
  <c r="K26" i="6" s="1"/>
  <c r="M26" i="6" s="1"/>
  <c r="I26" i="6" s="1"/>
  <c r="S26" i="6" s="1"/>
  <c r="AC6" i="3"/>
  <c r="Q60" i="15"/>
  <c r="G16" i="1"/>
  <c r="J12" i="39" s="1"/>
  <c r="W12" i="39" s="1"/>
  <c r="W7" i="37"/>
  <c r="J9" i="81"/>
  <c r="C10" i="15"/>
  <c r="C5" i="15" s="1"/>
  <c r="C61" i="15"/>
  <c r="C54" i="80"/>
  <c r="Q83" i="15"/>
  <c r="C29" i="80"/>
  <c r="K16" i="1"/>
  <c r="C10" i="80"/>
  <c r="E53" i="40"/>
  <c r="E58" i="39"/>
  <c r="E67" i="39" s="1"/>
  <c r="F69" i="39"/>
  <c r="G69" i="39" s="1"/>
  <c r="L66" i="81"/>
  <c r="Q83" i="81" s="1"/>
  <c r="F1" i="67"/>
  <c r="Q73" i="67"/>
  <c r="C52" i="12"/>
  <c r="E3" i="6"/>
  <c r="M18" i="9" s="1"/>
  <c r="B118" i="9" s="1"/>
  <c r="B1" i="74" s="1"/>
  <c r="AS16" i="1"/>
  <c r="F34" i="83" s="1"/>
  <c r="Q67" i="81"/>
  <c r="C16" i="81"/>
  <c r="C10" i="81"/>
  <c r="C5" i="81" s="1"/>
  <c r="C25" i="81" s="1"/>
  <c r="C57" i="81"/>
  <c r="C59" i="81" s="1"/>
  <c r="C56" i="81" s="1"/>
  <c r="C60" i="81" s="1"/>
  <c r="C55" i="81" s="1"/>
  <c r="C75" i="81" s="1"/>
  <c r="D26" i="43"/>
  <c r="C25" i="43" s="1"/>
  <c r="C33" i="43" s="1"/>
  <c r="H6" i="3"/>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M28" i="81"/>
  <c r="M27" i="67"/>
  <c r="F41" i="67"/>
  <c r="M28" i="15"/>
  <c r="AE6" i="1"/>
  <c r="F28" i="81" s="1"/>
  <c r="F28" i="15"/>
  <c r="K22" i="6" l="1"/>
  <c r="K23" i="6"/>
  <c r="L18" i="9"/>
  <c r="D3" i="21"/>
  <c r="K24" i="6"/>
  <c r="M24" i="6" s="1"/>
  <c r="I24" i="6" s="1"/>
  <c r="K20" i="6"/>
  <c r="M20" i="6" s="1"/>
  <c r="I20" i="6" s="1"/>
  <c r="S20" i="6" s="1"/>
  <c r="E6" i="3"/>
  <c r="D19" i="11"/>
  <c r="C19" i="11" s="1"/>
  <c r="E31" i="6"/>
  <c r="K25" i="6"/>
  <c r="F12" i="40"/>
  <c r="S12" i="40" s="1"/>
  <c r="H12" i="39"/>
  <c r="U12" i="39" s="1"/>
  <c r="H12" i="40"/>
  <c r="AB12" i="40" s="1"/>
  <c r="J12" i="40"/>
  <c r="AC12" i="40" s="1"/>
  <c r="F12" i="39"/>
  <c r="S12" i="39" s="1"/>
  <c r="G54" i="34"/>
  <c r="H54" i="34" s="1"/>
  <c r="J6" i="81"/>
  <c r="C56" i="15"/>
  <c r="C25" i="15"/>
  <c r="C27" i="15"/>
  <c r="D16" i="80"/>
  <c r="C16" i="80" s="1"/>
  <c r="C14" i="80" s="1"/>
  <c r="D3" i="37"/>
  <c r="D3" i="34"/>
  <c r="C17" i="4"/>
  <c r="B4" i="52" s="1"/>
  <c r="B43" i="72" s="1"/>
  <c r="Q68" i="81"/>
  <c r="F69" i="67"/>
  <c r="F78" i="81"/>
  <c r="F25" i="82"/>
  <c r="C27" i="82" s="1"/>
  <c r="AC12" i="39"/>
  <c r="D20" i="82"/>
  <c r="C20" i="82" s="1"/>
  <c r="C23" i="83"/>
  <c r="D24" i="83"/>
  <c r="C24" i="83" s="1"/>
  <c r="F29" i="83"/>
  <c r="F29" i="12"/>
  <c r="C30" i="12" s="1"/>
  <c r="F44" i="81"/>
  <c r="C44" i="81" s="1"/>
  <c r="J16" i="15"/>
  <c r="J25" i="15"/>
  <c r="C66" i="81"/>
  <c r="C41" i="80"/>
  <c r="C11" i="80"/>
  <c r="C42" i="80" s="1"/>
  <c r="C19" i="80"/>
  <c r="C20" i="80"/>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S11" i="1"/>
  <c r="E11" i="70" s="1"/>
  <c r="M22" i="6"/>
  <c r="I22" i="6" s="1"/>
  <c r="S22" i="6" s="1"/>
  <c r="S9" i="1"/>
  <c r="AQ8" i="1"/>
  <c r="T8" i="1"/>
  <c r="AR8" i="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38" i="15"/>
  <c r="C34" i="81"/>
  <c r="C17" i="67"/>
  <c r="C37" i="81"/>
  <c r="C46" i="80" l="1"/>
  <c r="C45" i="80"/>
  <c r="J16" i="81"/>
  <c r="J10" i="81"/>
  <c r="J5" i="81" s="1"/>
  <c r="J25" i="81" s="1"/>
  <c r="C30" i="43"/>
  <c r="H21" i="6"/>
  <c r="S24" i="6"/>
  <c r="H24" i="6"/>
  <c r="U12" i="40"/>
  <c r="AA12" i="39"/>
  <c r="AA12" i="40"/>
  <c r="AB12" i="39"/>
  <c r="D17" i="80"/>
  <c r="C17" i="80" s="1"/>
  <c r="W12" i="40"/>
  <c r="E54" i="34"/>
  <c r="F54" i="34"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5" i="15"/>
  <c r="H19" i="80" l="1"/>
  <c r="D18" i="80"/>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H20" i="80"/>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F20" i="81"/>
  <c r="M20" i="15"/>
  <c r="F35" i="67"/>
  <c r="M20" i="81"/>
  <c r="M21" i="67"/>
  <c r="C25" i="80" l="1"/>
  <c r="C23" i="80" s="1"/>
  <c r="C56" i="80"/>
  <c r="C57" i="80" s="1"/>
  <c r="C31" i="80" s="1"/>
  <c r="F22" i="81"/>
  <c r="J19" i="81"/>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8" i="80" l="1"/>
  <c r="C59" i="80" s="1"/>
  <c r="C5" i="80"/>
  <c r="C32" i="80" s="1"/>
  <c r="C33" i="80" s="1"/>
  <c r="D3" i="80" s="1"/>
  <c r="B2"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J23" i="81"/>
  <c r="J17" i="81" s="1"/>
  <c r="J15" i="81" s="1"/>
  <c r="J14" i="81" s="1"/>
  <c r="J13" i="81" s="1"/>
  <c r="J26" i="81" s="1"/>
  <c r="J27" i="81" s="1"/>
  <c r="J30" i="81" s="1"/>
  <c r="J31" i="81" s="1"/>
  <c r="M24" i="81"/>
  <c r="F22" i="15"/>
  <c r="Q57" i="15"/>
  <c r="C63" i="81"/>
  <c r="C76" i="81" s="1"/>
  <c r="C77" i="81" s="1"/>
  <c r="C80" i="81" s="1"/>
  <c r="C81" i="81" s="1"/>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8" i="81"/>
  <c r="F2" i="33"/>
  <c r="C19" i="9"/>
  <c r="L51" i="67"/>
  <c r="J35" i="15" l="1"/>
  <c r="J36" i="15" s="1"/>
  <c r="M22" i="15"/>
  <c r="J68" i="15"/>
  <c r="Q56" i="15" s="1"/>
  <c r="C102" i="9"/>
  <c r="C27" i="81"/>
  <c r="C88"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F2" i="35"/>
  <c r="F2" i="36"/>
  <c r="C20" i="9"/>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3" i="15"/>
  <c r="C92" i="15" s="1"/>
  <c r="D34" i="9"/>
  <c r="AO9" i="1"/>
  <c r="AO6" i="1"/>
  <c r="AO8" i="1"/>
  <c r="L119" i="9" l="1"/>
  <c r="D118" i="9" s="1"/>
  <c r="L117" i="9"/>
  <c r="B9" i="70"/>
  <c r="B8" i="70"/>
  <c r="B6" i="70"/>
  <c r="B3" i="15"/>
  <c r="C104" i="9"/>
  <c r="D14" i="74" s="1"/>
  <c r="G14" i="74" s="1"/>
  <c r="B6" i="74" s="1"/>
  <c r="H4" i="52"/>
  <c r="I4" i="52"/>
  <c r="H119" i="9"/>
  <c r="H5" i="52" s="1"/>
  <c r="H101" i="9"/>
  <c r="D5" i="53" s="1"/>
  <c r="D6" i="74" l="1"/>
  <c r="C6" i="74"/>
  <c r="F14" i="74"/>
  <c r="E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<sst xmlns="http://schemas.openxmlformats.org/spreadsheetml/2006/main" count="9012" uniqueCount="3946">
  <si>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</si>
  <si>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</si>
  <si>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</si>
  <si>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</si>
  <si>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</si>
  <si>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</si>
  <si>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</si>
  <si>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</si>
  <si>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</si>
  <si>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</si>
  <si>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</si>
  <si>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</si>
  <si>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</si>
  <si>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</si>
  <si>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</si>
  <si>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</si>
  <si>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</si>
  <si>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</si>
  <si>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</si>
  <si>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</si>
  <si>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</si>
  <si>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</si>
  <si>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</si>
  <si>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</si>
  <si>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</si>
  <si>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</si>
  <si>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</si>
  <si>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</si>
  <si>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</si>
  <si>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</si>
  <si>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</si>
  <si>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</si>
  <si>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</si>
  <si>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</si>
  <si>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</si>
  <si>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</si>
  <si>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</si>
  <si>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</si>
  <si>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</si>
  <si>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</si>
  <si>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</si>
  <si>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</si>
  <si>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</si>
  <si>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</si>
  <si>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</si>
  <si>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</si>
  <si>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</si>
  <si>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</si>
  <si>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</si>
  <si>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</si>
  <si>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</si>
  <si>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</si>
  <si>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</si>
  <si>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</si>
  <si>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</si>
  <si>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</si>
  <si>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</si>
  <si>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</si>
  <si>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</si>
  <si>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</si>
  <si>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</si>
  <si>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</si>
  <si>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</si>
  <si>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</si>
  <si>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</si>
  <si>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</si>
  <si>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</si>
  <si>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</si>
  <si>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</si>
  <si>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</si>
  <si>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</si>
  <si>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</si>
  <si>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</si>
  <si>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</si>
  <si>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</si>
  <si>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</si>
  <si>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</si>
  <si>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</si>
  <si>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</si>
  <si>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</si>
  <si>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</si>
  <si>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</si>
  <si>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</si>
  <si>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</si>
  <si>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</si>
  <si>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</si>
  <si>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</si>
  <si>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</si>
  <si>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</si>
  <si>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</si>
  <si>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</si>
  <si>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</si>
  <si>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</si>
  <si>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</si>
  <si>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</si>
  <si>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</si>
  <si>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</si>
  <si>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</si>
  <si>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</si>
  <si>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</si>
  <si>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</si>
  <si>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</si>
  <si>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</si>
  <si>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</si>
  <si>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</si>
  <si>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</si>
  <si>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</si>
  <si>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</si>
  <si>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</si>
  <si>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</si>
  <si>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</si>
  <si>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</si>
  <si>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</si>
  <si>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</si>
  <si>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</si>
  <si>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</si>
  <si>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</si>
  <si>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</si>
  <si>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</si>
  <si>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</si>
  <si>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</si>
  <si>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</si>
  <si>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</si>
  <si>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</si>
  <si>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</si>
  <si>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</si>
  <si>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</si>
  <si>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</si>
  <si>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</si>
  <si>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</si>
  <si>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</si>
  <si>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</si>
  <si>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</si>
  <si>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</si>
  <si>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</si>
  <si>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</si>
  <si>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</si>
  <si>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</si>
  <si>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</si>
  <si>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</si>
  <si>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</si>
  <si>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</si>
  <si>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</si>
  <si>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</si>
  <si>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</si>
  <si>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</si>
  <si>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</si>
  <si>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</si>
  <si>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</si>
  <si>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</si>
  <si>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</si>
  <si>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</si>
  <si>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</si>
  <si>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</si>
  <si>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</si>
  <si>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</si>
  <si>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</si>
  <si>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</si>
  <si>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</si>
  <si>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</si>
  <si>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</si>
  <si>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</si>
  <si>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</si>
  <si>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</si>
  <si>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</si>
  <si>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</si>
  <si>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</si>
  <si>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</si>
  <si>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</si>
  <si>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</si>
  <si>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</si>
  <si>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</si>
  <si>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</si>
  <si>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</si>
  <si>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</si>
  <si>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</si>
  <si>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</si>
  <si>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</si>
  <si>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</si>
  <si>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</si>
  <si>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</si>
  <si>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</si>
  <si>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</si>
  <si>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</si>
  <si>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</si>
  <si>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</si>
  <si>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</si>
  <si>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</si>
  <si>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</si>
  <si>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</si>
  <si>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</si>
  <si>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</si>
  <si>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</si>
  <si>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</si>
  <si>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</si>
  <si>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</si>
  <si>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</si>
  <si>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</si>
  <si>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</si>
  <si>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</si>
  <si>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</si>
  <si>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</si>
  <si>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</si>
  <si>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</si>
  <si>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</si>
  <si>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</si>
  <si>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</si>
  <si>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</si>
  <si>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</si>
  <si>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</si>
  <si>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</si>
  <si>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</si>
  <si>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</si>
  <si>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</si>
  <si>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</si>
  <si>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</si>
  <si>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</si>
  <si>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</si>
  <si>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</si>
  <si>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</si>
  <si>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</si>
  <si>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</si>
  <si>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</si>
  <si>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</si>
  <si>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</si>
  <si>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</si>
  <si>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</si>
  <si>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</si>
  <si>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</si>
  <si>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</si>
  <si>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</si>
  <si>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</si>
  <si>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</si>
  <si>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</si>
  <si>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</si>
  <si>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</si>
  <si>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</si>
  <si>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</si>
  <si>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</si>
  <si>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</si>
  <si>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</si>
  <si>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</si>
  <si>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</si>
  <si>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</si>
  <si>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</si>
  <si>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</si>
  <si>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</si>
  <si>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</si>
  <si>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</si>
  <si>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</si>
  <si>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</si>
  <si>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</si>
  <si>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</si>
  <si>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</si>
  <si>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</si>
  <si>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</si>
  <si>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</si>
  <si>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</si>
  <si>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</si>
  <si>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</si>
  <si>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</si>
  <si>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</si>
  <si>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</si>
  <si>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</si>
  <si>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</si>
  <si>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</si>
  <si>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</si>
  <si>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</si>
  <si>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</si>
  <si>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</si>
  <si>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</si>
  <si>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</si>
  <si>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</si>
  <si>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</si>
  <si>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</si>
  <si>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</si>
  <si>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</si>
  <si>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</si>
  <si>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</si>
  <si>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</si>
  <si>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</si>
  <si>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</si>
  <si>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</si>
  <si>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</si>
  <si>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</si>
  <si>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</si>
  <si>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</si>
  <si>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</si>
  <si>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</si>
  <si>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</si>
  <si>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</si>
  <si>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</si>
  <si>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</si>
  <si>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</si>
  <si>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</si>
  <si>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</si>
  <si>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</si>
  <si>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</si>
  <si>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</si>
  <si>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</si>
  <si>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</si>
  <si>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</si>
  <si>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</si>
  <si>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</si>
  <si>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</si>
  <si>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</si>
  <si>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</si>
  <si>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</si>
  <si>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</si>
  <si>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</si>
  <si>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</si>
  <si>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</si>
  <si>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</si>
  <si>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</si>
  <si>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</si>
  <si>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</si>
  <si>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</si>
  <si>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</si>
  <si>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</si>
  <si>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</si>
  <si>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</si>
  <si>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</si>
  <si>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</si>
  <si>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</si>
  <si>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</si>
  <si>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</si>
  <si>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</si>
  <si>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</si>
  <si>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</si>
  <si>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</si>
  <si>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</si>
  <si>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</si>
  <si>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</si>
  <si>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</si>
  <si>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</si>
  <si>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</si>
  <si>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</si>
  <si>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</si>
  <si>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</si>
  <si>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</si>
  <si>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</si>
  <si>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</si>
  <si>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</si>
  <si>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</si>
  <si>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</si>
  <si>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</si>
  <si>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</si>
  <si>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</si>
  <si>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</si>
  <si>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</si>
  <si>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</si>
  <si>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</si>
  <si>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</si>
  <si>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</si>
  <si>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</si>
  <si>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</si>
  <si>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</si>
  <si>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</si>
  <si>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</si>
  <si>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</si>
  <si>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</si>
  <si>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</si>
  <si>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</si>
  <si>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</si>
  <si>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</si>
  <si>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</si>
  <si>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</si>
  <si>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</si>
  <si>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</si>
  <si>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</si>
  <si>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</si>
  <si>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</si>
  <si>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</si>
  <si>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</si>
  <si>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</si>
  <si>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</si>
  <si>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</si>
  <si>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</si>
  <si>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</si>
  <si>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</si>
  <si>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</si>
  <si>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</si>
  <si>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</si>
  <si>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</si>
  <si>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</si>
  <si>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</si>
  <si>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</si>
  <si>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</si>
  <si>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</si>
  <si>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</si>
  <si>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</si>
  <si>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</si>
  <si>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</si>
  <si>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</si>
  <si>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</si>
  <si>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</si>
  <si>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</si>
  <si>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</si>
  <si>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</si>
  <si>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</si>
  <si>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</si>
  <si>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</si>
  <si>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</si>
  <si>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</si>
  <si>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</si>
  <si>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</si>
  <si>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</si>
  <si>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</si>
  <si>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</si>
  <si>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</si>
  <si>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</si>
  <si>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</si>
  <si>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</si>
  <si>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</si>
  <si>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</si>
  <si>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</si>
  <si>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</si>
  <si>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</si>
  <si>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</si>
  <si>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</si>
  <si>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</si>
  <si>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</si>
  <si>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</si>
  <si>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</si>
  <si>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</si>
  <si>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</si>
  <si>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</si>
  <si>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</si>
  <si>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</si>
  <si>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</si>
  <si>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</si>
  <si>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</si>
  <si>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</si>
  <si>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</si>
  <si>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</si>
  <si>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</si>
  <si>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</si>
  <si>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</si>
  <si>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</si>
  <si>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</si>
  <si>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</si>
  <si>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</si>
  <si>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</si>
  <si>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</si>
  <si>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</si>
  <si>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</si>
  <si>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</si>
  <si>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</si>
  <si>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</si>
  <si>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</si>
  <si>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</si>
  <si>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</si>
  <si>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</si>
  <si>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</si>
  <si>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</si>
  <si>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</si>
  <si>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</si>
  <si>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</si>
  <si>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</si>
  <si>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</si>
  <si>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</si>
  <si>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</si>
  <si>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</si>
  <si>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</si>
  <si>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</si>
  <si>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</si>
  <si>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</si>
  <si>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</si>
  <si>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</si>
  <si>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</si>
  <si>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</si>
  <si>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</si>
  <si>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</si>
  <si>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</si>
  <si>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</si>
  <si>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</si>
  <si>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</si>
  <si>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</si>
  <si>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</si>
  <si>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</si>
  <si>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</si>
  <si>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</si>
  <si>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</si>
  <si>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</si>
  <si>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</si>
  <si>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</si>
  <si>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</si>
  <si>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</si>
  <si>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</si>
  <si>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</si>
  <si>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</si>
  <si>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</si>
  <si>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</si>
  <si>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</si>
  <si>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</si>
  <si>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</si>
  <si>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</si>
  <si>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</si>
  <si>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</si>
  <si>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</si>
  <si>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</si>
  <si>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</si>
  <si>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</si>
  <si>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</si>
  <si>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</si>
  <si>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</si>
  <si>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</si>
  <si>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</si>
  <si>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</si>
  <si>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</si>
  <si>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</si>
  <si>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</si>
  <si>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</si>
  <si>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</si>
  <si>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</si>
  <si>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</si>
  <si>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</si>
  <si>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</si>
  <si>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</si>
  <si>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</si>
  <si>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</si>
  <si>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</si>
  <si>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</si>
  <si>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</si>
  <si>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</si>
  <si>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</si>
  <si>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</si>
  <si>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</si>
  <si>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</si>
  <si>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</si>
  <si>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</si>
  <si>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</si>
  <si>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</si>
  <si>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</si>
  <si>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</si>
  <si>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</si>
  <si>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</si>
  <si>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</si>
  <si>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</si>
  <si>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</si>
  <si>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</si>
  <si>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</si>
  <si>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</si>
  <si>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</si>
  <si>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</si>
  <si>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</si>
  <si>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</si>
  <si>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</si>
  <si>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</si>
  <si>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</si>
  <si>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</si>
  <si>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</si>
  <si>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</si>
  <si>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</si>
  <si>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</si>
  <si>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</si>
  <si>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</si>
  <si>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</si>
  <si>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</si>
  <si>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</si>
  <si>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</si>
  <si>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</si>
  <si>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</si>
  <si>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</si>
  <si>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</si>
  <si>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</si>
  <si>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</si>
  <si>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</si>
  <si>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</si>
  <si>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</si>
  <si>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</si>
  <si>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</si>
  <si>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</si>
  <si>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</si>
  <si>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</si>
  <si>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</si>
  <si>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</si>
  <si>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</si>
  <si>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</si>
  <si>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</si>
  <si>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</si>
  <si>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</si>
  <si>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</si>
  <si>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</si>
  <si>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</si>
  <si>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</si>
  <si>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</si>
  <si>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</si>
  <si>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</si>
  <si>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</si>
  <si>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</si>
  <si>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</si>
  <si>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</si>
  <si>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</si>
  <si>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</si>
  <si>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</si>
  <si>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</si>
  <si>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</si>
  <si>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</si>
  <si>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</si>
  <si>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</si>
  <si>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</si>
  <si>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</si>
  <si>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</si>
  <si>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</si>
  <si>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</si>
  <si>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</si>
  <si>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</si>
  <si>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</si>
  <si>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</si>
  <si>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</si>
  <si>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</si>
  <si>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</si>
  <si>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</si>
  <si>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</si>
  <si>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</si>
  <si>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</si>
  <si>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</si>
  <si>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</si>
  <si>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</si>
  <si>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</si>
  <si>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</si>
  <si>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</si>
  <si>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</si>
  <si>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</si>
  <si>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</si>
  <si>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</si>
  <si>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</si>
  <si>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</si>
  <si>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</si>
  <si>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</si>
  <si>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</si>
  <si>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</si>
  <si>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</si>
  <si>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</si>
  <si>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</si>
  <si>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</si>
  <si>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</si>
  <si>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</si>
  <si>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</si>
  <si>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</si>
  <si>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</si>
  <si>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</si>
  <si>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</si>
  <si>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</si>
  <si>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</si>
  <si>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</si>
  <si>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</si>
  <si>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</si>
  <si>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</si>
  <si>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</si>
  <si>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</si>
  <si>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</si>
  <si>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</si>
  <si>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</si>
  <si>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</si>
  <si>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</si>
  <si>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</si>
  <si>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</si>
  <si>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</si>
  <si>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</si>
  <si>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</si>
  <si>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</si>
  <si>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</si>
  <si>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</si>
  <si>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</si>
  <si>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</si>
  <si>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</si>
  <si>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</si>
  <si>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</si>
  <si>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</si>
  <si>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</si>
  <si>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</si>
  <si>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</si>
  <si>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</si>
  <si>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</si>
  <si>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</si>
  <si>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</si>
  <si>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</si>
  <si>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</si>
  <si>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</si>
  <si>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</si>
  <si>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</si>
  <si>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</si>
  <si>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</si>
  <si>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</si>
  <si>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</si>
  <si>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</si>
  <si>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</si>
  <si>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</si>
  <si>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</si>
  <si>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</si>
  <si>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</si>
  <si>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</si>
  <si>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</si>
  <si>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</si>
  <si>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</si>
  <si>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</si>
  <si>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</si>
  <si>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</si>
  <si>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</si>
  <si>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</si>
  <si>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</si>
  <si>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</si>
  <si>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</si>
  <si>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</si>
  <si>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</si>
  <si>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</si>
  <si>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</si>
  <si>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</si>
  <si>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</si>
  <si>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</si>
  <si>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</si>
  <si>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</si>
  <si>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</si>
  <si>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</si>
  <si>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</si>
  <si>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</si>
  <si>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</si>
  <si>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</si>
  <si>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</si>
  <si>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</si>
  <si>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</si>
  <si>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</si>
  <si>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</si>
  <si>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</si>
  <si>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</si>
  <si>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</si>
  <si>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</si>
  <si>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</si>
  <si>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</si>
  <si>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</si>
  <si>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</si>
  <si>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</si>
  <si>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</si>
  <si>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</si>
  <si>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</si>
  <si>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</si>
  <si>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</si>
  <si>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</si>
  <si>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</si>
  <si>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</si>
  <si>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</si>
  <si>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</si>
  <si>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</si>
  <si>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</si>
  <si>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</si>
  <si>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</si>
  <si>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</si>
  <si>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</si>
  <si>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</si>
  <si>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</si>
  <si>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</si>
  <si>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</si>
  <si>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</si>
  <si>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</si>
  <si>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</si>
  <si>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</si>
  <si>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</si>
  <si>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</si>
  <si>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</si>
  <si>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</si>
  <si>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</si>
  <si>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</si>
  <si>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</si>
  <si>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</si>
  <si>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</si>
  <si>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</si>
  <si>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</si>
  <si>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</si>
  <si>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</si>
  <si>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</si>
  <si>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</si>
  <si>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</si>
  <si>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</si>
  <si>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</si>
  <si>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</si>
  <si>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</si>
  <si>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</si>
  <si>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</si>
  <si>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</si>
  <si>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</si>
  <si>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</si>
  <si>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</si>
  <si>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</si>
  <si>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</si>
  <si>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</si>
  <si>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</si>
  <si>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</si>
  <si>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</si>
  <si>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</si>
  <si>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</si>
  <si>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</si>
  <si>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</si>
  <si>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</si>
  <si>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</si>
  <si>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</si>
  <si>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</si>
  <si>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</si>
  <si>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</si>
  <si>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</si>
  <si>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</si>
  <si>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</si>
  <si>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</si>
  <si>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</si>
  <si>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</si>
  <si>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</si>
  <si>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</si>
  <si>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</si>
  <si>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</si>
  <si>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</si>
  <si>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</si>
  <si>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</si>
  <si>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</si>
  <si>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</si>
  <si>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</si>
  <si>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</si>
  <si>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</si>
  <si>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</si>
  <si>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</si>
  <si>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</si>
  <si>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</si>
  <si>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</si>
  <si>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</si>
  <si>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</si>
  <si>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</si>
  <si>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</si>
  <si>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</si>
  <si>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</si>
  <si>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</si>
  <si>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</si>
  <si>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</si>
  <si>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</si>
  <si>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</si>
  <si>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</si>
  <si>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</si>
  <si>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</si>
  <si>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</si>
  <si>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</si>
  <si>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</si>
  <si>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</si>
  <si>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</si>
  <si>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</si>
  <si>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</si>
  <si>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</si>
  <si>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</si>
  <si>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</si>
  <si>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</si>
  <si>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</si>
  <si>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</si>
  <si>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</si>
  <si>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</si>
  <si>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</si>
  <si>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</si>
  <si>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</si>
  <si>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</si>
  <si>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</si>
  <si>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</si>
  <si>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</si>
  <si>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</si>
  <si>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</si>
  <si>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</si>
  <si>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</si>
  <si>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</si>
  <si>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</si>
  <si>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</si>
  <si>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</si>
  <si>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</si>
  <si>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</si>
  <si>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</si>
  <si>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</si>
  <si>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</si>
  <si>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</si>
  <si>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</si>
  <si>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</si>
  <si>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</si>
  <si>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</si>
  <si>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</si>
  <si>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</si>
  <si>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</si>
  <si>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</si>
  <si>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</si>
  <si>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</si>
  <si>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</si>
  <si>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</si>
  <si>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</si>
  <si>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</si>
  <si>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</si>
  <si>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</si>
  <si>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</si>
  <si>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</si>
  <si>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</si>
  <si>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</si>
  <si>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</si>
  <si>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</si>
  <si>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</si>
  <si>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</si>
  <si>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</si>
  <si>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</si>
  <si>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</si>
  <si>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</si>
  <si>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</si>
  <si>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</si>
  <si>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</si>
  <si>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</si>
  <si>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</si>
  <si>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</si>
  <si>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</si>
  <si>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</si>
  <si>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</si>
  <si>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</si>
  <si>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</si>
  <si>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</si>
  <si>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</si>
  <si>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</si>
  <si>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</si>
  <si>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</si>
  <si>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</si>
  <si>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</si>
  <si>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</si>
  <si>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</si>
  <si>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</si>
  <si>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</si>
  <si>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</si>
  <si>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</si>
  <si>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</si>
  <si>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</si>
  <si>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</si>
  <si>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</si>
  <si>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</si>
  <si>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</si>
  <si>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</si>
  <si>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</si>
  <si>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</si>
  <si>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</si>
  <si>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</si>
  <si>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</si>
  <si>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</si>
  <si>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</si>
  <si>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</si>
  <si>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</si>
  <si>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</si>
  <si>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</si>
  <si>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</si>
  <si>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</si>
  <si>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</si>
  <si>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</si>
  <si>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</si>
  <si>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</si>
  <si>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</si>
  <si>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</si>
  <si>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</si>
  <si>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</si>
  <si>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</si>
  <si>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</si>
  <si>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</si>
  <si>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</si>
  <si>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</si>
  <si>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</si>
  <si>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</si>
  <si>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</si>
  <si>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</si>
  <si>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</si>
  <si>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</si>
  <si>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</si>
  <si>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</si>
  <si>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</si>
  <si>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</si>
  <si>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</si>
  <si>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</si>
  <si>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</si>
  <si>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</si>
  <si>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</si>
  <si>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</si>
  <si>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</si>
  <si>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</si>
  <si>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</si>
  <si>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</si>
  <si>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</si>
  <si>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</si>
  <si>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</si>
  <si>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</si>
  <si>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</si>
  <si>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</si>
  <si>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</si>
  <si>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</si>
  <si>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</si>
  <si>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</si>
  <si>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</si>
  <si>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</si>
  <si>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</si>
  <si>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</si>
  <si>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</si>
  <si>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</si>
  <si>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</si>
  <si>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</si>
  <si>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</si>
  <si>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</si>
  <si>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</si>
  <si>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</si>
  <si>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</si>
  <si>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</si>
  <si>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</si>
  <si>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</si>
  <si>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</si>
  <si>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</si>
  <si>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</si>
  <si>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</si>
  <si>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</si>
  <si>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</si>
  <si>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</si>
  <si>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</si>
  <si>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</si>
  <si>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</si>
  <si>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</si>
  <si>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</si>
  <si>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</si>
  <si>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</si>
  <si>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</si>
  <si>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</si>
  <si>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</si>
  <si>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</si>
  <si>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</si>
  <si>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</si>
  <si>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</si>
  <si>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</si>
  <si>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</si>
  <si>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</si>
  <si>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</si>
  <si>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</si>
  <si>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</si>
  <si>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</si>
  <si>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</si>
  <si>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</si>
  <si>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</si>
  <si>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</si>
  <si>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</si>
  <si>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</si>
  <si>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</si>
  <si>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</si>
  <si>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</si>
  <si>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</si>
  <si>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</si>
  <si>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</si>
  <si>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</si>
  <si>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</si>
  <si>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</si>
  <si>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</si>
  <si>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</si>
  <si>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</si>
  <si>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</si>
  <si>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</si>
  <si>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</si>
  <si>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</si>
  <si>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</si>
  <si>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</si>
  <si>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</si>
  <si>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</si>
  <si>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</si>
  <si>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</si>
  <si>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</si>
  <si>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</si>
  <si>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</si>
  <si>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</si>
  <si>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</si>
  <si>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</si>
  <si>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</si>
  <si>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</si>
  <si>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</si>
  <si>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</si>
  <si>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</si>
  <si>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</si>
  <si>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</si>
  <si>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</si>
  <si>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</si>
  <si>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</si>
  <si>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</si>
  <si>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</si>
  <si>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</si>
  <si>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</si>
  <si>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</si>
  <si>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</si>
  <si>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</si>
  <si>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</si>
  <si>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</si>
  <si>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</si>
  <si>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</si>
  <si>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</si>
  <si>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</si>
  <si>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</si>
  <si>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</si>
  <si>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</si>
  <si>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</si>
  <si>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</si>
  <si>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</si>
  <si>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</si>
  <si>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</si>
  <si>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</si>
  <si>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</si>
  <si>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</si>
  <si>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</si>
  <si>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</si>
  <si>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</si>
  <si>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</si>
  <si>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</si>
  <si>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</si>
  <si>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</si>
  <si>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</si>
  <si>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</si>
  <si>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</si>
  <si>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</si>
  <si>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</si>
  <si>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</si>
  <si>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</si>
  <si>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</si>
  <si>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</si>
  <si>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</si>
  <si>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</si>
  <si>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</si>
  <si>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</si>
  <si>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</si>
  <si>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</si>
  <si>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</si>
  <si>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</si>
  <si>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</si>
  <si>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</si>
  <si>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</si>
  <si>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</si>
  <si>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</si>
  <si>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</si>
  <si>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</si>
  <si>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</si>
  <si>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</si>
  <si>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</si>
  <si>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</si>
  <si>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</si>
  <si>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</si>
  <si>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</si>
  <si>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</si>
  <si>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</si>
  <si>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</si>
  <si>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</si>
  <si>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</si>
  <si>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</si>
  <si>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</si>
  <si>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</si>
  <si>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</si>
  <si>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</si>
  <si>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</si>
  <si>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</si>
  <si>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</si>
  <si>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</si>
  <si>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</si>
  <si>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</si>
  <si>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</si>
  <si>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</si>
  <si>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</si>
  <si>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</si>
  <si>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</si>
  <si>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</si>
  <si>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</si>
  <si>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</si>
  <si>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</si>
  <si>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</si>
  <si>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</si>
  <si>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</si>
  <si>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</si>
  <si>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</si>
  <si>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</si>
  <si>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</si>
  <si>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</si>
  <si>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</si>
  <si>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</si>
  <si>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</si>
  <si>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</si>
  <si>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</si>
  <si>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</si>
  <si>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</si>
  <si>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</si>
  <si>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</si>
  <si>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</si>
  <si>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</si>
  <si>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</si>
  <si>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</si>
  <si>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</si>
  <si>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</si>
  <si>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</si>
  <si>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</si>
  <si>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</si>
  <si>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</si>
  <si>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</si>
  <si>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</si>
  <si>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</si>
  <si>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</si>
  <si>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</si>
  <si>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</si>
  <si>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</si>
  <si>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</si>
  <si>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</si>
  <si>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</si>
  <si>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</si>
  <si>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</si>
  <si>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</si>
  <si>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</si>
  <si>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</si>
  <si>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</si>
  <si>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</si>
  <si>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</si>
  <si>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</si>
  <si>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</si>
  <si>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</si>
  <si>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</si>
  <si>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</si>
  <si>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</si>
  <si>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</si>
  <si>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</si>
  <si>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</si>
  <si>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</si>
  <si>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</si>
  <si>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</si>
  <si>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</si>
  <si>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</si>
  <si>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</si>
  <si>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</si>
  <si>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</si>
  <si>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</si>
  <si>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</si>
  <si>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</si>
  <si>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</si>
  <si>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</si>
  <si>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</si>
  <si>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</si>
  <si>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</si>
  <si>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</si>
  <si>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</si>
  <si>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</si>
  <si>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</si>
  <si>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</si>
  <si>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</si>
  <si>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</si>
  <si>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</si>
  <si>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</si>
  <si>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</si>
  <si>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</si>
  <si>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</si>
  <si>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</si>
  <si>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</si>
  <si>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</si>
  <si>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</si>
  <si>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</si>
  <si>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</si>
  <si>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</si>
  <si>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</si>
  <si>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</si>
  <si>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</si>
  <si>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</si>
  <si>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</si>
  <si>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</si>
  <si>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</si>
  <si>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</si>
  <si>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</si>
  <si>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</si>
  <si>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</si>
  <si>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</si>
  <si>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</si>
  <si>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</si>
  <si>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</si>
  <si>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</si>
  <si>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</si>
  <si>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</si>
  <si>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</si>
  <si>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</si>
  <si>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</si>
  <si>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</si>
  <si>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</si>
  <si>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</si>
  <si>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</si>
  <si>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</si>
  <si>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</si>
  <si>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</si>
  <si>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</si>
  <si>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</si>
  <si>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</si>
  <si>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</si>
  <si>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</si>
  <si>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</si>
  <si>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</si>
  <si>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</si>
  <si>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</si>
  <si>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</si>
  <si>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</si>
  <si>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</si>
  <si>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</si>
  <si>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</si>
  <si>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</si>
  <si>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</si>
  <si>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</si>
  <si>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</si>
  <si>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</si>
  <si>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</si>
  <si>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</si>
  <si>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</si>
  <si>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</si>
  <si>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</si>
  <si>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</si>
  <si>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</si>
  <si>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</si>
  <si>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</si>
  <si>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</si>
  <si>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</si>
  <si>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</si>
  <si>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</si>
  <si>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</si>
  <si>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</si>
  <si>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</si>
  <si>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</si>
  <si>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</si>
  <si>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</si>
  <si>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</si>
  <si>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</si>
  <si>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</si>
  <si>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</si>
  <si>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</si>
  <si>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</si>
  <si>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</si>
  <si>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</si>
  <si>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</si>
  <si>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</si>
  <si>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</si>
  <si>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</si>
  <si>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</si>
  <si>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</si>
  <si>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</si>
  <si>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</si>
  <si>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</si>
  <si>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</si>
  <si>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</si>
  <si>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</si>
  <si>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</si>
  <si>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</si>
  <si>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</si>
  <si>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</si>
  <si>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</si>
  <si>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</si>
  <si>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</si>
  <si>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</si>
  <si>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</si>
  <si>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</si>
  <si>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</si>
  <si>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</si>
  <si>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</si>
  <si>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</si>
  <si>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</si>
  <si>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</si>
  <si>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</si>
  <si>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</si>
  <si>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</si>
  <si>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</si>
  <si>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</si>
  <si>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</si>
  <si>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</si>
  <si>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</si>
  <si>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</si>
  <si>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</si>
  <si>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</si>
  <si>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</si>
  <si>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</si>
  <si>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</si>
  <si>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</si>
  <si>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</si>
  <si>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</si>
  <si>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</si>
  <si>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</si>
  <si>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</si>
  <si>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</si>
  <si>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</si>
  <si>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</si>
  <si>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</si>
  <si>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</si>
  <si>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</si>
  <si>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</si>
  <si>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</si>
  <si>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</si>
  <si>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</si>
  <si>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</si>
  <si>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</si>
  <si>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</si>
  <si>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</si>
  <si>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</si>
  <si>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</si>
  <si>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</si>
  <si>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</si>
  <si>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</si>
  <si>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</si>
  <si>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</si>
  <si>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</si>
  <si>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</si>
  <si>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</si>
  <si>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</si>
  <si>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</si>
  <si>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</si>
  <si>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</si>
  <si>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</si>
  <si>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</si>
  <si>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</si>
  <si>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</si>
  <si>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</si>
  <si>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</si>
  <si>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</si>
  <si>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</si>
  <si>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</si>
  <si>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</si>
  <si>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</si>
  <si>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</si>
  <si>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</si>
  <si>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</si>
  <si>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</si>
  <si>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</si>
  <si>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</si>
  <si>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</si>
  <si>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</si>
  <si>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</si>
  <si>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</si>
  <si>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</si>
  <si>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</si>
  <si>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</si>
  <si>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</si>
  <si>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</si>
  <si>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</si>
  <si>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</si>
  <si>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</si>
  <si>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</si>
  <si>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</si>
  <si>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</si>
  <si>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</si>
  <si>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</si>
  <si>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</si>
  <si>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</si>
  <si>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</si>
  <si>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</si>
  <si>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</si>
  <si>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</si>
  <si>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</si>
  <si>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</si>
  <si>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</si>
  <si>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</si>
  <si>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</si>
  <si>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</si>
  <si>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</si>
  <si>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</si>
  <si>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</si>
  <si>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</si>
  <si>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</si>
  <si>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</si>
  <si>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</si>
  <si>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</si>
  <si>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</si>
  <si>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</si>
  <si>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</si>
  <si>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</si>
  <si>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</si>
  <si>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</si>
  <si>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</si>
  <si>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</si>
  <si>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</si>
  <si>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</si>
  <si>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</si>
  <si>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</si>
  <si>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</si>
  <si>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</si>
  <si>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</si>
  <si>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</si>
  <si>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</si>
  <si>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</si>
  <si>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</si>
  <si>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</si>
  <si>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</si>
  <si>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</si>
  <si>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</si>
  <si>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</si>
  <si>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</si>
  <si>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</si>
  <si>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</si>
  <si>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</si>
  <si>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</si>
  <si>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</si>
  <si>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</si>
  <si>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</si>
  <si>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</si>
  <si>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</si>
  <si>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</si>
  <si>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</si>
  <si>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</si>
  <si>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</si>
  <si>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</si>
  <si>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</si>
  <si>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</si>
  <si>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</si>
  <si>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</si>
  <si>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</si>
  <si>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</si>
  <si>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</si>
  <si>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</si>
  <si>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</si>
  <si>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</si>
  <si>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</si>
  <si>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</si>
  <si>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</si>
  <si>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</si>
  <si>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</si>
  <si>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</si>
  <si>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</si>
  <si>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</si>
  <si>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</si>
  <si>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</si>
  <si>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</si>
  <si>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</si>
  <si>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</si>
  <si>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</si>
  <si>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</si>
  <si>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</si>
  <si>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</si>
  <si>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</si>
  <si>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</si>
  <si>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</si>
  <si>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</si>
  <si>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</si>
  <si>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</si>
  <si>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</si>
  <si>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</si>
  <si>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</si>
  <si>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</si>
  <si>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</si>
  <si>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</si>
  <si>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</si>
  <si>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</si>
  <si>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</si>
  <si>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</si>
  <si>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</si>
  <si>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</si>
  <si>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</si>
  <si>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</si>
  <si>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</si>
  <si>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</si>
  <si>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</si>
  <si>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</si>
  <si>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</si>
  <si>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</si>
  <si>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</si>
  <si>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</si>
  <si>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</si>
  <si>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</si>
  <si>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</si>
  <si>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</si>
  <si>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</si>
  <si>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</si>
  <si>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</si>
  <si>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</si>
  <si>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</si>
  <si>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</si>
  <si>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</si>
  <si>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</si>
  <si>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</si>
  <si>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</si>
  <si>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</si>
  <si>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</si>
  <si>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</si>
  <si>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</si>
  <si>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</si>
  <si>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</si>
  <si>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</si>
  <si>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</si>
  <si>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</si>
  <si>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</si>
  <si>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</si>
  <si>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</si>
  <si>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</si>
  <si>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</si>
  <si>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</si>
  <si>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</si>
  <si>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</si>
  <si>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</si>
  <si>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</si>
  <si>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</si>
  <si>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</si>
  <si>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</si>
  <si>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</si>
  <si>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</si>
  <si>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</si>
  <si>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</si>
  <si>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</si>
  <si>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</si>
  <si>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</si>
  <si>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</si>
  <si>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</si>
  <si>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</si>
  <si>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</si>
  <si>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</si>
  <si>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</si>
  <si>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</si>
  <si>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</si>
  <si>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</si>
  <si>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</si>
  <si>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</si>
  <si>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</si>
  <si>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</si>
  <si>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</si>
  <si>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</si>
  <si>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</si>
  <si>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</si>
  <si>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</si>
  <si>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</si>
  <si>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</si>
  <si>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</si>
  <si>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</si>
  <si>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</si>
  <si>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</si>
  <si>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</si>
  <si>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</si>
  <si>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</si>
  <si>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</si>
  <si>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</si>
  <si>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</si>
  <si>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</si>
  <si>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</si>
  <si>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</si>
  <si>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</si>
  <si>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</si>
  <si>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</si>
  <si>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</si>
  <si>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</si>
  <si>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</si>
  <si>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</si>
  <si>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</si>
  <si>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</si>
  <si>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</si>
  <si>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</si>
  <si>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</si>
  <si>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</si>
  <si>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</si>
  <si>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</si>
  <si>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</si>
  <si>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</si>
  <si>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</si>
  <si>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</si>
  <si>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</si>
  <si>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</si>
  <si>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</si>
  <si>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</si>
  <si>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</si>
  <si>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</si>
  <si>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</si>
  <si>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</si>
  <si>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</si>
  <si>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</si>
  <si>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</si>
  <si>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</si>
  <si>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</si>
  <si>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</si>
  <si>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</si>
  <si>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</si>
  <si>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</si>
  <si>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</si>
  <si>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</si>
  <si>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</si>
  <si>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</si>
  <si>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</si>
  <si>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</si>
  <si>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</si>
  <si>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</si>
  <si>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</si>
  <si>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</si>
  <si>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</si>
  <si>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</si>
  <si>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</si>
  <si>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</si>
  <si>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</si>
  <si>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</si>
  <si>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</si>
  <si>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</si>
  <si>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</si>
  <si>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</si>
  <si>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</si>
  <si>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</si>
  <si>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</si>
  <si>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</si>
  <si>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</si>
  <si>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</si>
  <si>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</si>
  <si>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</si>
  <si>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</si>
  <si>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</si>
  <si>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</si>
  <si>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</si>
  <si>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</si>
  <si>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</si>
  <si>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</si>
  <si>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</si>
  <si>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</si>
  <si>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</si>
  <si>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</si>
  <si>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</si>
  <si>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</si>
  <si>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</si>
  <si>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</si>
  <si>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</si>
  <si>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</si>
  <si>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</si>
  <si>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</si>
  <si>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</si>
  <si>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</si>
  <si>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</si>
  <si>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</si>
  <si>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</si>
  <si>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</si>
  <si>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</si>
  <si>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</si>
  <si>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</si>
  <si>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</si>
  <si>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</si>
  <si>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</si>
  <si>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</si>
  <si>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</si>
  <si>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</si>
  <si>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</si>
  <si>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</si>
  <si>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</si>
  <si>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</si>
  <si>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</si>
  <si>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</si>
  <si>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</si>
  <si>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</si>
  <si>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</si>
  <si>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</si>
  <si>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</si>
  <si>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</si>
  <si>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</si>
  <si>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</si>
  <si>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</si>
  <si>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</si>
  <si>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</si>
  <si>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</si>
  <si>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</si>
  <si>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</si>
  <si>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</si>
  <si>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</si>
  <si>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</si>
  <si>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</si>
  <si>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</si>
  <si>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</si>
  <si>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</si>
  <si>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</si>
  <si>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</si>
  <si>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</si>
  <si>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</si>
  <si>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</si>
  <si>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</si>
  <si>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</si>
  <si>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</si>
  <si>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</si>
  <si>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</si>
  <si>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</si>
  <si>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</si>
  <si>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</si>
  <si>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</si>
  <si>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</si>
  <si>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</si>
  <si>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</si>
  <si>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</si>
  <si>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</si>
  <si>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</si>
  <si>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</si>
  <si>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</si>
  <si>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</si>
  <si>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</si>
  <si>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</si>
  <si>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</si>
  <si>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</si>
  <si>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</si>
  <si>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</si>
  <si>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</si>
  <si>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</si>
  <si>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</si>
  <si>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</si>
  <si>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</si>
  <si>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</si>
  <si>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</si>
  <si>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</si>
  <si>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</si>
  <si>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</si>
  <si>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</si>
  <si>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</si>
  <si>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</si>
  <si>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</si>
  <si>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</si>
  <si>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</si>
  <si>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</si>
  <si>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</si>
  <si>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</si>
  <si>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</si>
  <si>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</si>
  <si>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</si>
  <si>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</si>
  <si>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</si>
  <si>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</si>
  <si>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</si>
  <si>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</si>
  <si>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</si>
  <si>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</si>
  <si>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</si>
  <si>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</si>
  <si>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</si>
  <si>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</si>
  <si>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</si>
  <si>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</si>
  <si>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</si>
  <si>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</si>
  <si>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</si>
  <si>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</si>
  <si>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</si>
  <si>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</si>
  <si>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</si>
  <si>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</si>
  <si>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</si>
  <si>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</si>
  <si>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</si>
  <si>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</si>
  <si>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</si>
  <si>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</si>
  <si>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</si>
  <si>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</si>
  <si>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</si>
  <si>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</si>
  <si>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</si>
  <si>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</si>
  <si>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</si>
  <si>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</si>
  <si>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</si>
  <si>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</si>
  <si>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</si>
  <si>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</si>
  <si>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</si>
  <si>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</si>
  <si>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</si>
  <si>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</si>
  <si>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</si>
  <si>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</si>
  <si>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</si>
  <si>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</si>
  <si>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</si>
  <si>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</si>
  <si>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</si>
  <si>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</si>
  <si>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</si>
  <si>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</si>
  <si>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</si>
  <si>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</si>
  <si>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</si>
  <si>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</si>
  <si>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</si>
  <si>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</si>
  <si>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</si>
  <si>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</si>
  <si>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</si>
  <si>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</si>
  <si>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</si>
  <si>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</si>
  <si>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</si>
  <si>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</si>
  <si>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</si>
  <si>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</si>
  <si>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</si>
  <si>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</si>
  <si>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</si>
  <si>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</si>
  <si>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</si>
  <si>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</si>
  <si>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</si>
  <si>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</si>
  <si>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</si>
  <si>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</si>
  <si>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</si>
  <si>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</si>
  <si>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</si>
  <si>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</si>
  <si>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</si>
  <si>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</si>
  <si>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</si>
  <si>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</si>
  <si>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</si>
  <si>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</si>
  <si>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</si>
  <si>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</si>
  <si>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</si>
  <si>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</si>
  <si>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</si>
  <si>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</si>
  <si>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</si>
  <si>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</si>
  <si>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</si>
  <si>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</si>
  <si>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</si>
  <si>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</si>
  <si>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</si>
  <si>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</si>
  <si>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</si>
  <si>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</si>
  <si>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</si>
  <si>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</si>
  <si>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</si>
  <si>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</si>
  <si>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</si>
  <si>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</si>
  <si>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</si>
  <si>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</si>
  <si>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</si>
  <si>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</si>
  <si>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</si>
  <si>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</si>
  <si>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</si>
  <si>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</si>
  <si>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</si>
  <si>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</si>
  <si>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</si>
  <si>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</si>
  <si>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</si>
  <si>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</si>
  <si>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</si>
  <si>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</si>
  <si>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</si>
  <si>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</si>
  <si>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</si>
  <si>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</si>
  <si>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</si>
  <si>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</si>
  <si>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</si>
  <si>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</si>
  <si>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</si>
  <si>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</si>
  <si>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</si>
  <si>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</si>
  <si>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</si>
  <si>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</si>
  <si>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</si>
  <si>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</si>
  <si>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</si>
  <si>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</si>
  <si>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</si>
  <si>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</si>
  <si>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</si>
  <si>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</si>
  <si>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</si>
  <si>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</si>
  <si>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</si>
  <si>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</si>
  <si>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</si>
  <si>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</si>
  <si>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</si>
  <si>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</si>
  <si>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</si>
  <si>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</si>
  <si>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</si>
  <si>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</si>
  <si>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</si>
  <si>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</si>
  <si>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</si>
  <si>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</si>
  <si>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</si>
  <si>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</si>
  <si>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</si>
  <si>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</si>
  <si>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</si>
  <si>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</si>
  <si>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</si>
  <si>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</si>
  <si>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</si>
  <si>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</si>
  <si>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</si>
  <si>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</si>
  <si>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</si>
  <si>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</si>
  <si>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</si>
  <si>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</si>
  <si>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</si>
  <si>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</si>
  <si>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</si>
  <si>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</si>
  <si>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</si>
  <si>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</si>
  <si>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</si>
  <si>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</si>
  <si>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</si>
  <si>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</si>
  <si>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</si>
  <si>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</si>
  <si>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</si>
  <si>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</si>
  <si>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</si>
  <si>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</si>
  <si>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</si>
  <si>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</si>
  <si>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</si>
  <si>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</si>
  <si>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</si>
  <si>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</si>
  <si>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</si>
  <si>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</si>
  <si>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</si>
  <si>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</si>
  <si>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</si>
  <si>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</si>
  <si>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</si>
  <si>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</si>
  <si>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</si>
  <si>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</si>
  <si>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</si>
  <si>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</si>
  <si>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</si>
  <si>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</si>
  <si>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</si>
  <si>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</si>
  <si>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</si>
  <si>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</si>
  <si>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</si>
  <si>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</si>
  <si>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</si>
  <si>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</si>
  <si>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</si>
  <si>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</si>
  <si>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</si>
  <si>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</si>
  <si>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</si>
  <si>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</si>
  <si>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</si>
  <si>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</si>
  <si>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</si>
  <si>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</si>
  <si>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</si>
  <si>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</si>
  <si>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</si>
  <si>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</si>
  <si>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</si>
  <si>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</si>
  <si>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</si>
  <si>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</si>
  <si>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</si>
  <si>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</si>
  <si>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</si>
  <si>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</si>
  <si>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</si>
  <si>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</si>
  <si>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</si>
  <si>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</si>
  <si>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</si>
  <si>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</si>
  <si>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</si>
  <si>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</si>
  <si>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</si>
  <si>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</si>
  <si>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</si>
  <si>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</si>
  <si>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</si>
  <si>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</si>
  <si>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</si>
  <si>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</si>
  <si>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</si>
  <si>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</si>
  <si>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</si>
  <si>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</si>
  <si>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</si>
  <si>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</si>
  <si>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</si>
  <si>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</si>
  <si>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</si>
  <si>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</si>
  <si>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</si>
  <si>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</si>
  <si>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</si>
  <si>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</si>
  <si>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</si>
  <si>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</si>
  <si>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</si>
  <si>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</si>
  <si>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</si>
  <si>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</si>
  <si>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</si>
  <si>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</si>
  <si>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</si>
  <si>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</si>
  <si>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</si>
  <si>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</si>
  <si>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</si>
  <si>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</si>
  <si>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</si>
  <si>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</si>
  <si>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</si>
  <si>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</si>
  <si>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</si>
  <si>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</si>
  <si>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</si>
  <si>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</si>
  <si>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</si>
  <si>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</si>
  <si>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</si>
  <si>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</si>
  <si>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</si>
  <si>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</si>
  <si>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</si>
  <si>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</si>
  <si>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</si>
  <si>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</si>
  <si>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</si>
  <si>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</si>
  <si>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</si>
  <si>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</si>
  <si>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</si>
  <si>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</si>
  <si>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</si>
  <si>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</si>
  <si>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</si>
  <si>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</si>
  <si>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</si>
  <si>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</si>
  <si>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</si>
  <si>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</si>
  <si>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</si>
  <si>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</si>
  <si>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</si>
  <si>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</si>
  <si>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</si>
  <si>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</si>
  <si>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</si>
  <si>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</si>
  <si>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</si>
  <si>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</si>
  <si>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</si>
  <si>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</si>
  <si>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</si>
  <si>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</si>
  <si>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</si>
  <si>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</si>
  <si>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</si>
  <si>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</si>
  <si>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</si>
  <si>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</si>
  <si>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</si>
  <si>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</si>
  <si>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</si>
  <si>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</si>
  <si>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</si>
  <si>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</si>
  <si>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</si>
  <si>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</si>
  <si>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</si>
  <si>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</si>
  <si>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</si>
  <si>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</si>
  <si>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</si>
  <si>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</si>
  <si>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</si>
  <si>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</si>
  <si>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</si>
  <si>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</si>
  <si>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</si>
  <si>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</si>
  <si>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</si>
  <si>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</si>
  <si>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</si>
  <si>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</si>
  <si>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</si>
  <si>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</si>
  <si>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</si>
  <si>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</si>
  <si>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</si>
  <si>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</si>
  <si>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</si>
  <si>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</si>
  <si>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</si>
  <si>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</si>
  <si>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</si>
  <si>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</si>
  <si>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</si>
  <si>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</si>
  <si>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</si>
  <si>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</si>
  <si>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</si>
  <si>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</si>
  <si>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</si>
  <si>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</si>
  <si>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</si>
  <si>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</si>
  <si>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</si>
  <si>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</si>
  <si>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</si>
  <si>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</si>
  <si>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</si>
  <si>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</si>
  <si>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</si>
  <si>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</si>
  <si>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</si>
  <si>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</si>
  <si>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</si>
  <si>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</si>
  <si>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</si>
  <si>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</si>
  <si>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</si>
  <si>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</si>
  <si>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</si>
  <si>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</si>
  <si>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</si>
  <si>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</si>
  <si>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</si>
  <si>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</si>
  <si>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</si>
  <si>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</si>
  <si>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</si>
  <si>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</si>
  <si>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</si>
  <si>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</si>
  <si>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</si>
  <si>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</si>
  <si>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</si>
  <si>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</si>
  <si>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</si>
  <si>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</si>
  <si>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</si>
  <si>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</si>
  <si>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</si>
  <si>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</si>
  <si>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</si>
  <si>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</si>
  <si>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</si>
  <si>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</si>
  <si>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</si>
  <si>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</si>
  <si>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</si>
  <si>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</si>
  <si>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</si>
  <si>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</si>
  <si>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</si>
  <si>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</si>
  <si>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</si>
  <si>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</si>
  <si>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</si>
  <si>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</si>
  <si>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</si>
  <si>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</si>
  <si>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</si>
  <si>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</si>
  <si>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</si>
  <si>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</si>
  <si>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</si>
  <si>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</si>
  <si>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</si>
  <si>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</si>
  <si>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</si>
  <si>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</si>
  <si>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</si>
  <si>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</si>
  <si>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</si>
  <si>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</si>
  <si>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</si>
  <si>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</si>
  <si>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</si>
  <si>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</si>
  <si>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</si>
  <si>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</si>
  <si>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</si>
  <si>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</si>
  <si>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</si>
  <si>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</si>
  <si>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</si>
  <si>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</si>
  <si>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</si>
  <si>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</si>
  <si>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</si>
  <si>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</si>
  <si>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</si>
  <si>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</si>
  <si>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</si>
  <si>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</si>
  <si>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</si>
  <si>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</si>
  <si>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</si>
  <si>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</si>
  <si>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</si>
  <si>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</si>
  <si>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</si>
  <si>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</si>
  <si>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</si>
  <si>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</si>
  <si>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</si>
  <si>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</si>
  <si>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</si>
  <si>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</si>
  <si>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</si>
  <si>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</si>
  <si>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</si>
  <si>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</si>
  <si>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</si>
  <si>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</si>
  <si>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</si>
  <si>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</si>
  <si>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</si>
  <si>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</si>
  <si>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</si>
  <si>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</si>
  <si>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</si>
  <si>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</si>
  <si>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</si>
  <si>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</si>
  <si>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</si>
  <si>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</si>
  <si>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</si>
  <si>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</si>
  <si>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</si>
  <si>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</si>
  <si>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</si>
  <si>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</si>
  <si>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</si>
  <si>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</si>
  <si>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</si>
  <si>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</si>
  <si>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</si>
  <si>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</si>
  <si>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</si>
  <si>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</si>
  <si>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</si>
  <si>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</si>
  <si>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</si>
  <si>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</si>
  <si>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</si>
  <si>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</si>
  <si>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</si>
  <si>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</si>
  <si>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</si>
  <si>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</si>
  <si>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</si>
  <si>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</si>
  <si>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</si>
  <si>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</si>
  <si>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</si>
  <si>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</si>
  <si>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</si>
  <si>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</si>
  <si>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</si>
  <si>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</si>
  <si>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</si>
  <si>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</si>
  <si>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</si>
  <si>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</si>
  <si>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</si>
  <si>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</si>
  <si>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</si>
  <si>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</si>
  <si>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</si>
  <si>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</si>
  <si>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</si>
  <si>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</si>
  <si>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</si>
  <si>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</si>
  <si>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</si>
  <si>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</si>
  <si>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</si>
  <si>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</si>
  <si>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</si>
  <si>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</si>
  <si>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</si>
  <si>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</si>
  <si>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</si>
  <si>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</si>
  <si>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</si>
  <si>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</si>
  <si>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</si>
  <si>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</si>
  <si>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</si>
  <si>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</si>
  <si>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</si>
  <si>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</si>
  <si>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</si>
  <si>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</si>
  <si>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</si>
  <si>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</si>
  <si>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</si>
  <si>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</si>
  <si>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</si>
  <si>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</si>
  <si>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</si>
  <si>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</si>
  <si>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</si>
  <si>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</si>
  <si>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</si>
  <si>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</si>
  <si>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</si>
  <si>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</si>
  <si>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</si>
  <si>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</si>
  <si>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</si>
  <si>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</si>
  <si>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</si>
  <si>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</si>
  <si>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</si>
  <si>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</si>
  <si>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</si>
  <si>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</si>
  <si>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</si>
  <si>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</si>
  <si>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</si>
  <si>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</si>
  <si>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</si>
  <si>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</si>
  <si>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</si>
  <si>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</si>
  <si>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</si>
  <si>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</si>
  <si>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</si>
  <si>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</si>
  <si>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</si>
  <si>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</si>
  <si>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</si>
  <si>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</si>
  <si>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</si>
  <si>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</si>
  <si>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</si>
  <si>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</si>
  <si>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</si>
  <si>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</si>
  <si>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</si>
  <si>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</si>
  <si>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</si>
  <si>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</si>
  <si>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</si>
  <si>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</si>
  <si>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</si>
  <si>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</si>
  <si>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</si>
  <si>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</si>
  <si>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</si>
  <si>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</si>
  <si>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</si>
  <si>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</si>
  <si>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</si>
  <si>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</si>
  <si>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</si>
  <si>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</si>
  <si>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</si>
  <si>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</si>
  <si>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</si>
  <si>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</si>
  <si>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</si>
  <si>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</si>
  <si>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</si>
  <si>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</si>
  <si>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</si>
  <si>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</si>
  <si>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</si>
  <si>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</si>
  <si>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</si>
  <si>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</si>
  <si>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</si>
  <si>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</si>
  <si>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</si>
  <si>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</si>
  <si>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</si>
  <si>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</si>
  <si>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</si>
  <si>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</si>
  <si>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</si>
  <si>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</si>
  <si>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</si>
  <si>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</si>
  <si>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</si>
  <si>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</si>
  <si>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</si>
  <si>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</si>
  <si>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</si>
  <si>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</si>
  <si>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</si>
  <si>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</si>
  <si>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</si>
  <si>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</si>
  <si>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</si>
  <si>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</si>
  <si>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</si>
  <si>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</si>
  <si>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</si>
  <si>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</si>
  <si>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</si>
  <si>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</si>
  <si>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</si>
  <si>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</si>
  <si>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</si>
  <si>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</si>
  <si>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</si>
  <si>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</si>
  <si>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</si>
  <si>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</si>
  <si>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</si>
  <si>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</si>
  <si>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</si>
  <si>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</si>
  <si>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</si>
  <si>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</si>
  <si>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</si>
  <si>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</si>
  <si>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</si>
  <si>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</si>
  <si>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</si>
  <si>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</si>
  <si>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</si>
  <si>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</si>
  <si>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</si>
  <si>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</si>
  <si>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</si>
  <si>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</si>
  <si>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</si>
  <si>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</si>
  <si>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</si>
  <si>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</si>
  <si>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</si>
  <si>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</si>
  <si>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</si>
  <si>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</si>
  <si>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</si>
  <si>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</si>
  <si>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</si>
  <si>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</si>
  <si>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</si>
  <si>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</si>
  <si>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</si>
  <si>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</si>
  <si>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</si>
  <si>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</si>
  <si>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</si>
  <si>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</si>
  <si>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</si>
  <si>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</si>
  <si>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</si>
  <si>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</si>
  <si>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</si>
  <si>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</si>
  <si>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</si>
  <si>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</si>
  <si>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</si>
  <si>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</si>
  <si>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</si>
  <si>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</si>
  <si>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</si>
  <si>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</si>
  <si>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</si>
  <si>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</si>
  <si>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</si>
  <si>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</si>
  <si>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</si>
  <si>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</si>
  <si>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</si>
  <si>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</si>
  <si>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</si>
  <si>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</si>
  <si>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</si>
  <si>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</si>
  <si>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</si>
  <si>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</si>
  <si>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</si>
  <si>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</si>
  <si>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</si>
  <si>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</si>
  <si>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</si>
  <si>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</si>
  <si>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</si>
  <si>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</si>
  <si>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</si>
  <si>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</si>
  <si>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</si>
  <si>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</si>
  <si>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</si>
  <si>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</si>
  <si>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</si>
  <si>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</si>
  <si>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</si>
  <si>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</si>
  <si>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</si>
  <si>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</si>
  <si>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</si>
  <si>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</si>
  <si>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</si>
  <si>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</si>
  <si>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</si>
  <si>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</si>
  <si>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</si>
  <si>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</si>
  <si>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</si>
  <si>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</si>
  <si>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</si>
  <si>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</si>
  <si>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</si>
  <si>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</si>
  <si>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</si>
  <si>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</si>
  <si>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</si>
  <si>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</si>
  <si>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</si>
  <si>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</si>
  <si>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</si>
  <si>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</si>
  <si>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</si>
  <si>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</si>
  <si>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</si>
  <si>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</si>
  <si>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</si>
  <si>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</si>
  <si>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</si>
  <si>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</si>
  <si>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</si>
  <si>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</si>
  <si>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</si>
  <si>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</si>
  <si>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</si>
  <si>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</si>
  <si>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</si>
  <si>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</si>
  <si>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</si>
  <si>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</si>
  <si>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</si>
  <si>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</si>
  <si>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</si>
  <si>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</si>
  <si>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</si>
  <si>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</si>
  <si>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</si>
  <si>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</si>
  <si>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</si>
  <si>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</si>
  <si>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</si>
  <si>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</si>
  <si>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</si>
  <si>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</si>
  <si>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</si>
  <si>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</si>
  <si>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</si>
  <si>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</si>
  <si>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</si>
  <si>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</si>
  <si>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</si>
  <si>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</si>
  <si>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</si>
  <si>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</si>
  <si>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</si>
  <si>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</si>
  <si>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</si>
  <si>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</si>
  <si>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</si>
  <si>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</si>
  <si>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</si>
  <si>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</si>
  <si>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</si>
  <si>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</si>
  <si>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</si>
  <si>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</si>
  <si>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</si>
  <si>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</si>
  <si>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</si>
  <si>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</si>
  <si>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</si>
  <si>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</si>
  <si>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</si>
  <si>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</si>
  <si>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</si>
  <si>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</si>
  <si>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</si>
  <si>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</si>
  <si>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</si>
  <si>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</si>
  <si>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</si>
  <si>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</si>
  <si>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</si>
  <si>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</si>
  <si>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</si>
  <si>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</si>
  <si>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</si>
  <si>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</si>
  <si>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</si>
  <si>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</si>
  <si>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</si>
  <si>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</si>
  <si>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</si>
  <si>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</si>
  <si>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</si>
  <si>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</si>
  <si>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</si>
  <si>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</si>
  <si>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</si>
  <si>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</si>
  <si>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</si>
  <si>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</si>
  <si>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</si>
  <si>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</si>
  <si>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</si>
  <si>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</si>
  <si>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</si>
  <si>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</si>
  <si>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</si>
  <si>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</si>
  <si>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</si>
  <si>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</si>
  <si>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</si>
  <si>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</si>
  <si>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</si>
  <si>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</si>
  <si>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</si>
  <si>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</si>
  <si>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</si>
  <si>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</si>
  <si>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</si>
  <si>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</si>
  <si>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</si>
  <si>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</si>
  <si>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</si>
  <si>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</si>
  <si>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</si>
  <si>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</si>
  <si>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</si>
  <si>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</si>
  <si>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</si>
  <si>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</si>
  <si>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</si>
  <si>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</si>
  <si>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</si>
  <si>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</si>
  <si>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</si>
  <si>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</si>
  <si>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</si>
  <si>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</si>
  <si>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</si>
  <si>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</si>
  <si>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</si>
  <si>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</si>
  <si>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</si>
  <si>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</si>
  <si>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</si>
  <si>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</si>
  <si>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</si>
  <si>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</si>
  <si>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</si>
  <si>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</si>
  <si>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</si>
  <si>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</si>
  <si>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</si>
  <si>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</si>
  <si>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</si>
  <si>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</si>
  <si>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</si>
  <si>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</si>
  <si>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</si>
  <si>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</si>
  <si>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</si>
  <si>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</si>
  <si>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</si>
  <si>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</si>
  <si>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</si>
  <si>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</si>
  <si>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</si>
  <si>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</si>
  <si>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</si>
  <si>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</si>
  <si>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</si>
  <si>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</si>
  <si>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</si>
  <si>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</si>
  <si>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</si>
  <si>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</si>
  <si>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</si>
  <si>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</si>
  <si>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</si>
  <si>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</si>
  <si>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</si>
  <si>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</si>
  <si>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</si>
  <si>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</si>
  <si>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</si>
  <si>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</si>
  <si>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</si>
  <si>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</si>
  <si>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</si>
  <si>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</si>
  <si>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</si>
  <si>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</si>
  <si>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</si>
  <si>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</si>
  <si>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</si>
  <si>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</si>
  <si>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</si>
  <si>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</si>
  <si>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</si>
  <si>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</si>
  <si>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</si>
  <si>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</si>
  <si>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</si>
  <si>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</si>
  <si>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</si>
  <si>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</si>
  <si>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</si>
  <si>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</si>
  <si>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</si>
  <si>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</si>
  <si>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</si>
  <si>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</si>
  <si>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</si>
  <si>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</si>
  <si>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</si>
  <si>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</si>
  <si>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</si>
  <si>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</si>
  <si>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</si>
  <si>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</si>
  <si>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</si>
  <si>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</si>
  <si>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</si>
  <si>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</si>
  <si>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</si>
  <si>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</si>
  <si>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</si>
  <si>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</si>
  <si>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</si>
  <si>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</si>
  <si>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</si>
  <si>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</si>
  <si>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</si>
  <si>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</si>
  <si>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</si>
  <si>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</si>
  <si>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</si>
  <si>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</si>
  <si>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</si>
  <si>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</si>
  <si>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</si>
  <si>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</si>
  <si>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</si>
  <si>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</si>
  <si>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</si>
  <si>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</si>
  <si>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</si>
  <si>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</si>
  <si>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</si>
  <si>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</si>
  <si>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</si>
  <si>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</si>
  <si>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</si>
  <si>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</si>
  <si>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</si>
  <si>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</si>
  <si>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</si>
  <si>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</si>
  <si>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</si>
  <si>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</si>
  <si>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</si>
  <si>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</si>
  <si>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</si>
  <si>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</si>
  <si>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</si>
  <si>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</si>
  <si>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</si>
  <si>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</si>
  <si>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</si>
  <si>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</si>
  <si>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</si>
  <si>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</si>
  <si>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</si>
  <si>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</si>
  <si>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</si>
  <si>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</si>
  <si>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</si>
  <si>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</si>
  <si>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</si>
  <si>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</si>
  <si>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</si>
  <si>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</si>
  <si>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</si>
  <si>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</si>
  <si>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</si>
  <si>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</si>
  <si>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</si>
  <si>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</si>
  <si>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</si>
  <si>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</si>
  <si>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</si>
  <si>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</si>
  <si>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</si>
  <si>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</si>
  <si>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</si>
  <si>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</si>
  <si>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</si>
  <si>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</si>
  <si>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</si>
  <si>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</si>
  <si>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</si>
  <si>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</si>
  <si>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</si>
  <si>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</si>
  <si>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</si>
  <si>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</si>
  <si>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</si>
  <si>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</si>
  <si>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</si>
  <si>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</si>
  <si>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</si>
  <si>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</si>
  <si>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</si>
  <si>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</si>
  <si>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</si>
  <si>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</si>
  <si>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</si>
  <si>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</si>
  <si>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</si>
  <si>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</si>
  <si>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</si>
  <si>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</si>
  <si>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</si>
  <si>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</si>
  <si>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</si>
  <si>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</si>
  <si>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</si>
  <si>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</si>
  <si>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</si>
  <si>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</si>
  <si>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</si>
  <si>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</si>
  <si>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</si>
  <si>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</si>
  <si>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</si>
  <si>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</si>
  <si>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</si>
  <si>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</si>
  <si>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</si>
  <si>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</si>
  <si>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</si>
  <si>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</si>
  <si>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</si>
  <si>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</si>
  <si>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</si>
  <si>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</si>
  <si>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</si>
  <si>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</si>
  <si>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</si>
  <si>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</si>
  <si>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</si>
  <si>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</si>
  <si>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</si>
  <si>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</si>
  <si>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</si>
  <si>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</si>
  <si>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</si>
  <si>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</si>
  <si>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</si>
  <si>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</si>
  <si>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</si>
  <si>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</si>
  <si>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</si>
  <si>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</si>
  <si>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</si>
  <si>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</si>
  <si>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</si>
  <si>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</si>
  <si>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</si>
  <si>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</si>
  <si>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</si>
  <si>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</si>
  <si>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</si>
  <si>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</si>
  <si>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</si>
  <si>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</si>
  <si>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</si>
  <si>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</si>
  <si>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</si>
  <si>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</si>
  <si>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</si>
  <si>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</si>
  <si>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</si>
  <si>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</si>
  <si>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</si>
  <si>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</si>
  <si>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</si>
  <si>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</si>
  <si>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</si>
  <si>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</si>
  <si>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</si>
  <si>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</si>
  <si>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</si>
  <si>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</si>
  <si>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</si>
  <si>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</si>
  <si>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</si>
  <si>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</si>
  <si>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</si>
  <si>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</si>
  <si>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</si>
  <si>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</si>
  <si>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</si>
  <si>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</si>
  <si>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</si>
  <si>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</si>
  <si>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</si>
  <si>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</si>
  <si>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</si>
  <si>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</si>
  <si>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</si>
  <si>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</si>
  <si>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</si>
  <si>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</si>
  <si>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</si>
  <si>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</si>
  <si>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</si>
  <si>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</si>
  <si>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</si>
  <si>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</si>
  <si>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</si>
  <si>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</si>
  <si>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</si>
  <si>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</si>
  <si>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</si>
  <si>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</si>
  <si>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</si>
  <si>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</si>
  <si>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</si>
  <si>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</si>
  <si>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</si>
  <si>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</si>
  <si>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</si>
  <si>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</si>
  <si>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</si>
  <si>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</si>
  <si>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</si>
  <si>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</si>
  <si>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</si>
  <si>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</si>
  <si>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</si>
  <si>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</si>
  <si>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</si>
  <si>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</si>
  <si>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</si>
  <si>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</si>
  <si>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</si>
  <si>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</si>
  <si>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</si>
  <si>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</si>
  <si>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</si>
  <si>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</si>
  <si>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</si>
  <si>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</si>
  <si>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</si>
  <si>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</si>
  <si>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</si>
  <si>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</si>
  <si>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</si>
  <si>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</si>
  <si>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</si>
  <si>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</si>
  <si>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</si>
  <si>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</si>
  <si>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</si>
  <si>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</si>
  <si>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</si>
  <si>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</si>
  <si>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</si>
  <si>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</si>
  <si>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</si>
  <si>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</si>
  <si>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</si>
  <si>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</si>
  <si>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</si>
  <si>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</si>
  <si>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</si>
  <si>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</si>
  <si>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</si>
  <si>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</si>
  <si>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</si>
  <si>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</si>
  <si>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</si>
  <si>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</si>
  <si>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</si>
  <si>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</si>
  <si>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</si>
  <si>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</si>
  <si>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</si>
  <si>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</si>
  <si>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</si>
  <si>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</si>
  <si>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</si>
  <si>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</si>
  <si>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</si>
  <si>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</si>
  <si>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</si>
  <si>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</si>
  <si>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</si>
  <si>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</si>
  <si>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</si>
  <si>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</si>
  <si>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</si>
  <si>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</si>
  <si>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</si>
  <si>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</si>
  <si>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</si>
  <si>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</si>
  <si>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</si>
  <si>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</si>
  <si>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</si>
  <si>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</si>
  <si>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</si>
  <si>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</si>
  <si>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</si>
  <si>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</si>
  <si>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</si>
  <si>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</si>
  <si>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</si>
  <si>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</si>
  <si>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</si>
  <si>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</si>
  <si>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</si>
  <si>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</si>
  <si>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</si>
  <si>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</si>
  <si>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</si>
  <si>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</si>
  <si>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</si>
  <si>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</si>
  <si>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</si>
  <si>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</si>
  <si>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</si>
  <si>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</si>
  <si>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</si>
  <si>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</si>
  <si>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</si>
  <si>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</si>
  <si>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</si>
  <si>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</si>
  <si>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</si>
  <si>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</si>
  <si>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</si>
  <si>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</si>
  <si>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</si>
  <si>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</si>
  <si>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</si>
  <si>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</si>
  <si>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</si>
  <si>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</si>
  <si>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</si>
  <si>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</si>
  <si>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</si>
  <si>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</si>
  <si>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</si>
  <si>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</si>
  <si>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</si>
  <si>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</si>
  <si>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</si>
  <si>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</si>
  <si>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</si>
  <si>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</si>
  <si>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</si>
  <si>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</si>
  <si>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</si>
  <si>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</si>
  <si>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</si>
  <si>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</si>
  <si>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</si>
  <si>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</si>
  <si>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</si>
  <si>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</si>
  <si>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</si>
  <si>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</si>
  <si>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</si>
  <si>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</si>
  <si>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</si>
  <si>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</si>
  <si>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</si>
  <si>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</si>
  <si>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</si>
  <si>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</si>
  <si>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</si>
  <si>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</si>
  <si>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</si>
  <si>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</si>
  <si>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</si>
  <si>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</si>
  <si>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</si>
  <si>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</si>
  <si>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</si>
  <si>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</si>
  <si>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</si>
  <si>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</si>
  <si>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</si>
  <si>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</si>
  <si>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</si>
  <si>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</si>
  <si>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</si>
  <si>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</si>
  <si>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</si>
  <si>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</si>
  <si>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</si>
  <si>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</si>
  <si>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</si>
  <si>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</si>
  <si>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</si>
  <si>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</si>
  <si>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</si>
  <si>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</si>
  <si>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</si>
  <si>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</si>
  <si>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</si>
  <si>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</si>
  <si>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</si>
  <si>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</si>
  <si>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</si>
  <si>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</si>
  <si>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</si>
  <si>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</si>
  <si>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</si>
  <si>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</si>
  <si>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</si>
  <si>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</si>
  <si>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</si>
  <si>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</si>
  <si>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</si>
  <si>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</si>
  <si>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</si>
  <si>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</si>
  <si>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</si>
  <si>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</si>
  <si>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</si>
  <si>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</si>
  <si>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</si>
  <si>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</si>
  <si>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</si>
  <si>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</si>
  <si>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</si>
  <si>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</si>
  <si>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</si>
  <si>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</si>
  <si>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</si>
  <si>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</si>
  <si>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</si>
  <si>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</si>
  <si>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</si>
  <si>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</si>
  <si>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</si>
  <si>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</si>
  <si>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</si>
  <si>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</si>
  <si>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</si>
  <si>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</si>
  <si>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</si>
  <si>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</si>
  <si>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</si>
  <si>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</si>
  <si>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</si>
  <si>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</si>
  <si>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</si>
  <si>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</si>
  <si>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</si>
  <si>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</si>
  <si>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</si>
  <si>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</si>
  <si>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</si>
  <si>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</si>
  <si>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</si>
  <si>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</si>
  <si>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</si>
  <si>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</si>
  <si>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</si>
  <si>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</si>
  <si>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</si>
  <si>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</si>
  <si>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</si>
  <si>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</si>
  <si>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</si>
  <si>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</si>
  <si>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</si>
  <si>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</si>
  <si>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</si>
  <si>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</si>
  <si>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</si>
  <si>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</si>
  <si>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</si>
  <si>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</si>
  <si>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</si>
  <si>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</si>
  <si>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</si>
  <si>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</si>
  <si>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</si>
  <si>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</si>
  <si>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</si>
  <si>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</si>
  <si>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</si>
  <si>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</si>
  <si>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</si>
  <si>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</si>
  <si>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</si>
  <si>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</si>
  <si>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</si>
  <si>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</si>
  <si>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</si>
  <si>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</si>
  <si>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</si>
  <si>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</si>
  <si>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</si>
  <si>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</si>
  <si>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</si>
  <si>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</si>
  <si>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</si>
  <si>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</si>
  <si>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</si>
  <si>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</si>
  <si>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</si>
  <si>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</si>
  <si>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</si>
  <si>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</si>
  <si>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</si>
  <si>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</si>
  <si>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</si>
  <si>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</si>
  <si>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</si>
  <si>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</si>
  <si>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</si>
  <si>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</si>
  <si>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</si>
  <si>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</si>
  <si>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</si>
  <si>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</si>
  <si>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</si>
  <si>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</si>
  <si>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</si>
  <si>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</si>
  <si>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</si>
  <si>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</si>
  <si>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</si>
  <si>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</si>
  <si>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</si>
  <si>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</si>
  <si>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</si>
  <si>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</si>
  <si>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</si>
  <si>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</si>
  <si>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</si>
  <si>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</si>
  <si>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</si>
  <si>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</si>
  <si>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</si>
  <si>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</si>
  <si>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</si>
  <si>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</si>
  <si>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</si>
  <si>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</si>
  <si>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</si>
  <si>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</si>
  <si>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</si>
  <si>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</si>
  <si>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</si>
  <si>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</si>
  <si>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</si>
  <si>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</si>
  <si>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</si>
  <si>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</si>
  <si>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</si>
  <si>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</si>
  <si>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</si>
  <si>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</si>
  <si>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</si>
  <si>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</si>
  <si>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</si>
  <si>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</si>
  <si>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</si>
  <si>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</si>
  <si>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</si>
  <si>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</si>
  <si>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</si>
  <si>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</si>
  <si>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</si>
  <si>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</si>
  <si>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</si>
  <si>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</si>
  <si>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</si>
  <si>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</si>
  <si>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</si>
  <si>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</si>
  <si>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</si>
  <si>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</si>
  <si>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</si>
  <si>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</si>
  <si>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</si>
  <si>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</si>
  <si>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</si>
  <si>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</si>
  <si>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</si>
  <si>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</si>
  <si>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</si>
  <si>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</si>
  <si>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</si>
  <si>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</si>
  <si>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</si>
  <si>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</si>
  <si>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</si>
  <si>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</si>
  <si>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</si>
  <si>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</si>
  <si>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</si>
  <si>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</si>
  <si>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</si>
  <si>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</si>
  <si>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</si>
  <si>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</si>
  <si>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</si>
  <si>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</si>
  <si>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</si>
  <si>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</si>
  <si>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</si>
  <si>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</si>
  <si>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</si>
  <si>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</si>
  <si>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</si>
  <si>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</si>
  <si>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</si>
  <si>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</si>
  <si>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</si>
  <si>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</si>
  <si>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</si>
  <si>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</si>
  <si>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</si>
  <si>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</si>
  <si>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</si>
  <si>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</si>
  <si>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</si>
  <si>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</si>
  <si>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</si>
  <si>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</si>
  <si>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</si>
  <si>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</si>
  <si>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</si>
  <si>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</si>
  <si>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</si>
  <si>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</si>
  <si>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</si>
  <si>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</si>
  <si>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</si>
  <si>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</si>
  <si>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</si>
  <si>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</si>
  <si>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</si>
  <si>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</si>
  <si>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</si>
  <si>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</si>
  <si>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</si>
  <si>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</si>
  <si>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</si>
  <si>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</si>
  <si>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</si>
  <si>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</si>
  <si>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</si>
  <si>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</si>
  <si>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</si>
  <si>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</si>
  <si>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</si>
  <si>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</si>
  <si>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</si>
  <si>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</si>
  <si>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</si>
  <si>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</si>
  <si>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</si>
  <si>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</si>
  <si>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</si>
  <si>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</si>
  <si>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</si>
  <si>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</si>
  <si>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</si>
  <si>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</si>
  <si>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</si>
  <si>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</si>
  <si>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</si>
  <si>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</si>
  <si>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</si>
  <si>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</si>
  <si>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</si>
  <si>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</si>
  <si>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</si>
  <si>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</si>
  <si>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</si>
  <si>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</si>
  <si>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</si>
  <si>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</si>
  <si>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</si>
  <si>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</si>
  <si>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</si>
  <si>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</si>
  <si>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</si>
  <si>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</si>
  <si>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</si>
  <si>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</si>
  <si>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</si>
  <si>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</si>
  <si>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</si>
  <si>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</si>
  <si>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</si>
  <si>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</si>
  <si>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</si>
  <si>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</si>
  <si>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</si>
  <si>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</si>
  <si>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</si>
  <si>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</si>
  <si>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</si>
  <si>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</si>
  <si>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</si>
  <si>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</si>
  <si>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</si>
  <si>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</si>
  <si>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</si>
  <si>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</si>
  <si>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</si>
  <si>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</si>
  <si>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</si>
  <si>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</si>
  <si>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</si>
  <si>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</si>
  <si>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</si>
  <si>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</si>
  <si>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</si>
  <si>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</si>
  <si>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</si>
  <si>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</si>
  <si>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</si>
  <si>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</si>
  <si>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</si>
  <si>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</si>
  <si>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</si>
  <si>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</si>
  <si>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</si>
  <si>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</si>
  <si>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</si>
  <si>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</si>
  <si>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</si>
  <si>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</si>
  <si>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</si>
  <si>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</si>
  <si>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</si>
  <si>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</si>
  <si>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</si>
  <si>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</si>
  <si>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</si>
  <si>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</si>
  <si>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</si>
  <si>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</si>
  <si>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</si>
  <si>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</si>
  <si>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</si>
  <si>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</si>
  <si>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</si>
  <si>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</si>
  <si>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</si>
  <si>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</si>
  <si>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</si>
  <si>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</si>
  <si>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</si>
  <si>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</si>
  <si>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</si>
  <si>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</si>
  <si>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</si>
  <si>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</si>
  <si>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</si>
  <si>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</si>
  <si>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</si>
  <si>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</si>
  <si>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</si>
  <si>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</si>
  <si>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</si>
  <si>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</si>
  <si>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</si>
  <si>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</si>
  <si>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</si>
  <si>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</si>
  <si>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</si>
  <si>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</si>
  <si>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</si>
  <si>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</si>
  <si>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</si>
  <si>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</si>
  <si>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</si>
  <si>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</si>
  <si>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</si>
  <si>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</si>
  <si>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</si>
  <si>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</si>
  <si>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</si>
  <si>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</si>
  <si>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</si>
  <si>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</si>
  <si>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</si>
  <si>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</si>
  <si>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</si>
  <si>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</si>
  <si>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</si>
  <si>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</si>
  <si>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</si>
  <si>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</si>
  <si>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</si>
  <si>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</si>
  <si>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</si>
  <si>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</si>
  <si>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</si>
  <si>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</si>
  <si>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</si>
  <si>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</si>
  <si>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</si>
  <si>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</si>
  <si>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</si>
  <si>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</si>
  <si>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</si>
  <si>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</si>
  <si>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</si>
  <si>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</si>
  <si>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</si>
  <si>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</si>
  <si>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</si>
  <si>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</si>
  <si>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</si>
  <si>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</si>
  <si>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</si>
  <si>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</si>
  <si>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</si>
  <si>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</si>
  <si>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</si>
  <si>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</si>
  <si>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</si>
  <si>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</si>
  <si>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</si>
  <si>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</si>
  <si>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</si>
  <si>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</si>
  <si>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</si>
  <si>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</si>
  <si>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</si>
  <si>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</si>
  <si>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</si>
  <si>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</si>
  <si>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</si>
  <si>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</si>
  <si>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</si>
  <si>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</si>
  <si>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</si>
  <si>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</si>
  <si>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</si>
  <si>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</si>
  <si>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</si>
  <si>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</si>
  <si>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</si>
  <si>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</si>
  <si>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</si>
  <si>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</si>
  <si>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</si>
  <si>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</si>
  <si>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</si>
  <si>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</si>
  <si>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</si>
  <si>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</si>
  <si>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</si>
  <si>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</si>
  <si>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</si>
  <si>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</si>
  <si>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</si>
  <si>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</si>
  <si>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</si>
  <si>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</si>
  <si>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</si>
  <si>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</si>
  <si>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</si>
  <si>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</si>
  <si>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</si>
  <si>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</si>
  <si>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</si>
  <si>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</si>
  <si>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</si>
  <si>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</si>
  <si>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</si>
  <si>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</si>
  <si>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</si>
  <si>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</si>
  <si>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</si>
  <si>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</si>
  <si>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</si>
  <si>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</si>
  <si>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</si>
  <si>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</si>
  <si>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</si>
  <si>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</si>
  <si>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</si>
  <si>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</si>
  <si>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</si>
  <si>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</si>
  <si>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</si>
  <si>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</si>
  <si>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</si>
  <si>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</si>
  <si>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</si>
  <si>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</si>
  <si>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</si>
  <si>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</si>
  <si>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</si>
  <si>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</si>
  <si>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</si>
  <si>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</si>
  <si>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</si>
  <si>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</si>
  <si>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</si>
  <si>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</si>
  <si>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</si>
  <si>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</si>
  <si>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</si>
  <si>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</si>
  <si>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</si>
  <si>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</si>
  <si>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</si>
  <si>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</si>
  <si>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</si>
  <si>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</si>
  <si>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</si>
  <si>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</si>
  <si>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</si>
  <si>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</si>
  <si>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</si>
  <si>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</si>
  <si>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</si>
  <si>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</si>
  <si>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</si>
  <si>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</si>
  <si>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</si>
  <si>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</si>
  <si>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</si>
  <si>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</si>
  <si>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</si>
  <si>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</si>
  <si>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</si>
  <si>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</si>
  <si>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</si>
  <si>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</si>
  <si>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</si>
  <si>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</si>
  <si>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</si>
  <si>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</si>
  <si>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</si>
  <si>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</si>
  <si>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</si>
  <si>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</si>
  <si>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</si>
  <si>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</si>
  <si>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</si>
  <si>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</si>
  <si>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</si>
  <si>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</si>
  <si>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</si>
  <si>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</si>
  <si>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</si>
  <si>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</si>
  <si>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</si>
  <si>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</si>
  <si>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</si>
  <si>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</si>
  <si>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</si>
  <si>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</si>
  <si>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</si>
  <si>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</si>
  <si>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</si>
  <si>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</si>
  <si>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</si>
  <si>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</si>
  <si>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</si>
  <si>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</si>
  <si>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</si>
  <si>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</si>
  <si>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</si>
  <si>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</si>
  <si>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</si>
  <si>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</si>
  <si>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</si>
  <si>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</si>
  <si>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</si>
  <si>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</si>
  <si>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</si>
  <si>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</si>
  <si>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</si>
  <si>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</si>
  <si>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</si>
  <si>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</si>
  <si>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</si>
  <si>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</si>
  <si>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</si>
  <si>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</si>
  <si>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</si>
  <si>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</si>
  <si>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</si>
  <si>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</si>
  <si>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</si>
  <si>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</si>
  <si>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</si>
  <si>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</si>
  <si>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</si>
  <si>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</si>
  <si>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</si>
  <si>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</si>
  <si>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</si>
  <si>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</si>
  <si>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</si>
  <si>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</si>
  <si>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</si>
  <si>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</si>
  <si>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</si>
  <si>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</si>
  <si>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</si>
  <si>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</si>
  <si>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</si>
  <si>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</si>
  <si>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</si>
  <si>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</si>
  <si>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</si>
  <si>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</si>
  <si>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</si>
  <si>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</si>
  <si>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</si>
  <si>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</si>
  <si>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</si>
  <si>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</si>
  <si>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</si>
  <si>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</si>
  <si>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</si>
  <si>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</si>
  <si>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</si>
  <si>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</si>
  <si>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</si>
  <si>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</si>
  <si>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</si>
  <si>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</si>
  <si>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</si>
  <si>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</si>
  <si>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</si>
  <si>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</si>
  <si>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</si>
  <si>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</si>
  <si>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</si>
  <si>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</si>
  <si>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</si>
  <si>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</si>
  <si>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</si>
  <si>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</si>
  <si>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</si>
  <si>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</si>
  <si>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</si>
  <si>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</si>
  <si>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</si>
  <si>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</si>
  <si>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</si>
  <si>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</si>
  <si>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</si>
  <si>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</si>
  <si>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</si>
  <si>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</si>
  <si>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</si>
  <si>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</si>
  <si>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</si>
  <si>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</si>
  <si>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</si>
  <si>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</si>
  <si>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</si>
  <si>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</si>
  <si>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</si>
  <si>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</si>
  <si>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</si>
  <si>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</si>
  <si>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</si>
  <si>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</si>
  <si>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</si>
  <si>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</si>
  <si>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</si>
  <si>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</si>
  <si>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</si>
  <si>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</si>
  <si>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</si>
  <si>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</si>
  <si>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</si>
  <si>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</si>
  <si>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</si>
  <si>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</si>
  <si>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</si>
  <si>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</si>
  <si>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</si>
  <si>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</si>
  <si>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</si>
  <si>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</si>
  <si>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</si>
  <si>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</si>
  <si>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</si>
  <si>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</si>
  <si>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</si>
  <si>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</si>
  <si>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</si>
  <si>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</si>
  <si>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</si>
  <si>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</si>
  <si>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</si>
  <si>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</si>
  <si>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</si>
  <si>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</si>
  <si>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</si>
  <si>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</si>
  <si>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</si>
  <si>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</si>
  <si>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</si>
  <si>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</si>
  <si>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建成年代</t>
    <phoneticPr fontId="6" type="noConversion"/>
  </si>
  <si>
    <t>现房</t>
  </si>
  <si>
    <t>商业项目</t>
  </si>
  <si>
    <t>无</t>
  </si>
  <si>
    <t>否</t>
  </si>
  <si>
    <t>是</t>
  </si>
  <si>
    <t>地上</t>
  </si>
  <si>
    <t>3-2-31</t>
  </si>
  <si>
    <t>3-2-31</t>
    <phoneticPr fontId="3" type="noConversion"/>
  </si>
  <si>
    <t>成新度</t>
  </si>
  <si>
    <t>收益法 (元)</t>
  </si>
  <si>
    <t>通路</t>
  </si>
  <si>
    <t>通电</t>
  </si>
  <si>
    <t>Ⅷ-延1</t>
  </si>
  <si>
    <t>自定义容积率</t>
  </si>
  <si>
    <t>不临65条商业街</t>
  </si>
  <si>
    <t>与级别开发程度一致</t>
  </si>
  <si>
    <t>按公示增长率计算</t>
  </si>
  <si>
    <t>中心城区以外</t>
  </si>
  <si>
    <t>楼层修正</t>
  </si>
  <si>
    <t>较差</t>
  </si>
  <si>
    <t>好</t>
  </si>
  <si>
    <t>未包含在土地购买价格中</t>
  </si>
  <si>
    <t>全部缴纳</t>
  </si>
  <si>
    <t>钢混</t>
  </si>
  <si>
    <t>非生产用房</t>
  </si>
  <si>
    <t>已包含在土地取得成本中</t>
  </si>
  <si>
    <t>含税</t>
  </si>
  <si>
    <t>押一</t>
  </si>
  <si>
    <t>成本法 (元)</t>
  </si>
  <si>
    <t>楼面单价</t>
  </si>
  <si>
    <t>自定义</t>
  </si>
  <si>
    <t>按不含税租金收入（有效毛租金收入）计税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</si>
</sst>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77" fillId="12" borderId="0" xfId="0" applyFont="1" applyFill="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438151</xdr:colOff>
      <xdr:row>23</xdr:row>
      <xdr:rowOff>164826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24550" cy="41081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估价对象为北京市房地产，为所有。根据《国有土地使用证》[]，估价对象（分摊）出让国有建设用地使用权面积为0平方米，建筑面积为191.15平方米。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估价对象为北京市房地产,属开发建设的商业项目，该项目尚在开发建设中。根据《国有土地使用证》[]，估价对象（分摊）出让国有建设用地使用权面积为0平方米，规划建筑面积为191.15平方米。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2026年1月25日（评估专业人员实地查勘之日）</v>
      </c>
    </row>
    <row r="13" spans="1:2" s="878" customFormat="1">
      <c r="A13" s="876" t="s">
        <v>523</v>
      </c>
      <c r="B13" s="877" t="str">
        <f>'预评函-1'!A18</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218.69470000000001</v>
      </c>
    </row>
    <row r="21" spans="1:2" s="878" customFormat="1">
      <c r="A21" s="876" t="s">
        <v>531</v>
      </c>
      <c r="B21" s="877">
        <f ca="1">'预评函-2'!D7</f>
        <v>11441</v>
      </c>
    </row>
    <row r="22" spans="1:2" s="878" customFormat="1">
      <c r="A22" s="876" t="s">
        <v>532</v>
      </c>
      <c r="B22" s="877" t="str">
        <f ca="1">'预评函-2'!D6</f>
        <v>贰佰壹拾捌万陆仟玖佰肆拾柒元整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218.69470000000001</v>
      </c>
    </row>
    <row r="31" spans="1:2" s="878" customFormat="1">
      <c r="A31" s="876" t="s">
        <v>570</v>
      </c>
      <c r="B31" s="877">
        <f ca="1">'预评函-2'!D15</f>
        <v>11441</v>
      </c>
    </row>
    <row r="32" spans="1:2" s="878" customFormat="1">
      <c r="A32" s="876" t="s">
        <v>537</v>
      </c>
      <c r="B32" s="877" t="str">
        <f ca="1">'预评函-2'!D14</f>
        <v>贰佰壹拾捌万陆仟玖佰肆拾柒元整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191.15</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'预评函-3'!D4</f>
        <v>0</v>
      </c>
    </row>
    <row r="48" spans="1:2" s="878" customFormat="1">
      <c r="A48" s="876" t="s">
        <v>543</v>
      </c>
      <c r="B48" s="877">
        <f>'预评函-3'!E4</f>
        <v>0</v>
      </c>
    </row>
    <row r="49" spans="1:2" s="878" customFormat="1">
      <c r="A49" s="876" t="s">
        <v>544</v>
      </c>
      <c r="B49" s="877" t="str">
        <f>'预评函-3'!D5</f>
        <v>零元整</v>
      </c>
    </row>
    <row r="50" spans="1:2" s="878" customFormat="1">
      <c r="A50" s="876" t="s">
        <v>568</v>
      </c>
      <c r="B50" s="877">
        <f>'预评函-3'!F2</f>
        <v>0</v>
      </c>
    </row>
    <row r="51" spans="1:2" s="878" customFormat="1">
      <c r="A51" s="876" t="s">
        <v>545</v>
      </c>
      <c r="B51" s="877">
        <f>'预评函-3'!F4</f>
        <v>0</v>
      </c>
    </row>
    <row r="52" spans="1:2" s="878" customFormat="1">
      <c r="A52" s="876" t="s">
        <v>546</v>
      </c>
      <c r="B52" s="877">
        <f>'预评函-3'!G4</f>
        <v>0</v>
      </c>
    </row>
    <row r="53" spans="1:2" s="878" customFormat="1">
      <c r="A53" s="876" t="s">
        <v>574</v>
      </c>
      <c r="B53" s="877" t="str">
        <f>'预评函-3'!F5</f>
        <v>零元整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6"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1198" t="s">
        <v>379</v>
      </c>
      <c r="C54" s="1195" t="s">
        <v>577</v>
      </c>
    </row>
    <row r="55" spans="1:4">
      <c r="A55" s="4606"/>
      <c r="B55" s="1198" t="s">
        <v>380</v>
      </c>
      <c r="C55" s="1195" t="s">
        <v>578</v>
      </c>
    </row>
    <row r="56" spans="1:4">
      <c r="A56" s="4606"/>
      <c r="B56" s="1198" t="s">
        <v>381</v>
      </c>
      <c r="C56" s="1195" t="s">
        <v>582</v>
      </c>
    </row>
    <row r="57" spans="1:4">
      <c r="A57" s="4606"/>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D26" sqref="D26"/>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7" t="s">
        <v>2478</v>
      </c>
      <c r="J2" s="4608"/>
      <c r="K2" s="4608"/>
      <c r="L2" s="4608"/>
      <c r="M2" s="4608"/>
      <c r="N2" s="4608"/>
      <c r="O2" s="4608"/>
      <c r="P2" s="4608"/>
      <c r="Q2" s="4608"/>
      <c r="R2" s="4609"/>
    </row>
    <row r="3" spans="1:19">
      <c r="A3" s="2434" t="s">
        <v>2399</v>
      </c>
      <c r="B3" s="2435">
        <f>项目基本情况!D3</f>
        <v>46047</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30.92</v>
      </c>
      <c r="D7" s="3955">
        <f>IF(ISERROR(ROUND(POWER(1+E7,A7-C7)*(POWER(1+E7,C7)-1)/(POWER(1+E7,A7)-1),3)),0,ROUND(POWER(1+E7,A7-C7)*(POWER(1+E7,C7)-1)/(POWER(1+E7,A7)-1),4))</f>
        <v>0.75080000000000002</v>
      </c>
      <c r="E7" s="3956">
        <v>0.04</v>
      </c>
      <c r="F7" s="2433"/>
      <c r="I7" s="3936" t="s">
        <v>3692</v>
      </c>
      <c r="J7" s="3937" t="s">
        <v>3694</v>
      </c>
      <c r="K7" s="3938">
        <v>3.5</v>
      </c>
      <c r="L7" s="3939"/>
      <c r="M7" s="3932"/>
      <c r="N7" s="2428"/>
      <c r="O7" s="2428"/>
      <c r="P7" s="2428"/>
      <c r="Q7" s="2428"/>
      <c r="R7" s="2429"/>
    </row>
    <row r="8" spans="1:19" ht="14.25" thickBot="1">
      <c r="A8" s="2431"/>
      <c r="B8" s="2432"/>
      <c r="C8" s="2432"/>
      <c r="D8" s="2432"/>
      <c r="E8" s="2432"/>
      <c r="F8" s="2433"/>
      <c r="I8" s="4607" t="s">
        <v>3693</v>
      </c>
      <c r="J8" s="4608"/>
      <c r="K8" s="4608"/>
      <c r="L8" s="4608"/>
      <c r="M8" s="4608"/>
      <c r="N8" s="4608"/>
      <c r="O8" s="4608"/>
      <c r="P8" s="4608"/>
      <c r="Q8" s="4608"/>
      <c r="R8" s="4609"/>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2" t="s">
        <v>3908</v>
      </c>
    </row>
    <row r="10" spans="1:19">
      <c r="A10" s="2434" t="s">
        <v>2406</v>
      </c>
      <c r="B10" s="2436"/>
      <c r="C10" s="2436"/>
      <c r="D10" s="2436" t="s">
        <v>2404</v>
      </c>
      <c r="E10" s="2436"/>
      <c r="F10" s="2437" t="s">
        <v>2403</v>
      </c>
      <c r="I10" s="3933" t="s">
        <v>2479</v>
      </c>
      <c r="J10" s="4554">
        <f>ROUND(J4/$K$7,0)</f>
        <v>23</v>
      </c>
      <c r="K10" s="4554">
        <f t="shared" ref="K10:Q12" si="0">ROUND(K4/$K$7,0)</f>
        <v>20</v>
      </c>
      <c r="L10" s="4554">
        <f t="shared" si="0"/>
        <v>6</v>
      </c>
      <c r="M10" s="4554">
        <f t="shared" si="0"/>
        <v>9</v>
      </c>
      <c r="N10" s="4554">
        <f t="shared" si="0"/>
        <v>13</v>
      </c>
      <c r="O10" s="4554">
        <f t="shared" si="0"/>
        <v>17</v>
      </c>
      <c r="P10" s="4554">
        <f t="shared" si="0"/>
        <v>14</v>
      </c>
      <c r="Q10" s="4554">
        <f t="shared" si="0"/>
        <v>6</v>
      </c>
      <c r="R10" s="4559">
        <f>SUM(J10:Q10)</f>
        <v>108</v>
      </c>
      <c r="S10" s="4613"/>
    </row>
    <row r="11" spans="1:19">
      <c r="A11" s="3959" t="s">
        <v>2407</v>
      </c>
      <c r="B11" s="3957">
        <v>70</v>
      </c>
      <c r="C11" s="3960" t="s">
        <v>2408</v>
      </c>
      <c r="D11" s="3956">
        <v>4.4999999999999998E-2</v>
      </c>
      <c r="E11" s="3960" t="s">
        <v>2409</v>
      </c>
      <c r="F11" s="3958">
        <f>ROUND(1-(1/(POWER(1+D11,B11))),4)</f>
        <v>0.95409999999999995</v>
      </c>
      <c r="I11" s="3933" t="s">
        <v>2480</v>
      </c>
      <c r="J11" s="4554">
        <f>ROUND(J5/$K$7,0)</f>
        <v>20</v>
      </c>
      <c r="K11" s="4554">
        <f t="shared" si="0"/>
        <v>17</v>
      </c>
      <c r="L11" s="4554">
        <f t="shared" si="0"/>
        <v>4</v>
      </c>
      <c r="M11" s="4554">
        <f t="shared" si="0"/>
        <v>7</v>
      </c>
      <c r="N11" s="4554">
        <f t="shared" si="0"/>
        <v>11</v>
      </c>
      <c r="O11" s="4554">
        <f t="shared" si="0"/>
        <v>14</v>
      </c>
      <c r="P11" s="4554">
        <f t="shared" si="0"/>
        <v>11</v>
      </c>
      <c r="Q11" s="4554">
        <f t="shared" si="0"/>
        <v>4</v>
      </c>
      <c r="R11" s="4559">
        <f t="shared" ref="R11:R12" si="1">SUM(J11:Q11)</f>
        <v>88</v>
      </c>
      <c r="S11" s="4613"/>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17</v>
      </c>
      <c r="K12" s="4554">
        <f t="shared" si="0"/>
        <v>14</v>
      </c>
      <c r="L12" s="4554">
        <f t="shared" si="0"/>
        <v>3</v>
      </c>
      <c r="M12" s="4554">
        <f t="shared" si="0"/>
        <v>6</v>
      </c>
      <c r="N12" s="4554">
        <f t="shared" si="0"/>
        <v>10</v>
      </c>
      <c r="O12" s="4554">
        <f t="shared" si="0"/>
        <v>11</v>
      </c>
      <c r="P12" s="4554">
        <f t="shared" si="0"/>
        <v>9</v>
      </c>
      <c r="Q12" s="4554">
        <f t="shared" si="0"/>
        <v>3</v>
      </c>
      <c r="R12" s="4559">
        <f t="shared" si="1"/>
        <v>73</v>
      </c>
      <c r="S12" s="4613"/>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3"/>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3"/>
    </row>
    <row r="15" spans="1:19">
      <c r="A15" s="3959" t="s">
        <v>2415</v>
      </c>
      <c r="B15" s="3963">
        <f>ROUND(B14*F12/F11,2)</f>
        <v>4339.6899999999996</v>
      </c>
      <c r="C15" s="3955">
        <f>ROUND(F12/F11,4)</f>
        <v>0.8679</v>
      </c>
      <c r="D15" s="2432"/>
      <c r="E15" s="2432"/>
      <c r="F15" s="2433"/>
      <c r="I15" s="3933" t="s">
        <v>2479</v>
      </c>
      <c r="J15" s="4554">
        <f>ROUND(J10*$L$13,0)</f>
        <v>21</v>
      </c>
      <c r="K15" s="4554">
        <f t="shared" ref="K15:Q15" si="2">ROUND(K10*$L$13,0)</f>
        <v>19</v>
      </c>
      <c r="L15" s="4554">
        <f t="shared" si="2"/>
        <v>6</v>
      </c>
      <c r="M15" s="4554">
        <f t="shared" si="2"/>
        <v>8</v>
      </c>
      <c r="N15" s="4554">
        <f t="shared" si="2"/>
        <v>12</v>
      </c>
      <c r="O15" s="4554">
        <f t="shared" si="2"/>
        <v>16</v>
      </c>
      <c r="P15" s="4554">
        <f t="shared" si="2"/>
        <v>13</v>
      </c>
      <c r="Q15" s="4554">
        <f t="shared" si="2"/>
        <v>6</v>
      </c>
      <c r="R15" s="4560">
        <f>SUM(J15:Q15)</f>
        <v>101</v>
      </c>
      <c r="S15" s="4613"/>
    </row>
    <row r="16" spans="1:19">
      <c r="A16" s="2434" t="s">
        <v>2416</v>
      </c>
      <c r="B16" s="2919"/>
      <c r="C16" s="2919"/>
      <c r="D16" s="2432"/>
      <c r="E16" s="2432"/>
      <c r="F16" s="2433"/>
      <c r="I16" s="3933" t="s">
        <v>2480</v>
      </c>
      <c r="J16" s="4554">
        <f t="shared" ref="J16:Q16" si="3">ROUND(J11*$L$13,0)</f>
        <v>19</v>
      </c>
      <c r="K16" s="4554">
        <f t="shared" si="3"/>
        <v>16</v>
      </c>
      <c r="L16" s="4554">
        <f t="shared" si="3"/>
        <v>4</v>
      </c>
      <c r="M16" s="4554">
        <f t="shared" si="3"/>
        <v>6</v>
      </c>
      <c r="N16" s="4554">
        <f t="shared" si="3"/>
        <v>10</v>
      </c>
      <c r="O16" s="4554">
        <f t="shared" si="3"/>
        <v>13</v>
      </c>
      <c r="P16" s="4554">
        <f t="shared" si="3"/>
        <v>10</v>
      </c>
      <c r="Q16" s="4554">
        <f t="shared" si="3"/>
        <v>4</v>
      </c>
      <c r="R16" s="4560">
        <f t="shared" ref="R16:R17" si="4">SUM(J16:Q16)</f>
        <v>82</v>
      </c>
      <c r="S16" s="4613"/>
    </row>
    <row r="17" spans="1:19" ht="14.25" thickBot="1">
      <c r="A17" s="3959" t="s">
        <v>2415</v>
      </c>
      <c r="B17" s="3964">
        <v>4810</v>
      </c>
      <c r="C17" s="3962"/>
      <c r="D17" s="2432"/>
      <c r="E17" s="2432"/>
      <c r="F17" s="2433"/>
      <c r="I17" s="3935" t="s">
        <v>2481</v>
      </c>
      <c r="J17" s="4554">
        <f t="shared" ref="J17:Q17" si="5">ROUND(J12*$L$13,0)</f>
        <v>16</v>
      </c>
      <c r="K17" s="4554">
        <f t="shared" si="5"/>
        <v>13</v>
      </c>
      <c r="L17" s="4554">
        <f t="shared" si="5"/>
        <v>3</v>
      </c>
      <c r="M17" s="4554">
        <f t="shared" si="5"/>
        <v>6</v>
      </c>
      <c r="N17" s="4554">
        <f t="shared" si="5"/>
        <v>9</v>
      </c>
      <c r="O17" s="4554">
        <f t="shared" si="5"/>
        <v>10</v>
      </c>
      <c r="P17" s="4554">
        <f t="shared" si="5"/>
        <v>8</v>
      </c>
      <c r="Q17" s="4554">
        <f t="shared" si="5"/>
        <v>3</v>
      </c>
      <c r="R17" s="4560">
        <f t="shared" si="4"/>
        <v>68</v>
      </c>
      <c r="S17" s="4614"/>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10" t="s">
        <v>3373</v>
      </c>
      <c r="J49" s="4610"/>
      <c r="K49" s="4610"/>
      <c r="L49" s="4610"/>
      <c r="M49" s="4610"/>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2720.6490085953742</v>
      </c>
      <c r="D51" s="2946"/>
      <c r="E51" s="2949">
        <f>E52+E53</f>
        <v>246765885</v>
      </c>
      <c r="F51" s="4511">
        <f>E51/$E$62</f>
        <v>0.56520496703017986</v>
      </c>
      <c r="I51" s="2789"/>
      <c r="J51" s="2789"/>
      <c r="K51" s="2789"/>
      <c r="L51" s="2789"/>
      <c r="M51" s="4517"/>
    </row>
    <row r="52" spans="1:15" ht="14.25">
      <c r="A52" s="2933" t="s">
        <v>3365</v>
      </c>
      <c r="B52" s="2925">
        <v>70688</v>
      </c>
      <c r="C52" s="2945"/>
      <c r="D52" s="2927">
        <v>2500</v>
      </c>
      <c r="E52" s="2948">
        <f>D52*B52</f>
        <v>176720000</v>
      </c>
      <c r="F52" s="2943"/>
      <c r="G52" s="2924" t="s">
        <v>3860</v>
      </c>
      <c r="H52" s="2924"/>
      <c r="I52" s="2930">
        <f>E52</f>
        <v>176720000</v>
      </c>
      <c r="J52" s="2930">
        <f>E55</f>
        <v>28275200</v>
      </c>
      <c r="K52" s="2930">
        <f>E58</f>
        <v>106032000</v>
      </c>
      <c r="L52" s="2930">
        <f>E60*B52/B51</f>
        <v>17706612.925905757</v>
      </c>
      <c r="M52" s="4518">
        <f>E61*B52/B51</f>
        <v>13086963.568557872</v>
      </c>
      <c r="O52" s="4516"/>
    </row>
    <row r="53" spans="1:15" ht="14.25">
      <c r="A53" s="2933" t="s">
        <v>3366</v>
      </c>
      <c r="B53" s="2925">
        <v>20013.11</v>
      </c>
      <c r="C53" s="2945"/>
      <c r="D53" s="2927">
        <v>3500</v>
      </c>
      <c r="E53" s="2948">
        <f>D53*B53</f>
        <v>70045885</v>
      </c>
      <c r="F53" s="2943"/>
      <c r="G53" s="2924" t="s">
        <v>3861</v>
      </c>
      <c r="H53" s="2924"/>
      <c r="I53" s="2930">
        <f>E53</f>
        <v>70045885</v>
      </c>
      <c r="J53" s="2930">
        <f>E56</f>
        <v>11007210.5</v>
      </c>
      <c r="K53" s="2930">
        <f>E59</f>
        <v>5003277.5</v>
      </c>
      <c r="L53" s="2930">
        <f>E60-L52</f>
        <v>5013077.0740942433</v>
      </c>
      <c r="M53" s="4518">
        <f>E61-M52</f>
        <v>3705166.951442128</v>
      </c>
    </row>
    <row r="54" spans="1:15" ht="15">
      <c r="A54" s="2934" t="s">
        <v>3367</v>
      </c>
      <c r="B54" s="2937">
        <f>B51</f>
        <v>90701.11</v>
      </c>
      <c r="C54" s="2937">
        <f>E54/B54</f>
        <v>433.09735128930618</v>
      </c>
      <c r="D54" s="4512"/>
      <c r="E54" s="2949">
        <f>E55+E56</f>
        <v>39282410.5</v>
      </c>
      <c r="F54" s="4511">
        <f>E54/$E$62</f>
        <v>8.9974404409744455E-2</v>
      </c>
      <c r="G54" s="2924"/>
      <c r="H54" s="2924"/>
    </row>
    <row r="55" spans="1:15" ht="15">
      <c r="A55" s="2933" t="s">
        <v>3857</v>
      </c>
      <c r="B55" s="4510">
        <f>B52</f>
        <v>70688</v>
      </c>
      <c r="C55" s="2937"/>
      <c r="D55" s="4513">
        <v>400</v>
      </c>
      <c r="E55" s="2948">
        <f>D55*B55</f>
        <v>28275200</v>
      </c>
      <c r="F55" s="2943"/>
      <c r="G55" s="2924" t="s">
        <v>3862</v>
      </c>
      <c r="H55" s="2924"/>
    </row>
    <row r="56" spans="1:15" ht="15">
      <c r="A56" s="2933" t="s">
        <v>3858</v>
      </c>
      <c r="B56" s="4510">
        <f>B53</f>
        <v>20013.11</v>
      </c>
      <c r="C56" s="2937"/>
      <c r="D56" s="4513">
        <v>550</v>
      </c>
      <c r="E56" s="2948">
        <f>D56*B56</f>
        <v>11007210.5</v>
      </c>
      <c r="F56" s="2943"/>
      <c r="G56" s="2924" t="s">
        <v>3863</v>
      </c>
      <c r="H56" s="2924"/>
    </row>
    <row r="57" spans="1:15" ht="15">
      <c r="A57" s="4509" t="s">
        <v>3856</v>
      </c>
      <c r="B57" s="2937">
        <f>B51</f>
        <v>90701.11</v>
      </c>
      <c r="C57" s="2937">
        <f>E57/B57</f>
        <v>1224.1887392557819</v>
      </c>
      <c r="D57" s="4512"/>
      <c r="E57" s="2949">
        <f>E58+E59</f>
        <v>111035277.5</v>
      </c>
      <c r="F57" s="2943">
        <f>E57/$E$62</f>
        <v>0.25432077192750679</v>
      </c>
      <c r="G57" s="2924"/>
      <c r="H57" s="2924"/>
      <c r="I57" s="4611" t="s">
        <v>3380</v>
      </c>
      <c r="J57" s="4611"/>
      <c r="K57" s="4611"/>
      <c r="L57" s="4611"/>
      <c r="M57" s="4611"/>
    </row>
    <row r="58" spans="1:15" ht="14.25">
      <c r="A58" s="2933" t="s">
        <v>3857</v>
      </c>
      <c r="B58" s="4510">
        <f>B52</f>
        <v>70688</v>
      </c>
      <c r="C58" s="4529">
        <v>1500</v>
      </c>
      <c r="D58" s="4530"/>
      <c r="E58" s="2948">
        <f>C58*B58</f>
        <v>106032000</v>
      </c>
      <c r="F58" s="2943"/>
      <c r="G58" s="2924"/>
      <c r="H58" s="2924"/>
      <c r="I58" s="2930">
        <f>I52+I53</f>
        <v>246765885</v>
      </c>
      <c r="J58" s="2930">
        <f t="shared" ref="J58:M58" si="10">J52+J53</f>
        <v>39282410.5</v>
      </c>
      <c r="K58" s="2930">
        <f t="shared" si="10"/>
        <v>111035277.5</v>
      </c>
      <c r="L58" s="2930">
        <f t="shared" si="10"/>
        <v>22719690</v>
      </c>
      <c r="M58" s="4518">
        <f t="shared" si="10"/>
        <v>16792130.52</v>
      </c>
    </row>
    <row r="59" spans="1:15" ht="14.25">
      <c r="A59" s="2933" t="s">
        <v>3858</v>
      </c>
      <c r="B59" s="4510">
        <f>B53</f>
        <v>20013.11</v>
      </c>
      <c r="C59" s="4529">
        <v>250</v>
      </c>
      <c r="D59" s="4530"/>
      <c r="E59" s="2948">
        <f>C59*B59</f>
        <v>5003277.5</v>
      </c>
      <c r="F59" s="2943"/>
      <c r="G59" s="2924" t="s">
        <v>3872</v>
      </c>
      <c r="H59" s="2924"/>
      <c r="I59" s="2931">
        <f>I58/$E$62</f>
        <v>0.56520496703017986</v>
      </c>
      <c r="J59" s="2931">
        <f t="shared" ref="J59:M59" si="11">J58/$E$62</f>
        <v>8.9974404409744455E-2</v>
      </c>
      <c r="K59" s="2931">
        <f t="shared" si="11"/>
        <v>0.25432077192750679</v>
      </c>
      <c r="L59" s="2931">
        <f t="shared" si="11"/>
        <v>5.203831817103044E-2</v>
      </c>
      <c r="M59" s="4519">
        <f t="shared" si="11"/>
        <v>3.8461538461538464E-2</v>
      </c>
    </row>
    <row r="60" spans="1:15" ht="15">
      <c r="A60" s="2934" t="s">
        <v>3369</v>
      </c>
      <c r="B60" s="2926">
        <v>6491.34</v>
      </c>
      <c r="C60" s="2937">
        <f>E60/B51</f>
        <v>250.48965773406741</v>
      </c>
      <c r="D60" s="4515">
        <f>D53</f>
        <v>3500</v>
      </c>
      <c r="E60" s="2949">
        <f>D60*B60</f>
        <v>22719690</v>
      </c>
      <c r="F60" s="2943">
        <f>E60/$E$62</f>
        <v>5.203831817103044E-2</v>
      </c>
      <c r="G60" s="4532">
        <f>B60/(B62+B60)</f>
        <v>6.6788521124840461E-2</v>
      </c>
      <c r="H60" s="4531" t="s">
        <v>3873</v>
      </c>
    </row>
    <row r="61" spans="1:15" ht="15">
      <c r="A61" s="2934" t="s">
        <v>3368</v>
      </c>
      <c r="B61" s="4514">
        <f>B51</f>
        <v>90701.11</v>
      </c>
      <c r="C61" s="2937">
        <f>E61/B61</f>
        <v>185.1369902749812</v>
      </c>
      <c r="D61" s="2928">
        <v>0.04</v>
      </c>
      <c r="E61" s="2949">
        <f>(E51+E54+E57+E60)*D61</f>
        <v>16792130.52</v>
      </c>
      <c r="F61" s="2943">
        <f>E61/$E$62</f>
        <v>3.8461538461538464E-2</v>
      </c>
      <c r="G61" s="2924" t="s">
        <v>3864</v>
      </c>
    </row>
    <row r="62" spans="1:15" ht="15.75" thickBot="1">
      <c r="A62" s="2935" t="s">
        <v>3370</v>
      </c>
      <c r="B62" s="2938">
        <f>B51</f>
        <v>90701.11</v>
      </c>
      <c r="C62" s="2947">
        <f>C51+C54+C57+C61+C60</f>
        <v>4813.5617471495116</v>
      </c>
      <c r="D62" s="3973">
        <f>E62/B62</f>
        <v>4813.5617471495107</v>
      </c>
      <c r="E62" s="2929">
        <f>E51+E54+E57+E61+E60</f>
        <v>436595393.51999998</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B38" sqref="B38"/>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23" t="str">
        <f>IF(B10="北京市","北京市",C10)&amp;F10&amp;IF(结果表!G1="在建","出让国有建设用地使用权及在建建筑物",IF(结果表!G1="土地","出让国有建设用地使用权",))&amp;B9&amp;"预评估"</f>
        <v>北京市房地产抵押价值预评估</v>
      </c>
      <c r="C1" s="4624"/>
      <c r="D1" s="4624"/>
      <c r="E1" s="4624"/>
      <c r="F1" s="4624"/>
      <c r="G1" s="4624"/>
      <c r="H1" s="4624"/>
      <c r="I1" s="4625"/>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v>46047</v>
      </c>
      <c r="C3" s="1914" t="s">
        <v>2083</v>
      </c>
      <c r="D3" s="1913">
        <f>B3</f>
        <v>46047</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26"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27"/>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52984</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19</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33"/>
      <c r="C16" s="4634"/>
      <c r="D16" s="4635"/>
      <c r="E16" s="1950" t="s">
        <v>2106</v>
      </c>
      <c r="F16" s="4636"/>
      <c r="G16" s="4637"/>
      <c r="H16" s="4637"/>
      <c r="I16" s="4638"/>
      <c r="J16" s="1974"/>
      <c r="K16" s="2100"/>
      <c r="L16" s="1986"/>
      <c r="M16" s="1986"/>
      <c r="N16" s="2044"/>
      <c r="O16" s="1986"/>
      <c r="P16" s="2044"/>
      <c r="Q16" s="1974"/>
      <c r="R16" s="1974"/>
    </row>
    <row r="17" spans="1:28">
      <c r="A17" s="202" t="s">
        <v>2107</v>
      </c>
      <c r="B17" s="191" t="s">
        <v>2108</v>
      </c>
      <c r="C17" s="9">
        <f>'数据-汇总表'!E3</f>
        <v>191.15</v>
      </c>
      <c r="D17" s="1864" t="s">
        <v>2109</v>
      </c>
      <c r="E17" s="4639" t="s">
        <v>2110</v>
      </c>
      <c r="F17" s="4640"/>
      <c r="G17" s="4640"/>
      <c r="H17" s="4640"/>
      <c r="I17" s="4641"/>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42" t="s">
        <v>2114</v>
      </c>
      <c r="F18" s="4643"/>
      <c r="G18" s="4643"/>
      <c r="H18" s="4643"/>
      <c r="I18" s="4644"/>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9" t="s">
        <v>2118</v>
      </c>
      <c r="C20" s="4630"/>
      <c r="D20" s="4631" t="s">
        <v>2119</v>
      </c>
      <c r="E20" s="4632"/>
      <c r="F20" s="2130" t="s">
        <v>1042</v>
      </c>
      <c r="G20" s="4565" t="s">
        <v>3913</v>
      </c>
      <c r="H20" s="2145"/>
      <c r="I20" s="2145"/>
      <c r="J20" s="1974"/>
      <c r="K20" s="4628"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v>2007</v>
      </c>
      <c r="H21" s="2145"/>
      <c r="I21" s="2145"/>
      <c r="J21" s="1974"/>
      <c r="K21" s="4628"/>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28"/>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16" t="s">
        <v>2126</v>
      </c>
      <c r="B27" s="208" t="s">
        <v>2127</v>
      </c>
      <c r="C27" s="1952" t="s">
        <v>3915</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616"/>
      <c r="B28" s="191" t="s">
        <v>2128</v>
      </c>
      <c r="C28" s="1954" t="s">
        <v>3916</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616"/>
      <c r="B29" s="191" t="s">
        <v>2129</v>
      </c>
      <c r="C29" s="1956" t="s">
        <v>3917</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617"/>
      <c r="B30" s="191" t="s">
        <v>2130</v>
      </c>
      <c r="C30" s="4618"/>
      <c r="D30" s="4619"/>
      <c r="E30" s="2145"/>
      <c r="F30" s="2145"/>
      <c r="G30" s="2145"/>
      <c r="H30" s="2145"/>
      <c r="I30" s="2145"/>
      <c r="J30" s="1974"/>
      <c r="K30" s="2099"/>
      <c r="L30" s="2096"/>
      <c r="M30" s="2096"/>
      <c r="N30" s="1974"/>
      <c r="O30" s="1985"/>
      <c r="P30" s="1974"/>
      <c r="Q30" s="1974"/>
      <c r="R30" s="1974"/>
      <c r="S30" s="1974"/>
      <c r="T30" s="1974"/>
      <c r="U30" s="1974"/>
      <c r="V30" s="1974"/>
    </row>
    <row r="31" spans="1:28">
      <c r="A31" s="4620" t="s">
        <v>2131</v>
      </c>
      <c r="B31" s="1958" t="s">
        <v>3914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21"/>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21"/>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15" t="s">
        <v>2140</v>
      </c>
      <c r="T34" s="1963" t="str">
        <f>NUMBERSTRING(7-K34,1)&amp;"通"</f>
        <v>七通</v>
      </c>
      <c r="U34" s="1974"/>
      <c r="V34" s="1974"/>
    </row>
    <row r="35" spans="1:30">
      <c r="A35" s="1964"/>
      <c r="B35" s="4622" t="s">
        <v>2141</v>
      </c>
      <c r="C35" s="4622"/>
      <c r="D35" s="4622"/>
      <c r="E35" s="4622"/>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15"/>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303</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3926</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191.15</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191.15</v>
      </c>
      <c r="H5" s="4080">
        <f t="shared" ref="H5:AT5" si="0">SUM(H13:H656)</f>
        <v>191.15</v>
      </c>
      <c r="I5" s="4080">
        <f t="shared" si="0"/>
        <v>191.15</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191.15</v>
      </c>
      <c r="BA5" s="483">
        <f t="shared" si="1"/>
        <v>191.15</v>
      </c>
      <c r="BB5" s="483">
        <f t="shared" si="1"/>
        <v>191.15</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3919</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3921</v>
      </c>
      <c r="D13" s="1264" t="s">
        <v>3918</v>
      </c>
      <c r="E13" s="4080">
        <f>IF($C$3="是",ROUND($A$3*G13/$B$3,2),ROUND($A$3*(G13-AT13)/$B$3,2))</f>
        <v>0</v>
      </c>
      <c r="F13" s="642"/>
      <c r="G13" s="4278">
        <f>H13+AC13+AT13</f>
        <v>191.15</v>
      </c>
      <c r="H13" s="4279">
        <f>SUMIF(I$12:AB$12,"总值",I13:AB13)</f>
        <v>191.15</v>
      </c>
      <c r="I13" s="4280">
        <v>191.15</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t="str">
        <f t="shared" si="6"/>
        <v>3-2-31</v>
      </c>
      <c r="AY13" s="995">
        <f>ROUND($AY$6*AZ13/$AZ$5,2)</f>
        <v>0</v>
      </c>
      <c r="AZ13" s="9">
        <f>BA13+BL13</f>
        <v>191.15</v>
      </c>
      <c r="BA13" s="9">
        <f>SUM(BB13:BK13)</f>
        <v>191.15</v>
      </c>
      <c r="BB13" s="9">
        <f>IF($D13="是",I13-J13,0)</f>
        <v>191.15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4" t="s">
        <v>1116</v>
      </c>
      <c r="B2" s="4654"/>
      <c r="C2" s="4654"/>
      <c r="D2" s="579" t="s">
        <v>1092</v>
      </c>
      <c r="E2" s="1275" t="s">
        <v>1093</v>
      </c>
      <c r="F2" s="2140"/>
      <c r="G2" s="2133"/>
      <c r="H2" s="2134"/>
      <c r="I2" s="1867" t="s">
        <v>1117</v>
      </c>
      <c r="J2" s="2140"/>
      <c r="K2" s="2140"/>
      <c r="L2" s="2140"/>
      <c r="M2" s="2140"/>
      <c r="N2" s="2142"/>
      <c r="O2" s="2140"/>
      <c r="P2" s="2140"/>
    </row>
    <row r="3" spans="1:16" ht="15.75" thickBot="1">
      <c r="A3" s="4655" t="s">
        <v>1090</v>
      </c>
      <c r="B3" s="4655"/>
      <c r="C3" s="4655"/>
      <c r="D3" s="4318">
        <f>'数据-基础表'!AY6</f>
        <v>0</v>
      </c>
      <c r="E3" s="4318">
        <f>'数据-基础表'!AZ5</f>
        <v>191.15</v>
      </c>
      <c r="F3" s="2140"/>
      <c r="G3" s="840"/>
      <c r="H3" s="744" t="s">
        <v>1091</v>
      </c>
      <c r="I3" s="2913" t="e">
        <f>ROUND('数据-基础表'!B3/'数据-基础表'!A3,2)</f>
        <v>#DIV/0!</v>
      </c>
      <c r="J3" s="2140"/>
      <c r="K3" s="2140"/>
      <c r="L3" s="2140"/>
      <c r="M3" s="2140"/>
      <c r="N3" s="2142"/>
      <c r="O3" s="2140"/>
      <c r="P3" s="2140"/>
    </row>
    <row r="4" spans="1:16" ht="15">
      <c r="A4" s="4656"/>
      <c r="B4" s="4657"/>
      <c r="C4" s="4658"/>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9" t="s">
        <v>1095</v>
      </c>
      <c r="C5" s="4659"/>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9" t="s">
        <v>1096</v>
      </c>
      <c r="C6" s="4659"/>
      <c r="D6" s="4296">
        <f>ROUND($D$3*E6/$E$3,2)</f>
        <v>0</v>
      </c>
      <c r="E6" s="4153">
        <f>E3-E5</f>
        <v>191.15</v>
      </c>
      <c r="F6" s="2140"/>
      <c r="G6" s="2136" t="s">
        <v>1097</v>
      </c>
      <c r="H6" s="841" t="s">
        <v>1098</v>
      </c>
      <c r="I6" s="2914" t="e">
        <f>ROUND(F31/D31,2)</f>
        <v>#DIV/0!</v>
      </c>
      <c r="J6" s="2140"/>
      <c r="K6" s="2140"/>
      <c r="L6" s="2140"/>
      <c r="M6" s="2140"/>
      <c r="N6" s="2140"/>
      <c r="O6" s="2140"/>
      <c r="P6" s="2140"/>
    </row>
    <row r="7" spans="1:16" ht="15.75" thickBot="1">
      <c r="A7" s="4651"/>
      <c r="B7" s="4652"/>
      <c r="C7" s="4653"/>
      <c r="D7" s="1277" t="s">
        <v>1092</v>
      </c>
      <c r="E7" s="1281" t="s">
        <v>1099</v>
      </c>
      <c r="F7" s="2140"/>
      <c r="G7" s="2137" t="s">
        <v>1100</v>
      </c>
      <c r="H7" s="2138"/>
      <c r="I7" s="2915"/>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191.15</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191.15</v>
      </c>
      <c r="F16" s="2140"/>
      <c r="G16" s="2141"/>
      <c r="H16" s="1284" t="s">
        <v>1120</v>
      </c>
      <c r="I16" s="1285"/>
      <c r="J16" s="839"/>
      <c r="K16" s="4648" t="s">
        <v>1120</v>
      </c>
      <c r="L16" s="4649"/>
      <c r="M16" s="4649"/>
      <c r="N16" s="4649"/>
      <c r="O16" s="4649"/>
      <c r="P16" s="4650"/>
    </row>
    <row r="17" spans="1:19" ht="15">
      <c r="A17" s="1286" t="s">
        <v>1121</v>
      </c>
      <c r="B17" s="1287" t="s">
        <v>1122</v>
      </c>
      <c r="C17" s="1288" t="s">
        <v>1123</v>
      </c>
      <c r="D17" s="1289" t="s">
        <v>1111</v>
      </c>
      <c r="E17" s="1290" t="s">
        <v>1112</v>
      </c>
      <c r="F17" s="1291"/>
      <c r="G17" s="1292"/>
      <c r="H17" s="1293" t="s">
        <v>1124</v>
      </c>
      <c r="I17" s="1294" t="s">
        <v>1109</v>
      </c>
      <c r="J17" s="839"/>
      <c r="K17" s="4645" t="s">
        <v>1125</v>
      </c>
      <c r="L17" s="4646"/>
      <c r="M17" s="4647"/>
      <c r="N17" s="4645" t="s">
        <v>1126</v>
      </c>
      <c r="O17" s="4646"/>
      <c r="P17" s="464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tr">
        <f>'数据-基础表'!C13</f>
        <v>3-2-31</v>
      </c>
      <c r="D19" s="4296">
        <f>ROUND($D$3*E19/$E$3,2)</f>
        <v>0</v>
      </c>
      <c r="E19" s="4296">
        <f t="shared" ref="E19:E26" si="1">SUM(F19:G19)</f>
        <v>191.15</v>
      </c>
      <c r="F19" s="4297">
        <f>'数据-基础表'!I13</f>
        <v>191.15</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191.15</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191.15</v>
      </c>
      <c r="F27" s="4302">
        <f>IF(SUM(F19:F26)=E8,SUM(F19:F26),"地上面积有误")</f>
        <v>191.15</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191.15</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191.15</v>
      </c>
      <c r="F31" s="4310">
        <f>F27+F30</f>
        <v>191.15</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T18" sqref="T18:V18"/>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46047</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3922</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3-2-31</v>
      </c>
      <c r="B6" s="1344" t="str">
        <f>IF(A6=0,"","经营性")</f>
        <v>经营性</v>
      </c>
      <c r="C6" s="1345" t="s">
        <v>660</v>
      </c>
      <c r="D6" s="3715">
        <f>SUMIF(项目基本情况!C$12:I$12,C6,项目基本情况!C$14:I$14)</f>
        <v>40</v>
      </c>
      <c r="E6" s="610">
        <f>IF(B6="","",SUMIF(项目基本情况!C$12:I$12,C6,项目基本情况!C$13:I$13))</f>
        <v>52984</v>
      </c>
      <c r="F6" s="3717">
        <f>SUMIF(项目基本情况!C$12:I$12,C6,项目基本情况!C$15:I$15)</f>
        <v>19</v>
      </c>
      <c r="G6" s="3718">
        <f t="shared" ref="G6:G13" si="0">IF(ISERROR(ROUND(POWER(1+H6,D6-F6)*(POWER(1+H6,F6)-1)/(POWER(1+H6,D6)-1),4)),0,ROUND(POWER(1+H6,D6-F6)*(POWER(1+H6,F6)-1)/(POWER(1+H6,D6)-1),4))</f>
        <v>0.70430000000000004</v>
      </c>
      <c r="H6" s="3719">
        <v>0.05</v>
      </c>
      <c r="I6" s="3719">
        <v>5.5E-2</v>
      </c>
      <c r="J6" s="3720">
        <v>7.0000000000000007E-2</v>
      </c>
      <c r="K6" s="4320">
        <f>SUMIF('数据-汇总表'!C$19:C$33,A6,'数据-汇总表'!E$19:E$33)</f>
        <v>191.15</v>
      </c>
      <c r="L6" s="4321">
        <v>4100</v>
      </c>
      <c r="M6" s="4322">
        <f t="shared" ref="M6:M14" si="1">ROUND(K6*L6/10000,0)</f>
        <v>78</v>
      </c>
      <c r="N6" s="3707">
        <f>N20</f>
        <v>0.77</v>
      </c>
      <c r="O6" s="4322" t="str">
        <f>IF($N$5="成新度","——",ROUND(M6*N6,0))</f>
        <v>——</v>
      </c>
      <c r="P6" s="4099" t="str">
        <f>IF($N$5="成新度","——",M6-O6)</f>
        <v>——</v>
      </c>
      <c r="Q6" s="3708">
        <v>0.2</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f>ROUND(U17/1.09,1)</f>
        <v>2.2999999999999998</v>
      </c>
      <c r="V6" s="36">
        <v>1.4999999999999999E-2</v>
      </c>
      <c r="W6" s="36">
        <v>0.1</v>
      </c>
      <c r="X6" s="751"/>
      <c r="Y6" s="37">
        <f>N6</f>
        <v>0.77</v>
      </c>
      <c r="Z6" s="4348"/>
      <c r="AA6" s="35"/>
      <c r="AB6" s="35"/>
      <c r="AC6" s="751"/>
      <c r="AD6" s="38"/>
      <c r="AE6" s="4352">
        <f ca="1">IF(AN6="",0,SUMIF(INDIRECT("'"&amp;AN6&amp;"'"&amp;"!E:E"),$AE$5,INDIRECT("'"&amp;AN6&amp;"'"&amp;"!F:F")))</f>
        <v>19</v>
      </c>
      <c r="AF6" s="4353"/>
      <c r="AG6" s="4354">
        <f>IF(AF6="",0,AE6-AF6)</f>
        <v>0</v>
      </c>
      <c r="AH6" s="4343"/>
      <c r="AI6" s="4357">
        <v>365</v>
      </c>
      <c r="AJ6" s="4353"/>
      <c r="AK6" s="39">
        <v>2E-3</v>
      </c>
      <c r="AL6" s="40">
        <v>1E-3</v>
      </c>
      <c r="AM6" s="41">
        <v>5.0000000000000001E-3</v>
      </c>
      <c r="AN6" s="1346" t="s">
        <v>3923</v>
      </c>
      <c r="AO6" s="4296">
        <f ca="1">SUMIF(INDIRECT("'"&amp;AN6&amp;"'"&amp;"!A:A"),"总价",INDIRECT("'"&amp;AN6&amp;"'"&amp;"!B:B"))</f>
        <v>167.79830000000001</v>
      </c>
      <c r="AP6" s="4296">
        <f>IF(C6="住宅",K6*L6,0)</f>
        <v>0</v>
      </c>
      <c r="AQ6" s="4296">
        <f>ROUND($L$14*$N$14*S6/10000,0)</f>
        <v>0</v>
      </c>
      <c r="AR6" s="4296">
        <f>ROUND($L$14*(1-$N$14)*S6/10000,0)</f>
        <v>0</v>
      </c>
      <c r="AS6" s="4296">
        <f>ROUND(1-1/(1+H6)^F6,3)</f>
        <v>0.60399999999999998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0.70430000000000004</v>
      </c>
      <c r="H16" s="3724">
        <f>ROUND(SUMPRODUCT(H6:H13,K6:K13)/SUMPRODUCT((H6:H13&gt;0)*(K6:K13)),3)</f>
        <v>0.05</v>
      </c>
      <c r="I16" s="3725"/>
      <c r="J16" s="3725"/>
      <c r="K16" s="4324">
        <f>SUM(K6:K15)</f>
        <v>191.15</v>
      </c>
      <c r="L16" s="4325">
        <f>ROUND(M16*10000/SUM(K6:K14),0)</f>
        <v>4081</v>
      </c>
      <c r="M16" s="4325">
        <f>SUM(M6:M14)</f>
        <v>78</v>
      </c>
      <c r="N16" s="3713">
        <f>ROUND(SUMPRODUCT(M6:M14,N6:N14)/M16,3)</f>
        <v>0.77</v>
      </c>
      <c r="O16" s="4325">
        <f>SUM(O6:O14)</f>
        <v>0</v>
      </c>
      <c r="P16" s="4325">
        <f>SUM(P6:P14)</f>
        <v>0</v>
      </c>
      <c r="Q16" s="3714">
        <f>ROUND(SUMPRODUCT(Q6:Q13,K6:K13)/SUMPRODUCT((Q6:Q13&gt;0)*(K6:K13)),2)</f>
        <v>0.2</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0.60399999999999998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v>4500</v>
      </c>
      <c r="M17" s="2152"/>
      <c r="N17" s="2152">
        <f>项目基本情况!G21</f>
        <v>2007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f>L17/1.09</f>
        <v>4128.440366972477</v>
      </c>
      <c r="M18" s="2152"/>
      <c r="N18" s="2152">
        <f>ROUND(1-(1-0%)*(2026-N17)/60,2)</f>
        <v>0.68</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c r="M19" s="2152"/>
      <c r="N19" s="2152">
        <v>0.85</v>
      </c>
      <c r="O19" s="2152"/>
      <c r="P19" s="2152"/>
      <c r="Q19" s="2152"/>
      <c r="R19" s="2152"/>
      <c r="S19" s="2152"/>
      <c r="T19" s="2152">
        <v>153.76</v>
      </c>
      <c r="U19" s="2152">
        <v>150000</v>
      </c>
      <c r="V19" s="2152">
        <f>U19/T19/365</f>
        <v>2.6727296052912921</v>
      </c>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ROUND((N18*0.5+N19*0.5),2)</f>
        <v>0.77</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B28*K16</f>
        <v>38230</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200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200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0.06</v>
      </c>
      <c r="C33" s="4533" t="s">
        <v>3874</v>
      </c>
      <c r="D33" s="4478"/>
      <c r="E33" s="4479"/>
      <c r="F33" s="4479"/>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360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5.0000000000000001E-3</v>
      </c>
      <c r="C36" s="4534" t="s">
        <v>3877</v>
      </c>
      <c r="D36" s="4483"/>
      <c r="E36" s="4484"/>
      <c r="F36" s="4484"/>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v>5.0000000000000001E-3</v>
      </c>
      <c r="C37" s="4482" t="s">
        <v>3875</v>
      </c>
      <c r="D37" s="4478"/>
      <c r="E37" s="4479"/>
      <c r="F37" s="4479"/>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0.01</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0.05</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0</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60" t="s">
        <v>2198</v>
      </c>
      <c r="B1" s="4661"/>
      <c r="C1" s="4661"/>
      <c r="D1" s="4661"/>
      <c r="E1" s="4661"/>
      <c r="F1" s="4661"/>
      <c r="G1" s="4661"/>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G15" sqref="G15"/>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191.15</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46047</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 ca="1">SUM(D14:D23)</f>
        <v>218.69470000000001</v>
      </c>
      <c r="C5" s="4087">
        <f ca="1">ROUND(B5*10000/$B$1,0)</f>
        <v>11441</v>
      </c>
      <c r="D5" s="4087" t="e">
        <f ca="1">ROUND(B5*10000/$B$2,0)</f>
        <v>#DIV/0!</v>
      </c>
      <c r="E5" s="2165"/>
      <c r="F5" s="2166"/>
      <c r="G5" s="2166"/>
      <c r="H5" s="2167"/>
      <c r="I5" s="2167"/>
      <c r="J5" s="2167"/>
      <c r="K5" s="2167"/>
    </row>
    <row r="6" spans="1:11" ht="16.5">
      <c r="A6" s="2047" t="s">
        <v>644</v>
      </c>
      <c r="B6" s="4087">
        <f ca="1">SUM(G14:G23)</f>
        <v>218.69470000000001</v>
      </c>
      <c r="C6" s="4087">
        <f ca="1">ROUND(B6*10000/$B$1,0)</f>
        <v>11441</v>
      </c>
      <c r="D6" s="4087" t="e">
        <f ca="1">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f>结果表!B118</f>
        <v>191.15</v>
      </c>
      <c r="C14" s="4083"/>
      <c r="D14" s="4083">
        <f ca="1">结果表!C104</f>
        <v>218.69470000000001</v>
      </c>
      <c r="E14" s="4083">
        <f ca="1">ROUND(D14*10000/B14,0)</f>
        <v>11441</v>
      </c>
      <c r="F14" s="4083" t="e">
        <f ca="1">ROUND(D14*10000/C14,0)</f>
        <v>#DIV/0!</v>
      </c>
      <c r="G14" s="4083">
        <f ca="1">D14</f>
        <v>218.69470000000001</v>
      </c>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9" zoomScaleNormal="100" zoomScaleSheetLayoutView="100" zoomScalePageLayoutView="80" workbookViewId="0">
      <selection activeCell="C33" sqref="C33"/>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05" t="str">
        <f>项目基本情况!S2</f>
        <v>北京市房地产</v>
      </c>
      <c r="B2" s="4706"/>
      <c r="C2" s="4706"/>
      <c r="D2" s="4706"/>
      <c r="E2" s="4706"/>
      <c r="F2" s="4706"/>
      <c r="G2" s="4706"/>
      <c r="H2" s="4706"/>
      <c r="I2" s="4707"/>
    </row>
    <row r="3" spans="1:12" ht="12.75">
      <c r="A3" s="4709" t="s">
        <v>1245</v>
      </c>
      <c r="B3" s="4710"/>
      <c r="C3" s="4710"/>
      <c r="D3" s="4710"/>
      <c r="E3" s="4710"/>
      <c r="F3" s="4710"/>
      <c r="G3" s="4710"/>
      <c r="H3" s="4710"/>
      <c r="I3" s="4710"/>
    </row>
    <row r="4" spans="1:12" ht="14.25">
      <c r="A4" s="1381" t="s">
        <v>1246</v>
      </c>
      <c r="B4" s="1382" t="s">
        <v>1247</v>
      </c>
      <c r="C4" s="3991" t="s">
        <v>3942</v>
      </c>
      <c r="D4" s="3991" t="s">
        <v>3923</v>
      </c>
      <c r="E4" s="4711" t="s">
        <v>1248</v>
      </c>
      <c r="F4" s="4712"/>
      <c r="G4" s="4712"/>
      <c r="H4" s="4712"/>
      <c r="I4" s="4713"/>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98" t="s">
        <v>1249</v>
      </c>
      <c r="B5" s="4688">
        <v>25</v>
      </c>
      <c r="C5" s="4664"/>
      <c r="D5" s="4708"/>
      <c r="E5" s="53" t="s">
        <v>1250</v>
      </c>
      <c r="F5" s="1383"/>
      <c r="G5" s="1383"/>
      <c r="H5" s="1383"/>
      <c r="I5" s="1018"/>
    </row>
    <row r="6" spans="1:12" ht="12.75">
      <c r="A6" s="4698"/>
      <c r="B6" s="4688"/>
      <c r="C6" s="4665"/>
      <c r="D6" s="4708"/>
      <c r="E6" s="53" t="s">
        <v>1251</v>
      </c>
      <c r="F6" s="1383"/>
      <c r="G6" s="1383"/>
      <c r="H6" s="1383"/>
      <c r="I6" s="1018"/>
    </row>
    <row r="7" spans="1:12" ht="12.75">
      <c r="A7" s="4698"/>
      <c r="B7" s="4688"/>
      <c r="C7" s="4666"/>
      <c r="D7" s="4708"/>
      <c r="E7" s="53" t="s">
        <v>1252</v>
      </c>
      <c r="F7" s="1383"/>
      <c r="G7" s="1383"/>
      <c r="H7" s="1383"/>
      <c r="I7" s="1018"/>
    </row>
    <row r="8" spans="1:12" ht="12.75">
      <c r="A8" s="4698" t="s">
        <v>1253</v>
      </c>
      <c r="B8" s="4688">
        <v>15</v>
      </c>
      <c r="C8" s="4664"/>
      <c r="D8" s="4708"/>
      <c r="E8" s="53" t="s">
        <v>1254</v>
      </c>
      <c r="F8" s="1383"/>
      <c r="G8" s="1383"/>
      <c r="H8" s="1383"/>
      <c r="I8" s="1018"/>
    </row>
    <row r="9" spans="1:12" ht="12.75">
      <c r="A9" s="4698"/>
      <c r="B9" s="4688"/>
      <c r="C9" s="4666"/>
      <c r="D9" s="4708"/>
      <c r="E9" s="53" t="s">
        <v>1255</v>
      </c>
      <c r="F9" s="1383"/>
      <c r="G9" s="1383"/>
      <c r="H9" s="1383"/>
      <c r="I9" s="1018"/>
    </row>
    <row r="10" spans="1:12" ht="12.75">
      <c r="A10" s="4698" t="s">
        <v>1256</v>
      </c>
      <c r="B10" s="4688">
        <v>15</v>
      </c>
      <c r="C10" s="4664"/>
      <c r="D10" s="4708"/>
      <c r="E10" s="53" t="s">
        <v>1257</v>
      </c>
      <c r="F10" s="1383"/>
      <c r="G10" s="1383"/>
      <c r="H10" s="1383"/>
      <c r="I10" s="1018"/>
    </row>
    <row r="11" spans="1:12" ht="12.75">
      <c r="A11" s="4698"/>
      <c r="B11" s="4688"/>
      <c r="C11" s="4666"/>
      <c r="D11" s="4708"/>
      <c r="E11" s="53" t="s">
        <v>1258</v>
      </c>
      <c r="F11" s="1383"/>
      <c r="G11" s="1383"/>
      <c r="H11" s="1383"/>
      <c r="I11" s="1018"/>
    </row>
    <row r="12" spans="1:12" ht="12.75">
      <c r="A12" s="4698" t="s">
        <v>1259</v>
      </c>
      <c r="B12" s="4688">
        <v>15</v>
      </c>
      <c r="C12" s="4664"/>
      <c r="D12" s="4708"/>
      <c r="E12" s="53" t="s">
        <v>1260</v>
      </c>
      <c r="F12" s="1383"/>
      <c r="G12" s="1383"/>
      <c r="H12" s="1383"/>
      <c r="I12" s="1018"/>
    </row>
    <row r="13" spans="1:12" ht="12.75">
      <c r="A13" s="4698"/>
      <c r="B13" s="4688"/>
      <c r="C13" s="4666"/>
      <c r="D13" s="4708"/>
      <c r="E13" s="53" t="s">
        <v>1261</v>
      </c>
      <c r="F13" s="1383"/>
      <c r="G13" s="1383"/>
      <c r="H13" s="1383"/>
      <c r="I13" s="1018"/>
    </row>
    <row r="14" spans="1:12" ht="12.75">
      <c r="A14" s="4698" t="s">
        <v>1262</v>
      </c>
      <c r="B14" s="4688">
        <v>30</v>
      </c>
      <c r="C14" s="4664">
        <v>6</v>
      </c>
      <c r="D14" s="4708">
        <v>4</v>
      </c>
      <c r="E14" s="53" t="s">
        <v>1263</v>
      </c>
      <c r="F14" s="1383"/>
      <c r="G14" s="1383"/>
      <c r="H14" s="1383"/>
      <c r="I14" s="1018"/>
    </row>
    <row r="15" spans="1:12" ht="12.75">
      <c r="A15" s="4698"/>
      <c r="B15" s="4688"/>
      <c r="C15" s="4665"/>
      <c r="D15" s="4708"/>
      <c r="E15" s="53" t="s">
        <v>1264</v>
      </c>
      <c r="F15" s="1383"/>
      <c r="G15" s="1383"/>
      <c r="H15" s="1383"/>
      <c r="I15" s="1018"/>
    </row>
    <row r="16" spans="1:12" ht="12.75">
      <c r="A16" s="4698"/>
      <c r="B16" s="4688"/>
      <c r="C16" s="4666"/>
      <c r="D16" s="4708"/>
      <c r="E16" s="53" t="s">
        <v>1265</v>
      </c>
      <c r="F16" s="1383"/>
      <c r="G16" s="1383"/>
      <c r="H16" s="1383"/>
      <c r="I16" s="1018"/>
    </row>
    <row r="17" spans="1:36" ht="15">
      <c r="A17" s="1384" t="s">
        <v>1266</v>
      </c>
      <c r="B17" s="3990"/>
      <c r="C17" s="4090">
        <f>SUM(C5:C16)</f>
        <v>6</v>
      </c>
      <c r="D17" s="4090">
        <f>SUM(D5:D16)</f>
        <v>4</v>
      </c>
      <c r="E17" s="51"/>
      <c r="F17" s="51"/>
      <c r="G17" s="51"/>
      <c r="H17" s="51"/>
      <c r="I17" s="51"/>
      <c r="K17" s="191"/>
      <c r="L17" s="191" t="s">
        <v>1267</v>
      </c>
      <c r="M17" s="191" t="s">
        <v>1268</v>
      </c>
    </row>
    <row r="18" spans="1:36" ht="31.9" customHeight="1" thickBot="1">
      <c r="A18" s="1385" t="s">
        <v>1269</v>
      </c>
      <c r="B18" s="1386"/>
      <c r="C18" s="4091">
        <f>ROUND(C17/SUM(C17:D17),2)</f>
        <v>0.6</v>
      </c>
      <c r="D18" s="4091">
        <f>1-C18</f>
        <v>0.4</v>
      </c>
      <c r="E18" s="4673" t="s">
        <v>2043</v>
      </c>
      <c r="F18" s="4674"/>
      <c r="G18" s="4674"/>
      <c r="H18" s="4674"/>
      <c r="I18" s="4674"/>
      <c r="K18" s="191" t="s">
        <v>1270</v>
      </c>
      <c r="L18" s="4102">
        <f>IF(C1="",'数据-汇总表'!E3,SUMIF(项目类型,C1,'数据-汇总表'!E17:E26)+SUMIF(项目类型,C1,'数据-汇总表'!I17:I26))</f>
        <v>191.15</v>
      </c>
      <c r="M18" s="4102">
        <f>IF(C1="",'数据-汇总表'!E3,SUMIF(项目类型,C1,'数据-汇总表'!E17:E26))</f>
        <v>191.15</v>
      </c>
    </row>
    <row r="19" spans="1:36" ht="15">
      <c r="A19" s="1387" t="s">
        <v>1271</v>
      </c>
      <c r="B19" s="1388" t="s">
        <v>1272</v>
      </c>
      <c r="C19" s="4092">
        <f ca="1">SUMIF(INDIRECT("'"&amp;C4&amp;"'"&amp;"!A:A"),结果表!B19,INDIRECT("'"&amp;C4&amp;"'"&amp;"!B:B"))</f>
        <v>252.62739999999999</v>
      </c>
      <c r="D19" s="4093">
        <f ca="1">SUMIF(INDIRECT("'"&amp;D4&amp;"'"&amp;"!A:A"),结果表!B19,INDIRECT("'"&amp;D4&amp;"'"&amp;"!B:B"))</f>
        <v>167.79830000000001</v>
      </c>
      <c r="E19" s="1387" t="s">
        <v>1273</v>
      </c>
      <c r="F19" s="1388" t="s">
        <v>1272</v>
      </c>
      <c r="G19" s="4098">
        <f ca="1">ROUND(C19*$C$18+D19*$D$18,0)</f>
        <v>219</v>
      </c>
      <c r="H19" s="1389" t="s">
        <v>1274</v>
      </c>
      <c r="I19" s="4101">
        <f ca="1">ROUND(C19*$C$18+D19*$D$18,4)</f>
        <v>218.69579999999999</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13216</v>
      </c>
      <c r="D20" s="4095">
        <f ca="1">SUMIF(INDIRECT("'"&amp;D4&amp;"'"&amp;"!A:A"),结果表!B20,INDIRECT("'"&amp;D4&amp;"'"&amp;"!B:B"))</f>
        <v>8778</v>
      </c>
      <c r="E20" s="1390"/>
      <c r="F20" s="744" t="s">
        <v>1276</v>
      </c>
      <c r="G20" s="4099">
        <f ca="1">ROUND(C20*$C$18+D20*$D$18,0)</f>
        <v>11441</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0.50554207045005795</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695" t="s">
        <v>1280</v>
      </c>
      <c r="B24" s="1388" t="s">
        <v>1272</v>
      </c>
      <c r="C24" s="4098">
        <f>IF(B30=0,0,D30)</f>
        <v>0</v>
      </c>
      <c r="D24" s="4103"/>
      <c r="E24" s="51"/>
      <c r="F24" s="51"/>
      <c r="G24" s="51"/>
      <c r="H24" s="51"/>
      <c r="I24" s="51"/>
    </row>
    <row r="25" spans="1:36" ht="14.25">
      <c r="A25" s="4696"/>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11441</v>
      </c>
      <c r="D32" s="1396" t="s">
        <v>3943</v>
      </c>
      <c r="E32" s="51"/>
      <c r="F32" s="51"/>
      <c r="G32" s="51"/>
      <c r="H32" s="51"/>
      <c r="I32" s="51"/>
    </row>
    <row r="33" spans="1:19" ht="15">
      <c r="A33" s="573" t="s">
        <v>1287</v>
      </c>
      <c r="B33" s="1397"/>
      <c r="C33" s="1398" t="s">
        <v>3944</v>
      </c>
      <c r="D33" s="1399"/>
      <c r="E33" s="1400" t="s">
        <v>1288</v>
      </c>
      <c r="F33" s="1401" t="str">
        <f>IF(D32="楼面单价","取值（单价）","取值（总价）")</f>
        <v>取值（单价）</v>
      </c>
      <c r="G33" s="51"/>
      <c r="H33" s="51"/>
      <c r="I33" s="51"/>
    </row>
    <row r="34" spans="1:19" ht="15">
      <c r="A34" s="1402"/>
      <c r="B34" s="1403" t="s">
        <v>1289</v>
      </c>
      <c r="C34" s="4110">
        <f>IF(C33="自定义",F34,C32-C35)</f>
        <v>0</v>
      </c>
      <c r="D34" s="4437">
        <f ca="1">IF(C33="自定义",ROUND(C34/C32,3),IF(C33="收益比率",SUMIF(INDIRECT("'"&amp;D33&amp;"'"&amp;"!b:b"),"土地收益比率",INDIRECT("'"&amp;D33&amp;"'"&amp;"!c:c")),SUMIF(INDIRECT("'"&amp;D33&amp;"'"&amp;"!b:b"),"土地成本比率",INDIRECT("'"&amp;D33&amp;"'"&amp;"!c:c"))))</f>
        <v>0</v>
      </c>
      <c r="E34" s="1404" t="s">
        <v>1290</v>
      </c>
      <c r="F34" s="4112"/>
      <c r="G34" s="51"/>
      <c r="H34" s="51"/>
      <c r="I34" s="51"/>
    </row>
    <row r="35" spans="1:19" ht="15.75" thickBot="1">
      <c r="A35" s="1405"/>
      <c r="B35" s="1406" t="s">
        <v>1291</v>
      </c>
      <c r="C35" s="4111">
        <f>IF(C33="自定义",F35,ROUND(C32*D35,0))</f>
        <v>0</v>
      </c>
      <c r="D35" s="4438">
        <f ca="1">IF(C33="自定义",ROUND(C35/C32,3),IF(C33="收益比率",SUMIF(INDIRECT("'"&amp;D33&amp;"'"&amp;"!b:b"),"建筑物收益比率",INDIRECT("'"&amp;D33&amp;"'"&amp;"!c:c")),SUMIF(INDIRECT("'"&amp;D33&amp;"'"&amp;"!b:b"),"建筑物成本比率",INDIRECT("'"&amp;D33&amp;"'"&amp;"!c:c"))))</f>
        <v>0</v>
      </c>
      <c r="E35" s="1407" t="s">
        <v>1292</v>
      </c>
      <c r="F35" s="4113"/>
      <c r="G35" s="51"/>
      <c r="H35" s="51"/>
      <c r="I35" s="51"/>
    </row>
    <row r="36" spans="1:19" ht="15.75" thickBot="1">
      <c r="A36" s="4701" t="s">
        <v>1293</v>
      </c>
      <c r="B36" s="1408" t="s">
        <v>1294</v>
      </c>
      <c r="C36" s="4114"/>
      <c r="D36" s="1409"/>
      <c r="E36" s="1410"/>
      <c r="F36" s="1411"/>
      <c r="G36" s="51"/>
      <c r="H36" s="51"/>
      <c r="I36" s="51"/>
    </row>
    <row r="37" spans="1:19" ht="15.75" thickBot="1">
      <c r="A37" s="4702"/>
      <c r="B37" s="1306" t="s">
        <v>1295</v>
      </c>
      <c r="C37" s="4115"/>
      <c r="D37" s="839"/>
      <c r="E37" s="839"/>
      <c r="F37" s="1411"/>
      <c r="G37" s="51"/>
      <c r="H37" s="51"/>
      <c r="I37" s="51"/>
    </row>
    <row r="38" spans="1:19" ht="15.75" thickBot="1">
      <c r="A38" s="4703"/>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692" t="s">
        <v>1307</v>
      </c>
      <c r="B45" s="4693"/>
      <c r="C45" s="4694"/>
      <c r="D45" s="4122">
        <f ca="1">ROUND(H101*F45,0)</f>
        <v>219</v>
      </c>
      <c r="E45" s="61" t="s">
        <v>1308</v>
      </c>
      <c r="F45" s="62">
        <v>1</v>
      </c>
      <c r="G45" s="63" t="s">
        <v>1309</v>
      </c>
      <c r="H45" s="51"/>
      <c r="I45" s="51"/>
      <c r="J45" s="4765" t="s">
        <v>1310</v>
      </c>
      <c r="K45" s="4765"/>
      <c r="L45" s="4765"/>
      <c r="M45" s="4765"/>
      <c r="N45" s="4765"/>
      <c r="O45" s="4765"/>
    </row>
    <row r="46" spans="1:19" ht="14.25" customHeight="1">
      <c r="A46" s="4689" t="s">
        <v>1311</v>
      </c>
      <c r="B46" s="4690"/>
      <c r="C46" s="4690"/>
      <c r="D46" s="4690"/>
      <c r="E46" s="4690"/>
      <c r="F46" s="4690"/>
      <c r="G46" s="4691"/>
      <c r="H46" s="1427"/>
      <c r="I46" s="64"/>
      <c r="J46" s="2055">
        <v>1</v>
      </c>
      <c r="K46" s="4742" t="s">
        <v>1312</v>
      </c>
      <c r="L46" s="4742"/>
      <c r="M46" s="4766"/>
      <c r="N46" s="4766"/>
      <c r="O46" s="4766"/>
    </row>
    <row r="47" spans="1:19" ht="12" customHeight="1">
      <c r="A47" s="65" t="s">
        <v>1313</v>
      </c>
      <c r="B47" s="66"/>
      <c r="C47" s="67"/>
      <c r="D47" s="796" t="s">
        <v>1314</v>
      </c>
      <c r="E47" s="191" t="s">
        <v>1315</v>
      </c>
      <c r="F47" s="68" t="s">
        <v>1316</v>
      </c>
      <c r="G47" s="2070" t="s">
        <v>1317</v>
      </c>
      <c r="H47" s="2071"/>
      <c r="I47" s="64"/>
      <c r="J47" s="2055">
        <v>2</v>
      </c>
      <c r="K47" s="4742" t="s">
        <v>1318</v>
      </c>
      <c r="L47" s="4742"/>
      <c r="M47" s="4767">
        <f>'数据-取费表'!B2</f>
        <v>46047</v>
      </c>
      <c r="N47" s="4767"/>
      <c r="O47" s="4767"/>
    </row>
    <row r="48" spans="1:19" ht="25.5">
      <c r="A48" s="4704" t="s">
        <v>1319</v>
      </c>
      <c r="B48" s="4663"/>
      <c r="C48" s="4663"/>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742" t="s">
        <v>1321</v>
      </c>
      <c r="L48" s="4742"/>
      <c r="M48" s="4768">
        <f ca="1">H101</f>
        <v>218.69470000000001</v>
      </c>
      <c r="N48" s="4768"/>
      <c r="O48" s="4768"/>
      <c r="R48" s="3829" t="s">
        <v>3666</v>
      </c>
      <c r="S48" s="3830"/>
    </row>
    <row r="49" spans="1:35" ht="25.5" customHeight="1">
      <c r="A49" s="3984" t="s">
        <v>1322</v>
      </c>
      <c r="B49" s="4687" t="s">
        <v>1323</v>
      </c>
      <c r="C49" s="4687"/>
      <c r="D49" s="4124">
        <v>0</v>
      </c>
      <c r="E49" s="212" t="s">
        <v>1324</v>
      </c>
      <c r="F49" s="3975" t="s">
        <v>26</v>
      </c>
      <c r="G49" s="4749"/>
      <c r="H49" s="3822" t="s">
        <v>2046</v>
      </c>
      <c r="I49" s="3823"/>
      <c r="J49" s="2055">
        <v>4</v>
      </c>
      <c r="K49" s="4742" t="str">
        <f>IF(项目基本情况!E8="房地产抵押价值","房地产抵押价值","抵押担保权已注销时的房地产抵押价值")</f>
        <v>房地产抵押价值</v>
      </c>
      <c r="L49" s="4742"/>
      <c r="M49" s="4768">
        <f ca="1">IF(项目基本情况!E8="房地产抵押价值",H107,H109)</f>
        <v>218.69470000000001</v>
      </c>
      <c r="N49" s="4768"/>
      <c r="O49" s="4768"/>
      <c r="R49" s="3831" t="s">
        <v>3667</v>
      </c>
      <c r="S49" s="3829" t="s">
        <v>3668</v>
      </c>
    </row>
    <row r="50" spans="1:35" ht="25.5" customHeight="1">
      <c r="A50" s="3985"/>
      <c r="B50" s="4687" t="s">
        <v>1325</v>
      </c>
      <c r="C50" s="4687"/>
      <c r="D50" s="4125"/>
      <c r="E50" s="220"/>
      <c r="F50" s="3975"/>
      <c r="G50" s="4750"/>
      <c r="H50" s="3824" t="s">
        <v>2047</v>
      </c>
      <c r="I50" s="3823"/>
      <c r="J50" s="4765" t="s">
        <v>1326</v>
      </c>
      <c r="K50" s="4765"/>
      <c r="L50" s="4765"/>
      <c r="M50" s="4765"/>
      <c r="N50" s="4765"/>
      <c r="O50" s="4765"/>
      <c r="R50" s="3831" t="s">
        <v>3669</v>
      </c>
      <c r="S50" s="3829" t="s">
        <v>3670</v>
      </c>
    </row>
    <row r="51" spans="1:35" ht="20.45" customHeight="1">
      <c r="A51" s="3986"/>
      <c r="B51" s="4687" t="s">
        <v>1327</v>
      </c>
      <c r="C51" s="4687"/>
      <c r="D51" s="4126"/>
      <c r="E51" s="215"/>
      <c r="F51" s="3975"/>
      <c r="G51" s="4751"/>
      <c r="H51" s="3824" t="s">
        <v>2048</v>
      </c>
      <c r="I51" s="3823"/>
      <c r="J51" s="2056" t="s">
        <v>1328</v>
      </c>
      <c r="K51" s="4742" t="s">
        <v>1329</v>
      </c>
      <c r="L51" s="4742"/>
      <c r="M51" s="2056" t="s">
        <v>1330</v>
      </c>
      <c r="N51" s="2056" t="s">
        <v>1331</v>
      </c>
      <c r="O51" s="2056" t="s">
        <v>1332</v>
      </c>
      <c r="R51" s="3831" t="s">
        <v>3671</v>
      </c>
      <c r="S51" s="3830" t="s">
        <v>3672</v>
      </c>
    </row>
    <row r="52" spans="1:35" ht="24" customHeight="1">
      <c r="A52" s="3976" t="s">
        <v>1333</v>
      </c>
      <c r="B52" s="4687" t="s">
        <v>1334</v>
      </c>
      <c r="C52" s="4687"/>
      <c r="D52" s="4126">
        <f ca="1">ROUND(D45*F52/(1+F52),0)</f>
        <v>6</v>
      </c>
      <c r="E52" s="3977" t="s">
        <v>1335</v>
      </c>
      <c r="F52" s="2074">
        <v>0.03</v>
      </c>
      <c r="G52" s="985" t="s">
        <v>3714</v>
      </c>
      <c r="H52" s="2068"/>
      <c r="I52" s="1428"/>
      <c r="J52" s="2055">
        <v>1</v>
      </c>
      <c r="K52" s="4743" t="s">
        <v>1336</v>
      </c>
      <c r="L52" s="4743"/>
      <c r="M52" s="4128">
        <f>D48</f>
        <v>0</v>
      </c>
      <c r="N52" s="2055" t="str">
        <f>E48</f>
        <v>销售额×税（费）率</v>
      </c>
      <c r="O52" s="4015">
        <f>F48</f>
        <v>0</v>
      </c>
      <c r="R52" s="3829" t="s">
        <v>3673</v>
      </c>
      <c r="S52" s="3829" t="s">
        <v>3677</v>
      </c>
    </row>
    <row r="53" spans="1:35" ht="12" customHeight="1">
      <c r="A53" s="3976" t="s">
        <v>1337</v>
      </c>
      <c r="B53" s="4699" t="s">
        <v>2203</v>
      </c>
      <c r="C53" s="4700"/>
      <c r="D53" s="4126">
        <f ca="1">IF(G53="2016年5月1日之前项目",ROUND(D45*F53/(1+F53),0),H63)</f>
        <v>18</v>
      </c>
      <c r="E53" s="3977" t="str">
        <f>IF(G53="2016年5月1日之前项目","全额计税","进销项计算")</f>
        <v>进销项计算</v>
      </c>
      <c r="F53" s="2074">
        <f>IF(G53="2016年5月1日之前项目",5%,9%)</f>
        <v>0.09</v>
      </c>
      <c r="G53" s="4081"/>
      <c r="H53" s="2068"/>
      <c r="I53" s="1428"/>
      <c r="J53" s="2055">
        <v>2</v>
      </c>
      <c r="K53" s="4743" t="s">
        <v>1338</v>
      </c>
      <c r="L53" s="4743"/>
      <c r="M53" s="4128">
        <f t="shared" ref="M53:O54" ca="1" si="0">D55</f>
        <v>0</v>
      </c>
      <c r="N53" s="2055" t="str">
        <f t="shared" si="0"/>
        <v>销售额×税（费）率</v>
      </c>
      <c r="O53" s="4015" t="str">
        <f t="shared" si="0"/>
        <v>免征</v>
      </c>
      <c r="R53" s="3829" t="s">
        <v>3674</v>
      </c>
      <c r="S53" s="3830" t="s">
        <v>3681</v>
      </c>
    </row>
    <row r="54" spans="1:35" ht="12" customHeight="1">
      <c r="A54" s="3976" t="s">
        <v>1339</v>
      </c>
      <c r="B54" s="4699" t="s">
        <v>2204</v>
      </c>
      <c r="C54" s="4700"/>
      <c r="D54" s="4126">
        <f ca="1">IF(G54="2016年5月1日之前项目",C68,H63)</f>
        <v>18</v>
      </c>
      <c r="E54" s="3998" t="str">
        <f>IF(G54="2016年5月1日之前项目","差额计税","进销项计算")</f>
        <v>进销项计算</v>
      </c>
      <c r="F54" s="2074">
        <f>IF(G54="2016年5月1日之前项目",5%,9%)</f>
        <v>0.09</v>
      </c>
      <c r="G54" s="4081"/>
      <c r="H54" s="2076"/>
      <c r="I54" s="1428"/>
      <c r="J54" s="2055">
        <v>3</v>
      </c>
      <c r="K54" s="4743" t="s">
        <v>1340</v>
      </c>
      <c r="L54" s="4743"/>
      <c r="M54" s="4128" t="e">
        <f t="shared" ca="1" si="0"/>
        <v>#VALUE!</v>
      </c>
      <c r="N54" s="2055" t="str">
        <f t="shared" si="0"/>
        <v>增值额×税（费）率</v>
      </c>
      <c r="O54" s="4016" t="str">
        <f t="shared" si="0"/>
        <v>免征</v>
      </c>
      <c r="P54" s="51"/>
      <c r="R54" s="3831" t="s">
        <v>3675</v>
      </c>
      <c r="S54" s="3830" t="s">
        <v>3678</v>
      </c>
    </row>
    <row r="55" spans="1:35" ht="24" customHeight="1">
      <c r="A55" s="4662" t="s">
        <v>1341</v>
      </c>
      <c r="B55" s="4663"/>
      <c r="C55" s="4663"/>
      <c r="D55" s="4123">
        <f ca="1">IF(H55="个人住宅",0,ROUND(D45*I55,0))</f>
        <v>0</v>
      </c>
      <c r="E55" s="3977" t="s">
        <v>1342</v>
      </c>
      <c r="F55" s="2074" t="str">
        <f>IF(H55="正常",I55,"免征")</f>
        <v>免征</v>
      </c>
      <c r="G55" s="2075"/>
      <c r="H55" s="2073"/>
      <c r="I55" s="69">
        <f>'数据-取费表'!B50</f>
        <v>5.0000000000000001E-4</v>
      </c>
      <c r="J55" s="2055">
        <f>IF(H59="非个人房产","",4)</f>
        <v>4</v>
      </c>
      <c r="K55" s="4743" t="str">
        <f>IF(H59="非个人房产","——","个人所得税")</f>
        <v>个人所得税</v>
      </c>
      <c r="L55" s="4743"/>
      <c r="M55" s="4129">
        <f ca="1">D59</f>
        <v>2</v>
      </c>
      <c r="N55" s="1627" t="str">
        <f>E59</f>
        <v>差额计税</v>
      </c>
      <c r="O55" s="4017">
        <f>F59</f>
        <v>0.01</v>
      </c>
      <c r="R55" s="3831" t="s">
        <v>3676</v>
      </c>
      <c r="S55" s="3830" t="s">
        <v>3679</v>
      </c>
    </row>
    <row r="56" spans="1:35" ht="24.75">
      <c r="A56" s="4662" t="s">
        <v>1343</v>
      </c>
      <c r="B56" s="4663"/>
      <c r="C56" s="4663"/>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770" t="str">
        <f>IF(项目基本情况!K6="上海银行","其他处置费用","")</f>
        <v/>
      </c>
      <c r="L56" s="4771"/>
      <c r="M56" s="4128" t="str">
        <f>IF(项目基本情况!K6="上海银行",M69,"")</f>
        <v/>
      </c>
      <c r="N56" s="4770" t="str">
        <f>IF(项目基本情况!K6="上海银行","包含处置中涉及的律师、诉讼、拍卖、评估等费用","")</f>
        <v/>
      </c>
      <c r="O56" s="4774"/>
      <c r="R56" s="3830"/>
      <c r="S56" s="3830" t="s">
        <v>3680</v>
      </c>
    </row>
    <row r="57" spans="1:35" ht="12.75">
      <c r="A57" s="1875" t="s">
        <v>1322</v>
      </c>
      <c r="B57" s="4699" t="s">
        <v>1346</v>
      </c>
      <c r="C57" s="4700"/>
      <c r="D57" s="4124">
        <v>0</v>
      </c>
      <c r="E57" s="212" t="s">
        <v>1324</v>
      </c>
      <c r="F57" s="191"/>
      <c r="G57" s="2075"/>
      <c r="H57" s="2079"/>
      <c r="I57" s="1429"/>
      <c r="J57" s="4743">
        <f>IF(AND(J55="",J56=""),4,IF(项目基本情况!K6="上海银行",结果表!J56+1,结果表!J55+1))</f>
        <v>5</v>
      </c>
      <c r="K57" s="4743" t="s">
        <v>1347</v>
      </c>
      <c r="L57" s="2057" t="s">
        <v>1348</v>
      </c>
      <c r="M57" s="2058"/>
      <c r="N57" s="4130">
        <f ca="1">SUMIF(M52:M56,"&lt;9e307")</f>
        <v>2</v>
      </c>
      <c r="O57" s="2059"/>
      <c r="P57" s="2169">
        <f ca="1">N57/M49</f>
        <v>9.1451690415908574E-3</v>
      </c>
      <c r="R57" s="4678" t="s">
        <v>3726</v>
      </c>
      <c r="S57" s="4679"/>
    </row>
    <row r="58" spans="1:35" ht="24.75">
      <c r="A58" s="1875" t="s">
        <v>1333</v>
      </c>
      <c r="B58" s="4699" t="s">
        <v>1349</v>
      </c>
      <c r="C58" s="4687"/>
      <c r="D58" s="4123">
        <f ca="1">IF(H58="转让取得",C81,C97)</f>
        <v>102</v>
      </c>
      <c r="E58" s="3977" t="s">
        <v>1344</v>
      </c>
      <c r="F58" s="191" t="s">
        <v>26</v>
      </c>
      <c r="G58" s="2075"/>
      <c r="H58" s="2078"/>
      <c r="I58" s="1429"/>
      <c r="J58" s="4743"/>
      <c r="K58" s="4743"/>
      <c r="L58" s="2057" t="s">
        <v>1350</v>
      </c>
      <c r="M58" s="2060"/>
      <c r="N58" s="2061" t="str">
        <f ca="1">NUMBERSTRING(INT(N57*10000),2)&amp;"元整"</f>
        <v>贰万元整</v>
      </c>
      <c r="O58" s="2062"/>
      <c r="R58" s="4680"/>
      <c r="S58" s="4681"/>
    </row>
    <row r="59" spans="1:35" ht="24.75" thickBot="1">
      <c r="A59" s="4747" t="s">
        <v>1351</v>
      </c>
      <c r="B59" s="4748"/>
      <c r="C59" s="4748"/>
      <c r="D59" s="4127">
        <f ca="1">IF(H59="非个人房产","——",IF(H59="个人住宅（满五唯一有凭证）",0,IF(H59="个人其他（无凭证）",ROUND(D45/(1+'数据-取费表'!C43)*F59,0),ROUND(C67*F59,0))))</f>
        <v>2</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745">
        <f>J57+1</f>
        <v>6</v>
      </c>
      <c r="K59" s="4743" t="s">
        <v>1352</v>
      </c>
      <c r="L59" s="2055" t="s">
        <v>1348</v>
      </c>
      <c r="M59" s="2063"/>
      <c r="N59" s="2908">
        <f ca="1">M49-N57</f>
        <v>216.69470000000001</v>
      </c>
      <c r="O59" s="2064"/>
      <c r="R59" s="3829" t="s">
        <v>3682</v>
      </c>
      <c r="S59" s="3829" t="s">
        <v>3683</v>
      </c>
    </row>
    <row r="60" spans="1:35" ht="12" customHeight="1" thickBot="1">
      <c r="A60" s="1430"/>
      <c r="B60" s="1374"/>
      <c r="C60" s="1374"/>
      <c r="D60" s="1374"/>
      <c r="E60" s="1221"/>
      <c r="F60" s="1429"/>
      <c r="G60" s="1429"/>
      <c r="H60" s="1431"/>
      <c r="I60" s="51"/>
      <c r="J60" s="4746"/>
      <c r="K60" s="4743"/>
      <c r="L60" s="2057" t="s">
        <v>1350</v>
      </c>
      <c r="M60" s="2060"/>
      <c r="N60" s="2909" t="str">
        <f ca="1">NUMBERSTRING(INT(N59*10000),2)&amp;"元整"</f>
        <v>贰佰壹拾陆万陆仟玖佰肆拾柒元整</v>
      </c>
      <c r="O60" s="2062"/>
      <c r="R60" s="3829" t="s">
        <v>3684</v>
      </c>
      <c r="S60" s="3829" t="s">
        <v>3725</v>
      </c>
    </row>
    <row r="61" spans="1:35" ht="14.25" thickBot="1">
      <c r="A61" s="4685" t="s">
        <v>3723</v>
      </c>
      <c r="B61" s="4686"/>
      <c r="C61" s="4686"/>
      <c r="D61" s="4686"/>
      <c r="E61" s="4006"/>
      <c r="F61" s="4675" t="s">
        <v>3724</v>
      </c>
      <c r="G61" s="4676"/>
      <c r="H61" s="4676"/>
      <c r="I61" s="4677"/>
      <c r="J61" s="3987">
        <f>J59+1</f>
        <v>7</v>
      </c>
      <c r="K61" s="4743" t="s">
        <v>1353</v>
      </c>
      <c r="L61" s="4743"/>
      <c r="M61" s="2065"/>
      <c r="N61" s="2910">
        <f ca="1">ROUND(N59*10000/'数据-汇总表'!E3,0)</f>
        <v>11336</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219</v>
      </c>
      <c r="D63" s="4001"/>
      <c r="E63" s="4682" t="s">
        <v>3728</v>
      </c>
      <c r="F63" s="3976">
        <v>1</v>
      </c>
      <c r="G63" s="3077" t="s">
        <v>3715</v>
      </c>
      <c r="H63" s="4135">
        <f ca="1">H64-H66</f>
        <v>18</v>
      </c>
      <c r="I63" s="4023"/>
      <c r="J63" s="4772" t="s">
        <v>1357</v>
      </c>
      <c r="K63" s="979" t="s">
        <v>1358</v>
      </c>
      <c r="L63" s="4158">
        <f ca="1">IF(M49&gt;10000,M49*0.5%,IF(AND(M49&gt;1000,M49&lt;=10000),M49*1%,IF(AND(M49&gt;100,M49&lt;=1000),M49*3%,IF(AND(M49&gt;10,M49&lt;=100),M49*5%,M49*8%))))</f>
        <v>6.5608409999999999</v>
      </c>
      <c r="M63" s="4102">
        <f ca="1">ROUND(L63,1)</f>
        <v>6.6</v>
      </c>
      <c r="N63" s="2067"/>
      <c r="Z63" s="1379"/>
      <c r="AI63" s="1380"/>
    </row>
    <row r="64" spans="1:35" ht="14.25" customHeight="1">
      <c r="A64" s="71" t="s">
        <v>323</v>
      </c>
      <c r="B64" s="4010" t="s">
        <v>3732</v>
      </c>
      <c r="C64" s="4132">
        <f ca="1">D45</f>
        <v>219</v>
      </c>
      <c r="D64" s="4002"/>
      <c r="E64" s="4683"/>
      <c r="F64" s="3976">
        <v>2</v>
      </c>
      <c r="G64" s="3077" t="s">
        <v>3716</v>
      </c>
      <c r="H64" s="4135">
        <f ca="1">ROUND(H65*I64/(1+I64),0)</f>
        <v>18</v>
      </c>
      <c r="I64" s="4024">
        <v>0.09</v>
      </c>
      <c r="J64" s="4772"/>
      <c r="K64" s="979" t="s">
        <v>1359</v>
      </c>
      <c r="L64" s="4158">
        <f ca="1">IF(M49&gt;2000,M49*0.5%,IF(AND(M49&gt;1000,M49&lt;=2000),M49*0.6%,IF(AND(M49&gt;500,M49&lt;=1000),M49*0.7%,IF(AND(M49&gt;200,M49&lt;=500),M49*0.8%,IF(AND(M49&gt;100,M49&lt;=200),M49*0.9%,IF(AND(M49&gt;50,M49&lt;=100),M49*1%,IF(AND(M49&gt;20,M49&lt;=50),M49*1.5%,IF(AND(M49&gt;10,M49&lt;=20),M49*2%,IF(AND(M49&gt;1,M49&lt;=10),M49*2.5%)))))))))</f>
        <v>1.7495576000000002</v>
      </c>
      <c r="M64" s="4102">
        <f t="shared" ref="M64:M65" ca="1" si="1">ROUND(L64,1)</f>
        <v>1.7</v>
      </c>
      <c r="N64" s="2068" t="s">
        <v>1360</v>
      </c>
      <c r="Z64" s="1379"/>
      <c r="AI64" s="1380"/>
    </row>
    <row r="65" spans="1:35" ht="14.25" customHeight="1">
      <c r="A65" s="71" t="s">
        <v>324</v>
      </c>
      <c r="B65" s="4010" t="s">
        <v>3733</v>
      </c>
      <c r="C65" s="4133"/>
      <c r="D65" s="4003"/>
      <c r="E65" s="4683"/>
      <c r="F65" s="71" t="s">
        <v>323</v>
      </c>
      <c r="G65" s="4025" t="s">
        <v>3719</v>
      </c>
      <c r="H65" s="4135">
        <f ca="1">D45</f>
        <v>219</v>
      </c>
      <c r="I65" s="4023"/>
      <c r="J65" s="4772"/>
      <c r="K65" s="979" t="s">
        <v>1361</v>
      </c>
      <c r="L65" s="4158">
        <f ca="1">IF(M49&gt;1000,M49*0.1%,IF(AND(M49&gt;500,M49&lt;=1000),M49*0.5%,IF(AND(M49&gt;50,M49&lt;=500),M49*1%,IF(AND(M49&gt;1,M49&lt;=50),M49*1.5%))))</f>
        <v>2.186947</v>
      </c>
      <c r="M65" s="4102">
        <f t="shared" ca="1" si="1"/>
        <v>2.2000000000000002</v>
      </c>
      <c r="N65" s="2068" t="s">
        <v>1360</v>
      </c>
      <c r="Z65" s="1379"/>
      <c r="AI65" s="1380"/>
    </row>
    <row r="66" spans="1:35" ht="14.25" customHeight="1">
      <c r="A66" s="75" t="s">
        <v>325</v>
      </c>
      <c r="B66" s="4011" t="s">
        <v>3734</v>
      </c>
      <c r="C66" s="4133"/>
      <c r="D66" s="4004"/>
      <c r="E66" s="4683"/>
      <c r="F66" s="4026">
        <v>3</v>
      </c>
      <c r="G66" s="3077" t="s">
        <v>3717</v>
      </c>
      <c r="H66" s="4102">
        <f>ROUND(H67*I67,0)+ROUND(H68*I68,0)</f>
        <v>0</v>
      </c>
      <c r="I66" s="4023"/>
      <c r="J66" s="4772"/>
      <c r="K66" s="979" t="s">
        <v>1362</v>
      </c>
      <c r="L66" s="4158">
        <f ca="1">M49*0.5%</f>
        <v>1.0934735</v>
      </c>
      <c r="M66" s="4102">
        <f ca="1">IF(L66&gt;0.5,0.5,ROUND(L66,0))</f>
        <v>0.5</v>
      </c>
      <c r="N66" s="2068" t="s">
        <v>1363</v>
      </c>
      <c r="Z66" s="1379"/>
      <c r="AI66" s="1380"/>
    </row>
    <row r="67" spans="1:35" ht="14.25" customHeight="1">
      <c r="A67" s="75" t="s">
        <v>326</v>
      </c>
      <c r="B67" s="4008" t="s">
        <v>3730</v>
      </c>
      <c r="C67" s="4132">
        <f ca="1">C63-C66</f>
        <v>219</v>
      </c>
      <c r="D67" s="4003"/>
      <c r="E67" s="4683"/>
      <c r="F67" s="71" t="s">
        <v>323</v>
      </c>
      <c r="G67" s="4025" t="s">
        <v>3721</v>
      </c>
      <c r="H67" s="4136"/>
      <c r="I67" s="4024">
        <v>0.09</v>
      </c>
      <c r="J67" s="4772"/>
      <c r="K67" s="979" t="s">
        <v>1364</v>
      </c>
      <c r="L67" s="4158">
        <f ca="1">IF(M49&gt;=10000,(8.25+(M49-10000)*0.01%),IF(AND(M49&gt;=8000,M49&lt;10000),(7.85+(M49-8000)*0.02%),IF(AND(M49&gt;=5000,M49&lt;8000),(6.65+(M49-5000)*0.04%),IF(AND(M49&gt;=2000,M49&lt;5000),(4.25+(PM49-2000)*0.08%),IF(AND(M49&gt;=1000,M49&lt;2000),(2.75+(M49-1000)*0.15%),IF(AND(M49&gt;=100,M49&lt;1000),(0.5+(M49-100)*0.25%),IF(AND(M49&gt;0,M49&lt;100),M49*0.5%)))))))</f>
        <v>0.79673674999999999</v>
      </c>
      <c r="M67" s="4102">
        <f ca="1">ROUND(L67*0.9,1)</f>
        <v>0.7</v>
      </c>
      <c r="N67" s="2067"/>
      <c r="Z67" s="1379"/>
      <c r="AI67" s="1380"/>
    </row>
    <row r="68" spans="1:35" ht="14.25" customHeight="1" thickBot="1">
      <c r="A68" s="77" t="s">
        <v>327</v>
      </c>
      <c r="B68" s="4012" t="s">
        <v>3735</v>
      </c>
      <c r="C68" s="4134">
        <f ca="1">IF(C67&lt;=0,0,ROUND(C67*D68,0))</f>
        <v>11</v>
      </c>
      <c r="D68" s="4005">
        <v>0.05</v>
      </c>
      <c r="E68" s="4684"/>
      <c r="F68" s="4018" t="s">
        <v>324</v>
      </c>
      <c r="G68" s="4027" t="s">
        <v>3722</v>
      </c>
      <c r="H68" s="4137"/>
      <c r="I68" s="4028">
        <v>0.06</v>
      </c>
      <c r="J68" s="4772"/>
      <c r="K68" s="979" t="s">
        <v>1365</v>
      </c>
      <c r="L68" s="4158">
        <f ca="1">IF(M49&gt;10000,M49*0.5%,IF(AND(M49&gt;5000,M49&lt;=10000),M49*1%,IF(AND(M49&gt;1000,M49&lt;=5000),M49*2%,IF(AND(M49&gt;200,M49&lt;=1000),M49*3%,M49*5%))))</f>
        <v>6.5608409999999999</v>
      </c>
      <c r="M68" s="4102">
        <f ca="1">ROUND(L68,1)</f>
        <v>6.6</v>
      </c>
      <c r="N68" s="2067"/>
      <c r="Z68" s="1379"/>
      <c r="AI68" s="1380"/>
    </row>
    <row r="69" spans="1:35" s="1393" customFormat="1" ht="16.5" customHeight="1">
      <c r="A69" s="1432"/>
      <c r="B69" s="1433"/>
      <c r="C69" s="1434"/>
      <c r="D69" s="1435"/>
      <c r="E69" s="1436"/>
      <c r="F69" s="1221"/>
      <c r="G69" s="1221"/>
      <c r="H69" s="1220"/>
      <c r="I69" s="1374"/>
      <c r="J69" s="4773"/>
      <c r="K69" s="979" t="s">
        <v>1366</v>
      </c>
      <c r="L69" s="4158"/>
      <c r="M69" s="4102">
        <f ca="1">ROUND(SUM(M63:M68),0)</f>
        <v>18</v>
      </c>
      <c r="N69" s="2069">
        <f ca="1">M69/M49</f>
        <v>8.2306521374317709E-2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5" t="s">
        <v>1367</v>
      </c>
      <c r="B70" s="4726"/>
      <c r="C70" s="4726"/>
      <c r="D70" s="4726"/>
      <c r="E70" s="4726"/>
      <c r="F70" s="4726"/>
      <c r="G70" s="4726"/>
      <c r="H70" s="4726"/>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6" t="s">
        <v>1354</v>
      </c>
      <c r="B71" s="4717"/>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201</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20</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699" t="s">
        <v>1375</v>
      </c>
      <c r="F76" s="4687"/>
      <c r="G76" s="4687"/>
      <c r="H76" s="4724"/>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20</v>
      </c>
      <c r="D78" s="3994">
        <f>'数据-取费表'!B44</f>
        <v>0.1</v>
      </c>
      <c r="E78" s="4697" t="s">
        <v>1379</v>
      </c>
      <c r="F78" s="4668"/>
      <c r="G78" s="4668"/>
      <c r="H78" s="4669"/>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181</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9.0500000000000007</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102</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5" t="s">
        <v>1383</v>
      </c>
      <c r="B83" s="4726"/>
      <c r="C83" s="4726"/>
      <c r="D83" s="4726"/>
      <c r="E83" s="4726"/>
      <c r="F83" s="4726"/>
      <c r="G83" s="4726"/>
      <c r="H83" s="4726"/>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6" t="s">
        <v>1354</v>
      </c>
      <c r="B84" s="4717"/>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201</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20</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775" t="s">
        <v>2041</v>
      </c>
      <c r="H90" s="4776"/>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697" t="s">
        <v>1392</v>
      </c>
      <c r="F91" s="4668"/>
      <c r="G91" s="4668"/>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697" t="s">
        <v>1395</v>
      </c>
      <c r="F92" s="4668"/>
      <c r="G92" s="4668"/>
      <c r="H92" s="4669"/>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20</v>
      </c>
      <c r="D93" s="3994">
        <f>'数据-取费表'!B44</f>
        <v>0.1</v>
      </c>
      <c r="E93" s="4667" t="s">
        <v>3712</v>
      </c>
      <c r="F93" s="4668"/>
      <c r="G93" s="4668"/>
      <c r="H93" s="4669"/>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670" t="s">
        <v>1399</v>
      </c>
      <c r="F94" s="4671"/>
      <c r="G94" s="4671"/>
      <c r="H94" s="4672"/>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181</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9.0500000000000007</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102</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6" t="s">
        <v>1401</v>
      </c>
      <c r="B100" s="4657"/>
      <c r="C100" s="4657"/>
      <c r="D100" s="4744"/>
      <c r="E100" s="4657" t="s">
        <v>1402</v>
      </c>
      <c r="F100" s="4657"/>
      <c r="G100" s="4657"/>
      <c r="H100" s="4744"/>
      <c r="I100" s="51"/>
    </row>
    <row r="101" spans="1:35" ht="18.75" customHeight="1">
      <c r="A101" s="4752" t="s">
        <v>1403</v>
      </c>
      <c r="B101" s="4753"/>
      <c r="C101" s="2084" t="str">
        <f>C4</f>
        <v>成本法 (元)</v>
      </c>
      <c r="D101" s="2085" t="str">
        <f>D4</f>
        <v>收益法 (元)</v>
      </c>
      <c r="E101" s="4769" t="s">
        <v>1404</v>
      </c>
      <c r="F101" s="4715"/>
      <c r="G101" s="1446" t="s">
        <v>1405</v>
      </c>
      <c r="H101" s="4150">
        <f ca="1">H118</f>
        <v>218.69470000000001</v>
      </c>
      <c r="I101" s="51"/>
    </row>
    <row r="102" spans="1:35" ht="18.75" customHeight="1">
      <c r="A102" s="4719" t="s">
        <v>1406</v>
      </c>
      <c r="B102" s="2083" t="s">
        <v>1405</v>
      </c>
      <c r="C102" s="4142">
        <f ca="1">C19</f>
        <v>252.62739999999999</v>
      </c>
      <c r="D102" s="4143">
        <f ca="1">D19</f>
        <v>167.79830000000001</v>
      </c>
      <c r="E102" s="4769"/>
      <c r="F102" s="4715"/>
      <c r="G102" s="1446" t="s">
        <v>1407</v>
      </c>
      <c r="H102" s="4151">
        <f ca="1">I118</f>
        <v>11441</v>
      </c>
      <c r="I102" s="51"/>
    </row>
    <row r="103" spans="1:35" ht="42.75" customHeight="1">
      <c r="A103" s="4719"/>
      <c r="B103" s="2083" t="s">
        <v>1407</v>
      </c>
      <c r="C103" s="4144">
        <f ca="1">C20</f>
        <v>13216</v>
      </c>
      <c r="D103" s="4145">
        <f ca="1">D20</f>
        <v>8778</v>
      </c>
      <c r="E103" s="4763" t="s">
        <v>1408</v>
      </c>
      <c r="F103" s="4764"/>
      <c r="G103" s="1447" t="s">
        <v>1409</v>
      </c>
      <c r="H103" s="4150">
        <f>IF(D36="正常操作",H104+H105+H106,H105+H106)</f>
        <v>0</v>
      </c>
      <c r="I103" s="51"/>
    </row>
    <row r="104" spans="1:35" ht="18.75" customHeight="1">
      <c r="A104" s="4719" t="s">
        <v>1410</v>
      </c>
      <c r="B104" s="2086" t="s">
        <v>1405</v>
      </c>
      <c r="C104" s="4146">
        <f ca="1">H118</f>
        <v>218.69470000000001</v>
      </c>
      <c r="D104" s="4147"/>
      <c r="E104" s="1306" t="s">
        <v>1411</v>
      </c>
      <c r="F104" s="1302"/>
      <c r="G104" s="1447" t="s">
        <v>1409</v>
      </c>
      <c r="H104" s="4152">
        <f>IF(D36="同一抵押权人同一抵押物续贷",C36&amp;"（续贷，未扣减，详见特别提示）",C36)</f>
        <v>0</v>
      </c>
      <c r="I104" s="51"/>
    </row>
    <row r="105" spans="1:35" ht="18.75" customHeight="1" thickBot="1">
      <c r="A105" s="4720"/>
      <c r="B105" s="2087" t="s">
        <v>1407</v>
      </c>
      <c r="C105" s="4148">
        <f ca="1">I118</f>
        <v>11441</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14" t="str">
        <f>IF(项目基本情况!E8="已注销","——","3.房地产抵押价值")</f>
        <v>3.房地产抵押价值</v>
      </c>
      <c r="F107" s="4715"/>
      <c r="G107" s="1446" t="s">
        <v>1405</v>
      </c>
      <c r="H107" s="4150">
        <f ca="1">IF(E107="——","——",H101-H103)</f>
        <v>218.69470000000001</v>
      </c>
      <c r="I107" s="51"/>
    </row>
    <row r="108" spans="1:35" ht="18.75" customHeight="1">
      <c r="A108" s="51"/>
      <c r="B108" s="51"/>
      <c r="C108" s="51"/>
      <c r="D108" s="51"/>
      <c r="E108" s="4714"/>
      <c r="F108" s="4715"/>
      <c r="G108" s="1446" t="s">
        <v>1407</v>
      </c>
      <c r="H108" s="4151">
        <f ca="1">IF(H107=H101,H102,ROUND(H107*10000/'数据-汇总表'!E3,0))</f>
        <v>11441</v>
      </c>
      <c r="I108" s="51"/>
    </row>
    <row r="109" spans="1:35" ht="18.75" customHeight="1">
      <c r="A109" s="51"/>
      <c r="B109" s="51"/>
      <c r="C109" s="51"/>
      <c r="D109" s="51"/>
      <c r="E109" s="4714" t="str">
        <f>IF(项目基本情况!E8="已注销及未注销","4.抵押担保权已注销时的房地产抵押价值",IF(项目基本情况!E8="已注销","3.抵押担保权已注销时的房地产抵押价值","——"))</f>
        <v>——</v>
      </c>
      <c r="F109" s="4715"/>
      <c r="G109" s="1446" t="s">
        <v>1405</v>
      </c>
      <c r="H109" s="4154" t="str">
        <f>IF(E109="——","——",H101-H105-H106)</f>
        <v>——</v>
      </c>
      <c r="I109" s="51"/>
    </row>
    <row r="110" spans="1:35" ht="18.75" customHeight="1">
      <c r="A110" s="51"/>
      <c r="B110" s="51"/>
      <c r="C110" s="51"/>
      <c r="D110" s="51"/>
      <c r="E110" s="4714"/>
      <c r="F110" s="4715"/>
      <c r="G110" s="1446" t="s">
        <v>1407</v>
      </c>
      <c r="H110" s="4151" t="str">
        <f>IF(H109="——","——",ROUND(H109*10000/'数据-汇总表'!E3,0))</f>
        <v>——</v>
      </c>
      <c r="I110" s="51"/>
    </row>
    <row r="111" spans="1:35" ht="18.75" customHeight="1">
      <c r="A111" s="51"/>
      <c r="B111" s="51"/>
      <c r="C111" s="51"/>
      <c r="D111" s="51"/>
      <c r="E111" s="4754" t="str">
        <f>IF(项目基本情况!E9="抵押净值",IF(OR(项目基本情况!E8="已注销",项目基本情况!E8="房地产抵押价值"),"4.抵押净值","5.抵押净值"),"——")</f>
        <v>——</v>
      </c>
      <c r="F111" s="4718"/>
      <c r="G111" s="1446" t="s">
        <v>1405</v>
      </c>
      <c r="H111" s="4150" t="str">
        <f>IF(E111="——","——",N59)</f>
        <v>——</v>
      </c>
      <c r="I111" s="51"/>
    </row>
    <row r="112" spans="1:35" ht="18.75" customHeight="1" thickBot="1">
      <c r="A112" s="51"/>
      <c r="B112" s="51"/>
      <c r="C112" s="51"/>
      <c r="D112" s="51"/>
      <c r="E112" s="4755"/>
      <c r="F112" s="4756"/>
      <c r="G112" s="1449" t="s">
        <v>1407</v>
      </c>
      <c r="H112" s="4097" t="str">
        <f>IF(E111="——","——",N61)</f>
        <v>——</v>
      </c>
      <c r="I112" s="51"/>
    </row>
    <row r="113" spans="1:27" ht="18.75" customHeight="1">
      <c r="A113" s="51"/>
      <c r="B113" s="51"/>
      <c r="C113" s="51"/>
      <c r="D113" s="51"/>
      <c r="E113" s="4721" t="s">
        <v>1413</v>
      </c>
      <c r="F113" s="4721"/>
      <c r="G113" s="4721"/>
      <c r="H113" s="4721"/>
      <c r="I113" s="51"/>
    </row>
    <row r="114" spans="1:27" ht="3.75" customHeight="1">
      <c r="A114" s="1374"/>
      <c r="B114" s="1374"/>
      <c r="C114" s="1374"/>
      <c r="D114" s="1374"/>
      <c r="E114" s="1430"/>
      <c r="F114" s="1430"/>
      <c r="G114" s="1430"/>
      <c r="H114" s="1430"/>
      <c r="I114" s="1374"/>
    </row>
    <row r="115" spans="1:27" ht="18.75" customHeight="1">
      <c r="A115" s="4734" t="s">
        <v>1415</v>
      </c>
      <c r="B115" s="4735"/>
      <c r="C115" s="4735"/>
      <c r="D115" s="4735"/>
      <c r="E115" s="4735"/>
      <c r="F115" s="4735"/>
      <c r="G115" s="4735"/>
      <c r="H115" s="4735"/>
      <c r="I115" s="4736"/>
    </row>
    <row r="116" spans="1:27" ht="27" customHeight="1">
      <c r="A116" s="4698" t="s">
        <v>1416</v>
      </c>
      <c r="B116" s="4722" t="s">
        <v>1417</v>
      </c>
      <c r="C116" s="4722" t="s">
        <v>1418</v>
      </c>
      <c r="D116" s="4738" t="s">
        <v>1419</v>
      </c>
      <c r="E116" s="4739"/>
      <c r="F116" s="4730"/>
      <c r="G116" s="4730"/>
      <c r="H116" s="4698" t="s">
        <v>1420</v>
      </c>
      <c r="I116" s="4698"/>
      <c r="K116" s="3420"/>
      <c r="L116" s="3421" t="s">
        <v>3502</v>
      </c>
      <c r="M116" s="3421" t="s">
        <v>3503</v>
      </c>
      <c r="N116" s="3421" t="s">
        <v>3504</v>
      </c>
    </row>
    <row r="117" spans="1:27" ht="18.75" customHeight="1">
      <c r="A117" s="4698"/>
      <c r="B117" s="4723"/>
      <c r="C117" s="4723"/>
      <c r="D117" s="1871" t="s">
        <v>1421</v>
      </c>
      <c r="E117" s="1871" t="s">
        <v>1422</v>
      </c>
      <c r="F117" s="1871" t="s">
        <v>1421</v>
      </c>
      <c r="G117" s="1871" t="s">
        <v>1423</v>
      </c>
      <c r="H117" s="1871" t="s">
        <v>1421</v>
      </c>
      <c r="I117" s="1871" t="s">
        <v>1423</v>
      </c>
      <c r="K117" s="3421" t="s">
        <v>3500</v>
      </c>
      <c r="L117" s="4155">
        <f>C34</f>
        <v>0</v>
      </c>
      <c r="M117" s="4156">
        <f>C35</f>
        <v>0</v>
      </c>
      <c r="N117" s="4156">
        <f ca="1">C32</f>
        <v>11441</v>
      </c>
    </row>
    <row r="118" spans="1:27" ht="24.75" customHeight="1">
      <c r="A118" s="2088" t="str">
        <f>项目基本情况!S2</f>
        <v>北京市房地产</v>
      </c>
      <c r="B118" s="2917">
        <f>M18</f>
        <v>191.15</v>
      </c>
      <c r="C118" s="2917">
        <f>M19</f>
        <v>0</v>
      </c>
      <c r="D118" s="2917">
        <f>ROUND(IF(D32="总价",L117,L119*B118/10000),0)</f>
        <v>0</v>
      </c>
      <c r="E118" s="4079">
        <f>ROUND(IF(C33="自定义",IF(D32="楼面单价",L119,D118*10000/B118),I118-G118),0)</f>
        <v>0</v>
      </c>
      <c r="F118" s="2917">
        <f>ROUND(IF(D32="总价",M117,M119*B118/10000),0)</f>
        <v>0</v>
      </c>
      <c r="G118" s="4079">
        <f>ROUND(IF(D32="楼面单价",,F118*10000/B118),0)</f>
        <v>0</v>
      </c>
      <c r="H118" s="2917">
        <f ca="1">ROUND(IF(D32="总价",C32,N119*B118/10000),4)</f>
        <v>218.69470000000001</v>
      </c>
      <c r="I118" s="4079">
        <f ca="1">ROUND(IF(D32="楼面单价",C32,N117*10000/B118),0)</f>
        <v>11441</v>
      </c>
      <c r="K118" s="3420"/>
      <c r="L118" s="4157"/>
      <c r="M118" s="4157"/>
      <c r="N118" s="4157"/>
    </row>
    <row r="119" spans="1:27" ht="18.75" customHeight="1">
      <c r="A119" s="4698" t="s">
        <v>1424</v>
      </c>
      <c r="B119" s="4698"/>
      <c r="C119" s="4698"/>
      <c r="D119" s="4740" t="str">
        <f>NUMBERSTRING(INT(D118*10000),2)&amp;"元整"</f>
        <v>零元整</v>
      </c>
      <c r="E119" s="4741"/>
      <c r="F119" s="4740" t="str">
        <f>NUMBERSTRING(INT(F118*10000),2)&amp;"元整"</f>
        <v>零元整</v>
      </c>
      <c r="G119" s="4741"/>
      <c r="H119" s="4740" t="str">
        <f ca="1">NUMBERSTRING(INT(H118*10000),2)&amp;"元整"</f>
        <v>贰佰壹拾捌万陆仟玖佰肆拾柒元整</v>
      </c>
      <c r="I119" s="4741"/>
      <c r="K119" s="3421" t="s">
        <v>3501</v>
      </c>
      <c r="L119" s="4156">
        <f>C34</f>
        <v>0</v>
      </c>
      <c r="M119" s="4156">
        <f>C35</f>
        <v>0</v>
      </c>
      <c r="N119" s="4156">
        <f ca="1">C32</f>
        <v>11441</v>
      </c>
    </row>
    <row r="120" spans="1:27" ht="18.75" customHeight="1">
      <c r="A120" s="4760" t="str">
        <f>IF(项目基本情况!B9="房地产市场价值","",MID(E103,3,LEN(E103)-2))</f>
        <v>估价师知悉的法定优先受偿款</v>
      </c>
      <c r="B120" s="4761"/>
      <c r="C120" s="4762"/>
      <c r="D120" s="4757">
        <f>H103</f>
        <v>0</v>
      </c>
      <c r="E120" s="4758"/>
      <c r="F120" s="4758"/>
      <c r="G120" s="4758"/>
      <c r="H120" s="4758"/>
      <c r="I120" s="4759"/>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31" t="s">
        <v>1424</v>
      </c>
      <c r="B121" s="4732"/>
      <c r="C121" s="4733"/>
      <c r="D121" s="4727" t="str">
        <f>IF(D120=0,"零元整",NUMBERSTRING(INT(D120*10000),2)&amp;"元整")</f>
        <v>零元整</v>
      </c>
      <c r="E121" s="4728"/>
      <c r="F121" s="4728"/>
      <c r="G121" s="4728"/>
      <c r="H121" s="4728"/>
      <c r="I121" s="4729"/>
      <c r="AA121" s="529"/>
    </row>
    <row r="122" spans="1:27" ht="18.75" customHeight="1">
      <c r="A122" s="4718" t="str">
        <f>IF(项目基本情况!B9="房地产市场价值","",MID(E107,3,LEN(E107)-2))</f>
        <v>房地产抵押价值</v>
      </c>
      <c r="B122" s="4718"/>
      <c r="C122" s="4718"/>
      <c r="D122" s="4757">
        <f ca="1">H107</f>
        <v>218.69470000000001</v>
      </c>
      <c r="E122" s="4758"/>
      <c r="F122" s="4758"/>
      <c r="G122" s="4758"/>
      <c r="H122" s="4758"/>
      <c r="I122" s="4759"/>
      <c r="AA122" s="529"/>
    </row>
    <row r="123" spans="1:27" ht="18.75" customHeight="1">
      <c r="A123" s="4698" t="s">
        <v>1424</v>
      </c>
      <c r="B123" s="4698"/>
      <c r="C123" s="4698"/>
      <c r="D123" s="4727" t="str">
        <f ca="1">NUMBERSTRING(INT(D122*10000),2)&amp;"元整"</f>
        <v>贰佰壹拾捌万陆仟玖佰肆拾柒元整</v>
      </c>
      <c r="E123" s="4728"/>
      <c r="F123" s="4728"/>
      <c r="G123" s="4728"/>
      <c r="H123" s="4728"/>
      <c r="I123" s="4729"/>
      <c r="AA123" s="529"/>
    </row>
    <row r="124" spans="1:27" ht="18.75" customHeight="1">
      <c r="A124" s="4718" t="str">
        <f>IF(项目基本情况!B9="房地产市场价值","",MID(E109,3,LEN(E109)-2))</f>
        <v/>
      </c>
      <c r="B124" s="4718"/>
      <c r="C124" s="4718"/>
      <c r="D124" s="4757" t="str">
        <f>H109</f>
        <v>——</v>
      </c>
      <c r="E124" s="4758"/>
      <c r="F124" s="4758"/>
      <c r="G124" s="4758"/>
      <c r="H124" s="4758"/>
      <c r="I124" s="4759"/>
      <c r="AA124" s="529"/>
    </row>
    <row r="125" spans="1:27" ht="18.75" customHeight="1">
      <c r="A125" s="4698" t="s">
        <v>1424</v>
      </c>
      <c r="B125" s="4698"/>
      <c r="C125" s="4698"/>
      <c r="D125" s="4727" t="e">
        <f>NUMBERSTRING(INT(D124*10000),2)&amp;"元整"</f>
        <v>#VALUE!</v>
      </c>
      <c r="E125" s="4728"/>
      <c r="F125" s="4728"/>
      <c r="G125" s="4728"/>
      <c r="H125" s="4728"/>
      <c r="I125" s="4729"/>
      <c r="AA125" s="529"/>
    </row>
    <row r="126" spans="1:27" ht="18.75" customHeight="1">
      <c r="A126" s="4718" t="str">
        <f>IF(项目基本情况!B9="房地产市场价值","",MID(E111,3,LEN(E111)-2))</f>
        <v/>
      </c>
      <c r="B126" s="4718"/>
      <c r="C126" s="4718"/>
      <c r="D126" s="4757" t="str">
        <f>H111</f>
        <v>——</v>
      </c>
      <c r="E126" s="4758"/>
      <c r="F126" s="4758"/>
      <c r="G126" s="4758"/>
      <c r="H126" s="4758"/>
      <c r="I126" s="4759"/>
      <c r="AA126" s="529"/>
    </row>
    <row r="127" spans="1:27" ht="18.75" customHeight="1">
      <c r="A127" s="4698" t="s">
        <v>1424</v>
      </c>
      <c r="B127" s="4698"/>
      <c r="C127" s="4698"/>
      <c r="D127" s="4727" t="e">
        <f>NUMBERSTRING(INT(D126*10000),2)&amp;"元整"</f>
        <v>#VALUE!</v>
      </c>
      <c r="E127" s="4728"/>
      <c r="F127" s="4728"/>
      <c r="G127" s="4728"/>
      <c r="H127" s="4728"/>
      <c r="I127" s="4729"/>
      <c r="AA127" s="529"/>
    </row>
    <row r="128" spans="1:27" ht="21.75" customHeight="1">
      <c r="A128" s="4737" t="s">
        <v>1425</v>
      </c>
      <c r="B128" s="4737"/>
      <c r="C128" s="4737"/>
      <c r="D128" s="4737"/>
      <c r="E128" s="4737"/>
      <c r="F128" s="4737"/>
      <c r="G128" s="4737"/>
      <c r="H128" s="4737"/>
      <c r="I128" s="4737"/>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48705</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2547999</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48731</v>
      </c>
      <c r="D5" s="2864"/>
      <c r="E5" s="2864"/>
      <c r="F5" s="2864"/>
      <c r="G5" s="3029" t="s">
        <v>3489</v>
      </c>
    </row>
    <row r="6" spans="1:9" s="2850" customFormat="1" ht="15">
      <c r="A6" s="2828" t="s">
        <v>3349</v>
      </c>
      <c r="B6" s="2890" t="s">
        <v>3350</v>
      </c>
      <c r="C6" s="2865">
        <f>C7+C8</f>
        <v>0</v>
      </c>
      <c r="D6" s="2827"/>
      <c r="E6" s="2827"/>
      <c r="F6" s="2827"/>
      <c r="G6" s="2866"/>
    </row>
    <row r="7" spans="1:9" s="114" customFormat="1">
      <c r="A7" s="2867" t="s">
        <v>1444</v>
      </c>
      <c r="B7" s="2891" t="s">
        <v>1445</v>
      </c>
      <c r="C7" s="3401"/>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3296</v>
      </c>
      <c r="C9" s="2851">
        <f ca="1">C10+C11+C12+C13+C19+C20</f>
        <v>38324</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78</v>
      </c>
      <c r="D10" s="2868"/>
      <c r="E10" s="149"/>
      <c r="F10" s="2876">
        <f ca="1">IF('数据-取费表'!B24=0,1,IF(B1="",'数据-取费表'!N16,INDIRECT("'数据-取费表'!n"&amp;$G$1)))</f>
        <v>1</v>
      </c>
      <c r="G10" s="161" t="s">
        <v>1472</v>
      </c>
    </row>
    <row r="11" spans="1:9" s="114" customFormat="1">
      <c r="A11" s="2893" t="s">
        <v>349</v>
      </c>
      <c r="B11" s="2894" t="s">
        <v>3333</v>
      </c>
      <c r="C11" s="2838">
        <f ca="1">ROUND(C10*F11,0)</f>
        <v>5</v>
      </c>
      <c r="D11" s="149"/>
      <c r="E11" s="149"/>
      <c r="F11" s="2849">
        <f>'数据-取费表'!B33</f>
        <v>0.06</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38241</v>
      </c>
      <c r="D13" s="149"/>
      <c r="E13" s="2869"/>
      <c r="F13" s="2870"/>
      <c r="G13" s="161"/>
    </row>
    <row r="14" spans="1:9" s="123" customFormat="1">
      <c r="A14" s="2821" t="s">
        <v>3298</v>
      </c>
      <c r="B14" s="2895" t="s">
        <v>3331</v>
      </c>
      <c r="C14" s="2838">
        <f>IF(G14="已包含在土地购买价格中","0",IF(B1="",'数据-取费表'!B29,IF(G15="全部缴纳",C15+C16,H15)))</f>
        <v>38230</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4</v>
      </c>
      <c r="D16" s="2878">
        <f ca="1">IF(B1="",'数据-汇总表'!E6,IF(INDIRECT("'数据-取费表'!c"&amp;$G$1)="住宅",INDIRECT("'数据-取费表'!s"&amp;$G$1),INDIRECT("'数据-取费表'!k"&amp;$G$1)+INDIRECT("'数据-取费表'!s"&amp;$G$1)))</f>
        <v>191.15</v>
      </c>
      <c r="E16" s="2878">
        <f>'数据-取费表'!B28</f>
        <v>200</v>
      </c>
      <c r="F16" s="2870"/>
      <c r="G16" s="126"/>
    </row>
    <row r="17" spans="1:7" s="114" customFormat="1">
      <c r="A17" s="2821" t="s">
        <v>3299</v>
      </c>
      <c r="B17" s="2898" t="s">
        <v>3304</v>
      </c>
      <c r="C17" s="2838">
        <f ca="1">IF(G17="已包含在土地取得成本中","0",ROUND(D17*E17/10000,0))</f>
        <v>4</v>
      </c>
      <c r="D17" s="2879">
        <f ca="1">D15+D16</f>
        <v>191.15</v>
      </c>
      <c r="E17" s="2879">
        <f>'数据-取费表'!B31</f>
        <v>200</v>
      </c>
      <c r="F17" s="2846"/>
      <c r="G17" s="1475"/>
    </row>
    <row r="18" spans="1:7" s="114" customFormat="1">
      <c r="A18" s="2899" t="s">
        <v>3300</v>
      </c>
      <c r="B18" s="2898" t="s">
        <v>1477</v>
      </c>
      <c r="C18" s="2838">
        <f ca="1">ROUND(E18*D18*F10/10000,0)</f>
        <v>7</v>
      </c>
      <c r="D18" s="2838">
        <f ca="1">D17</f>
        <v>191.15</v>
      </c>
      <c r="E18" s="2838">
        <f>'数据-取费表'!B35</f>
        <v>360</v>
      </c>
      <c r="F18" s="2849"/>
      <c r="G18" s="161" t="s">
        <v>1478</v>
      </c>
    </row>
    <row r="19" spans="1:7" s="114" customFormat="1">
      <c r="A19" s="2893" t="s">
        <v>352</v>
      </c>
      <c r="B19" s="2894" t="s">
        <v>3336</v>
      </c>
      <c r="C19" s="2838">
        <f ca="1">ROUND(C10*F19,0)</f>
        <v>0</v>
      </c>
      <c r="D19" s="149"/>
      <c r="E19" s="149"/>
      <c r="F19" s="2849">
        <f>'数据-取费表'!B36</f>
        <v>5.0000000000000001E-3</v>
      </c>
      <c r="G19" s="161" t="s">
        <v>1474</v>
      </c>
    </row>
    <row r="20" spans="1:7" s="114" customFormat="1">
      <c r="A20" s="2893" t="s">
        <v>3301</v>
      </c>
      <c r="B20" s="2894" t="s">
        <v>3337</v>
      </c>
      <c r="C20" s="2838">
        <f ca="1">ROUND(C10*F20,0)</f>
        <v>0</v>
      </c>
      <c r="D20" s="2880"/>
      <c r="E20" s="145"/>
      <c r="F20" s="2849">
        <f>'数据-取费表'!B37</f>
        <v>5.0000000000000001E-3</v>
      </c>
      <c r="G20" s="161" t="s">
        <v>1474</v>
      </c>
    </row>
    <row r="21" spans="1:7" s="2850" customFormat="1" ht="15">
      <c r="A21" s="2828" t="s">
        <v>3351</v>
      </c>
      <c r="B21" s="2890" t="s">
        <v>3352</v>
      </c>
      <c r="C21" s="2851">
        <f ca="1">ROUND((C6+C9)*F21,0)</f>
        <v>766</v>
      </c>
      <c r="D21" s="2852"/>
      <c r="E21" s="2852"/>
      <c r="F21" s="2856">
        <f>'数据-取费表'!B38</f>
        <v>0.02</v>
      </c>
      <c r="G21" s="2853" t="s">
        <v>3353</v>
      </c>
    </row>
    <row r="22" spans="1:7" s="2850" customFormat="1" ht="15">
      <c r="A22" s="2828" t="s">
        <v>3354</v>
      </c>
      <c r="B22" s="2890" t="s">
        <v>3355</v>
      </c>
      <c r="C22" s="2854" t="str">
        <f>F22&amp;"V"</f>
        <v>0.01V</v>
      </c>
      <c r="D22" s="303"/>
      <c r="E22" s="2852"/>
      <c r="F22" s="2856">
        <f>'数据-取费表'!B39</f>
        <v>0.01</v>
      </c>
      <c r="G22" s="3979" t="s">
        <v>3700</v>
      </c>
    </row>
    <row r="23" spans="1:7" s="2850" customFormat="1" ht="15">
      <c r="A23" s="2828" t="s">
        <v>3356</v>
      </c>
      <c r="B23" s="2892" t="s">
        <v>3305</v>
      </c>
      <c r="C23" s="2829" t="str">
        <f ca="1">SUM(C24:C25)&amp;"+"&amp;C26&amp;"V"</f>
        <v>1224+0.0003V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3306</v>
      </c>
      <c r="C25" s="2844">
        <f ca="1">ROUND(IF('数据-取费表'!B22&lt;=1,(C9+C21)*F23*'数据-取费表'!B23/2,(C9+C21)*(POWER((1+F23),'数据-取费表'!B23/2)-1)),0)</f>
        <v>1224</v>
      </c>
      <c r="D25" s="138"/>
      <c r="E25" s="138"/>
      <c r="F25" s="2845"/>
      <c r="G25" s="140" t="s">
        <v>1458</v>
      </c>
    </row>
    <row r="26" spans="1:7" s="114" customFormat="1">
      <c r="A26" s="2900" t="s">
        <v>348</v>
      </c>
      <c r="B26" s="2898" t="s">
        <v>1459</v>
      </c>
      <c r="C26" s="2841">
        <f ca="1">ROUND(IF('数据-取费表'!B22&lt;=1,F22*F23*'数据-取费表'!B23/2,F22*(POWER((1+F23),'数据-取费表'!B23/2)-1)),4)</f>
        <v>2.9999999999999997E-4</v>
      </c>
      <c r="D26" s="138"/>
      <c r="E26" s="141"/>
      <c r="F26" s="2845"/>
      <c r="G26" s="143"/>
    </row>
    <row r="27" spans="1:7" s="2850" customFormat="1" ht="15">
      <c r="A27" s="2828" t="s">
        <v>3357</v>
      </c>
      <c r="B27" s="2892" t="s">
        <v>3307</v>
      </c>
      <c r="C27" s="2857" t="str">
        <f ca="1">C28&amp;"+"&amp;C29&amp;"V"</f>
        <v>7818+0.002V</v>
      </c>
      <c r="D27" s="2855"/>
      <c r="E27" s="303"/>
      <c r="F27" s="2858">
        <f ca="1">IF(B1="",'数据-取费表'!Q16,INDIRECT("'数据-取费表'!q"&amp;$G$1))</f>
        <v>0.2</v>
      </c>
      <c r="G27" s="2853" t="s">
        <v>3358</v>
      </c>
    </row>
    <row r="28" spans="1:7" s="114" customFormat="1">
      <c r="A28" s="2893" t="s">
        <v>344</v>
      </c>
      <c r="B28" s="2898" t="s">
        <v>1464</v>
      </c>
      <c r="C28" s="2822">
        <f ca="1">ROUND(C6*F27*'数据-取费表'!B23/'数据-取费表'!B22+(C9+C21)*F27,0)</f>
        <v>7818</v>
      </c>
      <c r="D28" s="135"/>
      <c r="E28" s="136"/>
      <c r="F28" s="2846"/>
      <c r="G28" s="3419" t="s">
        <v>3499</v>
      </c>
    </row>
    <row r="29" spans="1:7" s="114" customFormat="1">
      <c r="A29" s="2893" t="s">
        <v>345</v>
      </c>
      <c r="B29" s="2898" t="s">
        <v>1465</v>
      </c>
      <c r="C29" s="2841">
        <f ca="1">ROUND(F22*F27,4)</f>
        <v>2E-3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26</v>
      </c>
      <c r="D31" s="2832"/>
      <c r="E31" s="2832"/>
      <c r="F31" s="2847">
        <f>IF('数据-取费表'!B24=0,'数据-取费表'!N16,1)</f>
        <v>0.77</v>
      </c>
      <c r="G31" s="2833" t="s">
        <v>3839</v>
      </c>
    </row>
    <row r="32" spans="1:7" s="114" customFormat="1" ht="15.75">
      <c r="A32" s="2820" t="s">
        <v>3310</v>
      </c>
      <c r="B32" s="2819" t="s">
        <v>3311</v>
      </c>
      <c r="C32" s="2842">
        <f ca="1">C5-C31</f>
        <v>48705</v>
      </c>
      <c r="D32" s="2832"/>
      <c r="E32" s="2832"/>
      <c r="F32" s="2831"/>
      <c r="G32" s="2834" t="s">
        <v>3344</v>
      </c>
    </row>
    <row r="33" spans="1:7" s="114" customFormat="1" ht="16.5" thickBot="1">
      <c r="A33" s="2903">
        <v>4</v>
      </c>
      <c r="B33" s="2904" t="s">
        <v>3345</v>
      </c>
      <c r="C33" s="2843">
        <f ca="1">ROUND(C32*(1+F33),0)</f>
        <v>53088</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90</v>
      </c>
      <c r="D40" s="3121"/>
      <c r="E40" s="3121"/>
      <c r="F40" s="3121"/>
      <c r="G40" s="3121"/>
    </row>
    <row r="41" spans="1:7" ht="15.75">
      <c r="A41" s="2885" t="s">
        <v>3314</v>
      </c>
      <c r="B41" s="2952" t="str">
        <f t="shared" ref="B41:C43" si="0">B10</f>
        <v xml:space="preserve">  建安费用</v>
      </c>
      <c r="C41" s="2817">
        <f t="shared" ca="1" si="0"/>
        <v>78</v>
      </c>
      <c r="D41" s="2812"/>
      <c r="E41" s="2812"/>
      <c r="F41" s="2813"/>
      <c r="G41" s="2813"/>
    </row>
    <row r="42" spans="1:7" ht="15.75">
      <c r="A42" s="2885" t="s">
        <v>3315</v>
      </c>
      <c r="B42" s="2952" t="str">
        <f t="shared" si="0"/>
        <v xml:space="preserve">  前期费用</v>
      </c>
      <c r="C42" s="2817">
        <f t="shared" ca="1" si="0"/>
        <v>5</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7</v>
      </c>
      <c r="D44" s="2812"/>
      <c r="E44" s="2812"/>
      <c r="F44" s="2813"/>
      <c r="G44" s="2813"/>
    </row>
    <row r="45" spans="1:7" ht="15.75">
      <c r="A45" s="2900" t="s">
        <v>3316</v>
      </c>
      <c r="B45" s="2895" t="str">
        <f>B19</f>
        <v xml:space="preserve">  其他工程费</v>
      </c>
      <c r="C45" s="2822">
        <f ca="1">C19</f>
        <v>0</v>
      </c>
      <c r="D45" s="2950"/>
      <c r="E45" s="2950"/>
      <c r="F45" s="2951"/>
      <c r="G45" s="2951"/>
    </row>
    <row r="46" spans="1:7" ht="15.75">
      <c r="A46" s="2900" t="s">
        <v>3382</v>
      </c>
      <c r="B46" s="2895" t="s">
        <v>3317</v>
      </c>
      <c r="C46" s="2822">
        <f ca="1">C20</f>
        <v>0</v>
      </c>
      <c r="D46" s="2950"/>
      <c r="E46" s="2950"/>
      <c r="F46" s="2951"/>
      <c r="G46" s="2951"/>
    </row>
    <row r="47" spans="1:7" ht="15">
      <c r="A47" s="2953" t="s">
        <v>3473</v>
      </c>
      <c r="B47" s="2954" t="s">
        <v>3474</v>
      </c>
      <c r="C47" s="2955">
        <f ca="1">ROUND(C40*F47,0)</f>
        <v>2</v>
      </c>
      <c r="D47" s="2956"/>
      <c r="E47" s="2956"/>
      <c r="F47" s="2957">
        <f>F21</f>
        <v>0.02</v>
      </c>
      <c r="G47" s="2958" t="s">
        <v>3475</v>
      </c>
    </row>
    <row r="48" spans="1:7"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3+0.0003V建1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3</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18+0.002V建1</v>
      </c>
      <c r="D52" s="2964"/>
      <c r="E52" s="2956"/>
      <c r="F52" s="2965">
        <f ca="1">F27</f>
        <v>0.2</v>
      </c>
      <c r="G52" s="2966" t="s">
        <v>3481</v>
      </c>
    </row>
    <row r="53" spans="1:7">
      <c r="A53" s="2885" t="s">
        <v>3318</v>
      </c>
      <c r="B53" s="2888" t="s">
        <v>3322</v>
      </c>
      <c r="C53" s="2817">
        <f ca="1">ROUND((C40+C47)*F27,0)</f>
        <v>18</v>
      </c>
      <c r="D53" s="2818"/>
      <c r="E53" s="2814"/>
      <c r="F53" s="2815"/>
      <c r="G53" s="2816"/>
    </row>
    <row r="54" spans="1:7">
      <c r="A54" s="2885" t="s">
        <v>3319</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114</v>
      </c>
      <c r="D56" s="303"/>
      <c r="E56" s="303"/>
      <c r="F56" s="2970"/>
      <c r="G56" s="2969" t="s">
        <v>3327</v>
      </c>
    </row>
    <row r="57" spans="1:7" ht="15">
      <c r="A57" s="2828" t="s">
        <v>3449</v>
      </c>
      <c r="B57" s="2971" t="s">
        <v>3324</v>
      </c>
      <c r="C57" s="2851">
        <f ca="1">ROUND(C56*(1-F57),0)</f>
        <v>26</v>
      </c>
      <c r="D57" s="303"/>
      <c r="E57" s="303"/>
      <c r="F57" s="2970">
        <f>F31</f>
        <v>0.77</v>
      </c>
      <c r="G57" s="2969" t="s">
        <v>3328</v>
      </c>
    </row>
    <row r="58" spans="1:7" ht="16.5">
      <c r="A58" s="2828" t="s">
        <v>3485</v>
      </c>
      <c r="B58" s="2967" t="s">
        <v>3486</v>
      </c>
      <c r="C58" s="2851">
        <f ca="1">C56-C57</f>
        <v>88</v>
      </c>
      <c r="D58" s="303"/>
      <c r="E58" s="303"/>
      <c r="F58" s="2970"/>
      <c r="G58" s="2969" t="s">
        <v>3329</v>
      </c>
    </row>
    <row r="59" spans="1:7" ht="15">
      <c r="A59" s="2972" t="s">
        <v>3384</v>
      </c>
      <c r="B59" s="2973" t="s">
        <v>3325</v>
      </c>
      <c r="C59" s="2974">
        <f ca="1">ROUND(C58*(1+F59),0)</f>
        <v>96</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6" t="str">
        <f>项目基本情况!B1</f>
        <v>北京市房地产抵押价值预评估</v>
      </c>
      <c r="C37" s="4566"/>
      <c r="D37" s="4566"/>
      <c r="E37" s="4566"/>
      <c r="F37" s="4566"/>
      <c r="G37" s="4566"/>
      <c r="H37" s="4566"/>
      <c r="I37" s="4566"/>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H19" sqref="H19:H2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t="s">
        <v>3940</v>
      </c>
      <c r="D1" s="1478" t="s">
        <v>1505</v>
      </c>
      <c r="E1" s="98"/>
      <c r="F1" s="98"/>
      <c r="G1" s="830">
        <f>MATCH(B1,'数据-取费表'!A6:A16,0)+5</f>
        <v>7</v>
      </c>
      <c r="H1" s="3400" t="str">
        <f>IF(ISERROR(FIND("住宅",B1)),"非住宅","住宅")</f>
        <v>非住宅</v>
      </c>
    </row>
    <row r="2" spans="1:10" s="100" customFormat="1" ht="15.75">
      <c r="A2" s="101" t="s">
        <v>1434</v>
      </c>
      <c r="B2" s="4159">
        <f ca="1">ROUND(D3/10000,4)</f>
        <v>252.62739999999999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13216</v>
      </c>
      <c r="C3" s="99" t="s">
        <v>1437</v>
      </c>
      <c r="D3" s="99">
        <f ca="1">IF(C1="含税",E2+C33,E2+C32)</f>
        <v>2526274</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2583059</v>
      </c>
      <c r="D5" s="2864"/>
      <c r="E5" s="2864"/>
      <c r="F5" s="2864"/>
      <c r="G5" s="3029" t="s">
        <v>3489</v>
      </c>
      <c r="J5" s="100"/>
    </row>
    <row r="6" spans="1:10" s="2850" customFormat="1" ht="15">
      <c r="A6" s="2828" t="s">
        <v>3349</v>
      </c>
      <c r="B6" s="2890" t="s">
        <v>3350</v>
      </c>
      <c r="C6" s="2865">
        <f>C7+C8</f>
        <v>1058571.1000000001</v>
      </c>
      <c r="D6" s="2827"/>
      <c r="E6" s="2827"/>
      <c r="F6" s="2827"/>
      <c r="G6" s="2866"/>
      <c r="J6" s="100"/>
    </row>
    <row r="7" spans="1:10" s="114" customFormat="1" ht="15">
      <c r="A7" s="2867" t="s">
        <v>344</v>
      </c>
      <c r="B7" s="2891" t="s">
        <v>1445</v>
      </c>
      <c r="C7" s="3401">
        <f>基准地价修正!C33*基准地价修正!D33</f>
        <v>1027240.1</v>
      </c>
      <c r="D7" s="2868"/>
      <c r="E7" s="2869"/>
      <c r="F7" s="2869"/>
      <c r="G7" s="161"/>
      <c r="J7" s="100"/>
    </row>
    <row r="8" spans="1:10" s="114" customFormat="1" ht="15">
      <c r="A8" s="2867" t="s">
        <v>345</v>
      </c>
      <c r="B8" s="2891" t="s">
        <v>1447</v>
      </c>
      <c r="C8" s="2838">
        <f>ROUND(C7*F8,0)</f>
        <v>31331</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945620</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783715</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47023</v>
      </c>
      <c r="D11" s="149"/>
      <c r="E11" s="149"/>
      <c r="F11" s="2849">
        <f>'数据-取费表'!B33</f>
        <v>0.06</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107044</v>
      </c>
      <c r="D13" s="149"/>
      <c r="E13" s="2869"/>
      <c r="F13" s="2870"/>
      <c r="G13" s="161"/>
      <c r="J13" s="100"/>
    </row>
    <row r="14" spans="1:10" s="123" customFormat="1" ht="15">
      <c r="A14" s="2821" t="s">
        <v>3298</v>
      </c>
      <c r="B14" s="2895" t="s">
        <v>3331</v>
      </c>
      <c r="C14" s="2838">
        <f>IF(G14="已包含在土地购买价格中","0",IF(B1="",'数据-取费表'!B29,IF(G15="全部缴纳",C15+C16,H15)))</f>
        <v>38230</v>
      </c>
      <c r="D14" s="2877"/>
      <c r="E14" s="149"/>
      <c r="F14" s="2870"/>
      <c r="G14" s="1475" t="s">
        <v>3935</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3936</v>
      </c>
      <c r="H15" s="838"/>
      <c r="I15" s="1477" t="s">
        <v>1451</v>
      </c>
      <c r="J15" s="100"/>
    </row>
    <row r="16" spans="1:10" s="114" customFormat="1" ht="15">
      <c r="A16" s="2896" t="s">
        <v>354</v>
      </c>
      <c r="B16" s="2897" t="s">
        <v>1452</v>
      </c>
      <c r="C16" s="2878">
        <f ca="1">ROUND(D16*E16,0)</f>
        <v>38230</v>
      </c>
      <c r="D16" s="2878">
        <f ca="1">IF(B1="",'数据-汇总表'!E6,IF(INDIRECT("'数据-取费表'!c"&amp;$G$1)="住宅",INDIRECT("'数据-取费表'!s"&amp;$G$1),INDIRECT("'数据-取费表'!k"&amp;$G$1)+INDIRECT("'数据-取费表'!s"&amp;$G$1)))</f>
        <v>191.15</v>
      </c>
      <c r="E16" s="2878">
        <f>'数据-取费表'!B28</f>
        <v>200</v>
      </c>
      <c r="F16" s="2870"/>
      <c r="G16" s="126"/>
      <c r="J16" s="100"/>
    </row>
    <row r="17" spans="1:10" s="114" customFormat="1" ht="15">
      <c r="A17" s="2821" t="s">
        <v>3299</v>
      </c>
      <c r="B17" s="2898" t="s">
        <v>3304</v>
      </c>
      <c r="C17" s="2838" t="str">
        <f>IF(G17="已包含在土地取得成本中","0",ROUND(D17*E17,0))</f>
        <v>0</v>
      </c>
      <c r="D17" s="2879">
        <f ca="1">D15+D16</f>
        <v>191.15</v>
      </c>
      <c r="E17" s="2879">
        <f>'数据-取费表'!B31</f>
        <v>200</v>
      </c>
      <c r="F17" s="2846"/>
      <c r="G17" s="1475" t="s">
        <v>3939</v>
      </c>
      <c r="J17" s="100"/>
    </row>
    <row r="18" spans="1:10" s="114" customFormat="1" ht="15">
      <c r="A18" s="2899" t="s">
        <v>3300</v>
      </c>
      <c r="B18" s="2898" t="s">
        <v>1477</v>
      </c>
      <c r="C18" s="2838">
        <f ca="1">ROUND(E18*D18*F10,0)</f>
        <v>68814</v>
      </c>
      <c r="D18" s="2838">
        <f ca="1">D17</f>
        <v>191.15</v>
      </c>
      <c r="E18" s="2838">
        <f>'数据-取费表'!B35</f>
        <v>360</v>
      </c>
      <c r="F18" s="2849"/>
      <c r="G18" s="161" t="s">
        <v>1478</v>
      </c>
      <c r="J18" s="100"/>
    </row>
    <row r="19" spans="1:10" s="114" customFormat="1" ht="15">
      <c r="A19" s="2893" t="s">
        <v>352</v>
      </c>
      <c r="B19" s="2894" t="s">
        <v>3336</v>
      </c>
      <c r="C19" s="2838">
        <f ca="1">ROUND(C10*F19,0)</f>
        <v>3919</v>
      </c>
      <c r="D19" s="149"/>
      <c r="E19" s="149"/>
      <c r="F19" s="2849">
        <f>'数据-取费表'!B36</f>
        <v>5.0000000000000001E-3</v>
      </c>
      <c r="G19" s="161" t="s">
        <v>1474</v>
      </c>
      <c r="H19" s="114">
        <f ca="1">C19/D17</f>
        <v>20.502223384776354</v>
      </c>
      <c r="J19" s="100"/>
    </row>
    <row r="20" spans="1:10" s="114" customFormat="1" ht="15">
      <c r="A20" s="2893" t="s">
        <v>3301</v>
      </c>
      <c r="B20" s="2894" t="s">
        <v>3337</v>
      </c>
      <c r="C20" s="2838">
        <f ca="1">ROUND(C10*F20,0)</f>
        <v>3919</v>
      </c>
      <c r="D20" s="2880"/>
      <c r="E20" s="145"/>
      <c r="F20" s="2849">
        <f>'数据-取费表'!B37</f>
        <v>5.0000000000000001E-3</v>
      </c>
      <c r="G20" s="161" t="s">
        <v>1474</v>
      </c>
      <c r="H20" s="114">
        <f ca="1">C20/D18</f>
        <v>20.502223384776354</v>
      </c>
      <c r="J20" s="100"/>
    </row>
    <row r="21" spans="1:10" s="2850" customFormat="1" ht="15">
      <c r="A21" s="2828" t="s">
        <v>3351</v>
      </c>
      <c r="B21" s="2890" t="s">
        <v>3352</v>
      </c>
      <c r="C21" s="2851">
        <f ca="1">ROUND((C6+C9)*F21,0)</f>
        <v>40084</v>
      </c>
      <c r="D21" s="2852"/>
      <c r="E21" s="2852"/>
      <c r="F21" s="2856">
        <f>'数据-取费表'!B38</f>
        <v>0.02</v>
      </c>
      <c r="G21" s="2853" t="s">
        <v>3353</v>
      </c>
      <c r="J21" s="100"/>
    </row>
    <row r="22" spans="1:10" s="2850" customFormat="1" ht="15">
      <c r="A22" s="2828" t="s">
        <v>3354</v>
      </c>
      <c r="B22" s="2890" t="s">
        <v>3355</v>
      </c>
      <c r="C22" s="2854" t="str">
        <f>F22&amp;"V"</f>
        <v>0.01V</v>
      </c>
      <c r="D22" s="303"/>
      <c r="E22" s="2852"/>
      <c r="F22" s="2856">
        <f>'数据-取费表'!B39</f>
        <v>0.01</v>
      </c>
      <c r="G22" s="3979" t="s">
        <v>3700</v>
      </c>
      <c r="J22" s="100"/>
    </row>
    <row r="23" spans="1:10" s="2850" customFormat="1" ht="15">
      <c r="A23" s="2828" t="s">
        <v>3356</v>
      </c>
      <c r="B23" s="2892" t="s">
        <v>3305</v>
      </c>
      <c r="C23" s="2829" t="str">
        <f ca="1">SUM(C24:C25)&amp;"+"&amp;C26&amp;"V"</f>
        <v>98157+0.0003V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67304</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30853</v>
      </c>
      <c r="D25" s="138"/>
      <c r="E25" s="138"/>
      <c r="F25" s="2845"/>
      <c r="G25" s="4468" t="s">
        <v>3838</v>
      </c>
      <c r="J25" s="100"/>
    </row>
    <row r="26" spans="1:10" s="114" customFormat="1" ht="15">
      <c r="A26" s="2900" t="s">
        <v>348</v>
      </c>
      <c r="B26" s="2898" t="s">
        <v>1459</v>
      </c>
      <c r="C26" s="2841">
        <f ca="1">ROUND(IF('数据-取费表'!B22&lt;=1,F22*F23*'数据-取费表'!B23/2,F22*(POWER((1+F23),'数据-取费表'!B23/2)-1)),4)</f>
        <v>2.9999999999999997E-4</v>
      </c>
      <c r="D26" s="138"/>
      <c r="E26" s="141"/>
      <c r="F26" s="2845"/>
      <c r="G26" s="143"/>
      <c r="J26" s="100"/>
    </row>
    <row r="27" spans="1:10" s="2850" customFormat="1" ht="15">
      <c r="A27" s="2828" t="s">
        <v>3357</v>
      </c>
      <c r="B27" s="2892" t="s">
        <v>3307</v>
      </c>
      <c r="C27" s="2857" t="str">
        <f ca="1">C28&amp;"+"&amp;C29&amp;"V"</f>
        <v>408855+0.002V</v>
      </c>
      <c r="D27" s="2855"/>
      <c r="E27" s="303"/>
      <c r="F27" s="2858">
        <f ca="1">IF(B1="",'数据-取费表'!Q16,INDIRECT("'数据-取费表'!q"&amp;$G$1))</f>
        <v>0.2</v>
      </c>
      <c r="G27" s="2853" t="s">
        <v>3358</v>
      </c>
      <c r="J27" s="100"/>
    </row>
    <row r="28" spans="1:10" s="114" customFormat="1" ht="15">
      <c r="A28" s="2893" t="s">
        <v>344</v>
      </c>
      <c r="B28" s="2898" t="s">
        <v>1464</v>
      </c>
      <c r="C28" s="2822">
        <f ca="1">ROUND(C6*F27*'数据-取费表'!B23/'数据-取费表'!B22+(C9+C21)*F27,0)</f>
        <v>408855</v>
      </c>
      <c r="D28" s="135"/>
      <c r="E28" s="136"/>
      <c r="F28" s="2846"/>
      <c r="G28" s="147"/>
      <c r="J28" s="100"/>
    </row>
    <row r="29" spans="1:10" s="114" customFormat="1" ht="15">
      <c r="A29" s="2893" t="s">
        <v>345</v>
      </c>
      <c r="B29" s="2898" t="s">
        <v>1465</v>
      </c>
      <c r="C29" s="2841">
        <f ca="1">ROUND(F22*F27,4)</f>
        <v>2E-3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265376</v>
      </c>
      <c r="D31" s="2832"/>
      <c r="E31" s="2832"/>
      <c r="F31" s="2847">
        <f>IF('数据-取费表'!B24=0,'数据-取费表'!N16,1)</f>
        <v>0.77</v>
      </c>
      <c r="G31" s="2833" t="s">
        <v>3837</v>
      </c>
      <c r="J31" s="100"/>
    </row>
    <row r="32" spans="1:10" s="114" customFormat="1" ht="15.75">
      <c r="A32" s="2820" t="s">
        <v>3310</v>
      </c>
      <c r="B32" s="2819" t="s">
        <v>3311</v>
      </c>
      <c r="C32" s="2842">
        <f ca="1">C5-C31</f>
        <v>2317683</v>
      </c>
      <c r="D32" s="2832"/>
      <c r="E32" s="2832"/>
      <c r="F32" s="2831"/>
      <c r="G32" s="2834" t="s">
        <v>3344</v>
      </c>
      <c r="J32" s="100"/>
    </row>
    <row r="33" spans="1:10" s="114" customFormat="1" ht="16.5" thickBot="1">
      <c r="A33" s="2903">
        <v>4</v>
      </c>
      <c r="B33" s="2904" t="s">
        <v>3345</v>
      </c>
      <c r="C33" s="2843">
        <f ca="1">ROUND(C32*(1+F33),0)</f>
        <v>2526274</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907390</v>
      </c>
      <c r="D40" s="3121"/>
      <c r="E40" s="3121"/>
      <c r="F40" s="3121"/>
      <c r="G40" s="3121"/>
    </row>
    <row r="41" spans="1:10" ht="15.75">
      <c r="A41" s="2885" t="s">
        <v>3314</v>
      </c>
      <c r="B41" s="2952" t="str">
        <f t="shared" ref="B41:C43" si="0">B10</f>
        <v xml:space="preserve">  建安费用</v>
      </c>
      <c r="C41" s="2817">
        <f t="shared" ca="1" si="0"/>
        <v>783715</v>
      </c>
      <c r="D41" s="2812"/>
      <c r="E41" s="2812"/>
      <c r="F41" s="2813"/>
      <c r="G41" s="2813"/>
    </row>
    <row r="42" spans="1:10" ht="15.75">
      <c r="A42" s="2885" t="s">
        <v>3315</v>
      </c>
      <c r="B42" s="2952" t="str">
        <f t="shared" si="0"/>
        <v xml:space="preserve">  前期费用</v>
      </c>
      <c r="C42" s="2817">
        <f t="shared" ca="1" si="0"/>
        <v>47023</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68814</v>
      </c>
      <c r="D44" s="2812"/>
      <c r="E44" s="2812"/>
      <c r="F44" s="2813"/>
      <c r="G44" s="2813"/>
    </row>
    <row r="45" spans="1:10" ht="15.75">
      <c r="A45" s="2900" t="s">
        <v>3316</v>
      </c>
      <c r="B45" s="2895" t="str">
        <f>B19</f>
        <v xml:space="preserve">  其他工程费</v>
      </c>
      <c r="C45" s="2822">
        <f ca="1">C19</f>
        <v>3919</v>
      </c>
      <c r="D45" s="2950"/>
      <c r="E45" s="2950"/>
      <c r="F45" s="2951"/>
      <c r="G45" s="2951"/>
    </row>
    <row r="46" spans="1:10" ht="15.75">
      <c r="A46" s="2900" t="s">
        <v>3382</v>
      </c>
      <c r="B46" s="2895" t="s">
        <v>3317</v>
      </c>
      <c r="C46" s="2822">
        <f ca="1">C20</f>
        <v>3919</v>
      </c>
      <c r="D46" s="2950"/>
      <c r="E46" s="2950"/>
      <c r="F46" s="2951"/>
      <c r="G46" s="2951"/>
    </row>
    <row r="47" spans="1:10" ht="15">
      <c r="A47" s="2953" t="s">
        <v>3473</v>
      </c>
      <c r="B47" s="2954" t="s">
        <v>3474</v>
      </c>
      <c r="C47" s="2955">
        <f ca="1">ROUND(C40*F47,0)</f>
        <v>18148</v>
      </c>
      <c r="D47" s="2956"/>
      <c r="E47" s="2956"/>
      <c r="F47" s="2957">
        <f>F21</f>
        <v>0.02</v>
      </c>
      <c r="G47" s="2958" t="s">
        <v>3475</v>
      </c>
    </row>
    <row r="48" spans="1:10"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28969+0.0003V建1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28969</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185108+0.002V建1</v>
      </c>
      <c r="D52" s="2964"/>
      <c r="E52" s="2956"/>
      <c r="F52" s="2965">
        <f ca="1">F27</f>
        <v>0.2</v>
      </c>
      <c r="G52" s="2966" t="s">
        <v>3481</v>
      </c>
    </row>
    <row r="53" spans="1:7">
      <c r="A53" s="2885" t="s">
        <v>3314</v>
      </c>
      <c r="B53" s="2888" t="s">
        <v>3322</v>
      </c>
      <c r="C53" s="2817">
        <f ca="1">ROUND((C40+C47)*F27,0)</f>
        <v>185108</v>
      </c>
      <c r="D53" s="2818"/>
      <c r="E53" s="2814"/>
      <c r="F53" s="2815"/>
      <c r="G53" s="2816"/>
    </row>
    <row r="54" spans="1:7">
      <c r="A54" s="2885" t="s">
        <v>3315</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1153807</v>
      </c>
      <c r="D56" s="303"/>
      <c r="E56" s="303"/>
      <c r="F56" s="2970"/>
      <c r="G56" s="2969" t="s">
        <v>3327</v>
      </c>
    </row>
    <row r="57" spans="1:7" ht="15">
      <c r="A57" s="2828" t="s">
        <v>3449</v>
      </c>
      <c r="B57" s="2971" t="s">
        <v>3309</v>
      </c>
      <c r="C57" s="2851">
        <f ca="1">ROUND(C56*(1-F57),0)</f>
        <v>265376</v>
      </c>
      <c r="D57" s="303"/>
      <c r="E57" s="303"/>
      <c r="F57" s="2970">
        <f>F31</f>
        <v>0.77</v>
      </c>
      <c r="G57" s="2969" t="s">
        <v>3328</v>
      </c>
    </row>
    <row r="58" spans="1:7" ht="16.5">
      <c r="A58" s="2828" t="s">
        <v>3485</v>
      </c>
      <c r="B58" s="2967" t="s">
        <v>3486</v>
      </c>
      <c r="C58" s="2851">
        <f ca="1">C56-C57</f>
        <v>888431</v>
      </c>
      <c r="D58" s="303"/>
      <c r="E58" s="303"/>
      <c r="F58" s="2970"/>
      <c r="G58" s="2969" t="s">
        <v>3329</v>
      </c>
    </row>
    <row r="59" spans="1:7" ht="15">
      <c r="A59" s="2972" t="s">
        <v>3384</v>
      </c>
      <c r="B59" s="2973" t="s">
        <v>3325</v>
      </c>
      <c r="C59" s="2974">
        <f ca="1">ROUND(C58*(1+F59),0)</f>
        <v>968390</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0.61699999999999999</v>
      </c>
    </row>
    <row r="64" spans="1:7" ht="21" customHeight="1">
      <c r="B64" s="3139" t="s">
        <v>789</v>
      </c>
      <c r="C64" s="2883">
        <f ca="1">ROUND(C58/C32,3)</f>
        <v>0.38300000000000001</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2790.8701000000001</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146004</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20668840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38230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38230</v>
      </c>
      <c r="D10" s="598">
        <f ca="1">IF(B1="",'数据-汇总表'!E6,IF(INDIRECT("'数据-取费表'!c"&amp;$G$1)="住宅",INDIRECT("'数据-取费表'!s"&amp;$G$1),INDIRECT("'数据-取费表'!k"&amp;$G$1)+INDIRECT("'数据-取费表'!s"&amp;$G$1)))</f>
        <v>191.15</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38230</v>
      </c>
      <c r="D19" s="602">
        <f ca="1">D9+D10</f>
        <v>191.15</v>
      </c>
      <c r="E19" s="111">
        <f>'数据-取费表'!B31</f>
        <v>200</v>
      </c>
      <c r="F19" s="131"/>
      <c r="G19" s="1475"/>
    </row>
    <row r="20" spans="1:7" s="114" customFormat="1" ht="13.5" customHeight="1">
      <c r="A20" s="155" t="s">
        <v>1516</v>
      </c>
      <c r="B20" s="110" t="s">
        <v>1517</v>
      </c>
      <c r="C20" s="132">
        <f ca="1">ROUND((C5+C19)*F20,0)</f>
        <v>414141</v>
      </c>
      <c r="D20" s="132"/>
      <c r="E20" s="132"/>
      <c r="F20" s="133">
        <f>'数据-取费表'!B38</f>
        <v>0.02</v>
      </c>
      <c r="G20" s="134" t="s">
        <v>1518</v>
      </c>
    </row>
    <row r="21" spans="1:7" s="114" customFormat="1" ht="13.5" customHeight="1">
      <c r="A21" s="155" t="s">
        <v>1519</v>
      </c>
      <c r="B21" s="110" t="s">
        <v>1520</v>
      </c>
      <c r="C21" s="135">
        <f>F21</f>
        <v>0.01</v>
      </c>
      <c r="D21" s="136" t="s">
        <v>1521</v>
      </c>
      <c r="E21" s="132"/>
      <c r="F21" s="133">
        <f>'数据-取费表'!B39</f>
        <v>0.01</v>
      </c>
      <c r="G21" s="134" t="s">
        <v>1522</v>
      </c>
    </row>
    <row r="22" spans="1:7" s="114" customFormat="1" ht="13.5" customHeight="1">
      <c r="A22" s="155" t="s">
        <v>1523</v>
      </c>
      <c r="B22" s="110" t="s">
        <v>1524</v>
      </c>
      <c r="C22" s="831">
        <f ca="1">ROUND(SUM(C23:C25),0)</f>
        <v>1329512</v>
      </c>
      <c r="D22" s="135">
        <f ca="1">C26</f>
        <v>2.9999999999999997E-4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1314118</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2431</v>
      </c>
      <c r="D24" s="138"/>
      <c r="E24" s="138"/>
      <c r="F24" s="139"/>
      <c r="G24" s="140" t="s">
        <v>1528</v>
      </c>
    </row>
    <row r="25" spans="1:7" s="114" customFormat="1" ht="24">
      <c r="A25" s="570" t="s">
        <v>1448</v>
      </c>
      <c r="B25" s="115" t="s">
        <v>1529</v>
      </c>
      <c r="C25" s="832">
        <f ca="1">ROUND(IF('数据-取费表'!B22&lt;=1,C20*F22*'数据-取费表'!B22/2,C20*(POWER((1+F22),'数据-取费表'!B22/2)-1)),0)</f>
        <v>12963</v>
      </c>
      <c r="D25" s="138"/>
      <c r="E25" s="141"/>
      <c r="F25" s="139"/>
      <c r="G25" s="142" t="s">
        <v>1530</v>
      </c>
    </row>
    <row r="26" spans="1:7" s="114" customFormat="1">
      <c r="A26" s="570" t="s">
        <v>348</v>
      </c>
      <c r="B26" s="115" t="s">
        <v>1459</v>
      </c>
      <c r="C26" s="138">
        <f ca="1">ROUND(IF('数据-取费表'!B22&lt;=1,F21*F22*'数据-取费表'!B22/2,F21*(POWER((1+F22),'数据-取费表'!B22/2)-1)),4)</f>
        <v>2.9999999999999997E-4</v>
      </c>
      <c r="D26" s="138"/>
      <c r="E26" s="141"/>
      <c r="F26" s="139"/>
      <c r="G26" s="143"/>
    </row>
    <row r="27" spans="1:7" s="114" customFormat="1" ht="24.75">
      <c r="A27" s="155" t="s">
        <v>1460</v>
      </c>
      <c r="B27" s="144" t="s">
        <v>1461</v>
      </c>
      <c r="C27" s="145">
        <f ca="1">C28</f>
        <v>4224242</v>
      </c>
      <c r="D27" s="135">
        <f ca="1">C29</f>
        <v>2E-3</v>
      </c>
      <c r="E27" s="136" t="s">
        <v>1462</v>
      </c>
      <c r="F27" s="146">
        <f ca="1">IF(B1="",'数据-取费表'!Q16,INDIRECT("'数据-取费表'!q"&amp;$G$1))</f>
        <v>0.2</v>
      </c>
      <c r="G27" s="147" t="s">
        <v>1463</v>
      </c>
    </row>
    <row r="28" spans="1:7" s="114" customFormat="1" ht="13.5" customHeight="1">
      <c r="A28" s="570" t="s">
        <v>344</v>
      </c>
      <c r="B28" s="148" t="s">
        <v>1464</v>
      </c>
      <c r="C28" s="149">
        <f ca="1">ROUND((C5+C19+C20)*F27,0)</f>
        <v>4224242</v>
      </c>
      <c r="D28" s="135"/>
      <c r="E28" s="136"/>
      <c r="F28" s="146"/>
      <c r="G28" s="147"/>
    </row>
    <row r="29" spans="1:7" s="114" customFormat="1" ht="13.5" customHeight="1">
      <c r="A29" s="570" t="s">
        <v>345</v>
      </c>
      <c r="B29" s="148" t="s">
        <v>1465</v>
      </c>
      <c r="C29" s="138">
        <f ca="1">ROUND(C21*F27,4)</f>
        <v>2E-3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27023569</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903471</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783715</v>
      </c>
      <c r="D34" s="117"/>
      <c r="E34" s="120"/>
      <c r="F34" s="157"/>
      <c r="G34" s="119"/>
    </row>
    <row r="35" spans="1:7" ht="13.5" customHeight="1">
      <c r="A35" s="570" t="s">
        <v>349</v>
      </c>
      <c r="B35" s="115" t="s">
        <v>1473</v>
      </c>
      <c r="C35" s="120">
        <f ca="1">ROUND(C34*F35,0)</f>
        <v>47023</v>
      </c>
      <c r="D35" s="120"/>
      <c r="E35" s="120"/>
      <c r="F35" s="159">
        <f>'数据-取费表'!B33</f>
        <v>0.06</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68814</v>
      </c>
      <c r="D37" s="117">
        <f ca="1">D19</f>
        <v>191.15</v>
      </c>
      <c r="E37" s="149">
        <f>'数据-取费表'!B35</f>
        <v>360</v>
      </c>
      <c r="F37" s="159"/>
      <c r="G37" s="161"/>
    </row>
    <row r="38" spans="1:7" ht="13.5" customHeight="1">
      <c r="A38" s="570" t="s">
        <v>352</v>
      </c>
      <c r="B38" s="115" t="s">
        <v>1479</v>
      </c>
      <c r="C38" s="120">
        <f ca="1">ROUND(C34*F38,0)</f>
        <v>3919</v>
      </c>
      <c r="D38" s="120"/>
      <c r="E38" s="120"/>
      <c r="F38" s="159">
        <f>'数据-取费表'!B36</f>
        <v>5.0000000000000001E-3</v>
      </c>
      <c r="G38" s="119" t="s">
        <v>1474</v>
      </c>
    </row>
    <row r="39" spans="1:7" s="114" customFormat="1" ht="13.5" customHeight="1">
      <c r="A39" s="155" t="s">
        <v>1480</v>
      </c>
      <c r="B39" s="110" t="s">
        <v>1481</v>
      </c>
      <c r="C39" s="132">
        <f ca="1">ROUND(C33*F20,0)</f>
        <v>18069</v>
      </c>
      <c r="D39" s="132"/>
      <c r="E39" s="132"/>
      <c r="F39" s="133">
        <f>F20</f>
        <v>0.02</v>
      </c>
      <c r="G39" s="134" t="s">
        <v>1482</v>
      </c>
    </row>
    <row r="40" spans="1:7" s="114" customFormat="1" ht="13.5" customHeight="1">
      <c r="A40" s="155" t="s">
        <v>1483</v>
      </c>
      <c r="B40" s="110" t="s">
        <v>1484</v>
      </c>
      <c r="C40" s="976">
        <f>F21</f>
        <v>0.01</v>
      </c>
      <c r="D40" s="136" t="s">
        <v>1485</v>
      </c>
      <c r="E40" s="132"/>
      <c r="F40" s="133">
        <f>F21</f>
        <v>0.01</v>
      </c>
      <c r="G40" s="134" t="s">
        <v>1486</v>
      </c>
    </row>
    <row r="41" spans="1:7" s="114" customFormat="1" ht="13.5" customHeight="1">
      <c r="A41" s="155" t="s">
        <v>1487</v>
      </c>
      <c r="B41" s="110" t="s">
        <v>1488</v>
      </c>
      <c r="C41" s="132">
        <f ca="1">ROUND(SUM(C42:C43),0)</f>
        <v>28845</v>
      </c>
      <c r="D41" s="135">
        <f ca="1">C44</f>
        <v>2.9999999999999997E-4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28279</v>
      </c>
      <c r="D42" s="138"/>
      <c r="E42" s="138"/>
      <c r="F42" s="139"/>
      <c r="G42" s="4777" t="s">
        <v>1533</v>
      </c>
    </row>
    <row r="43" spans="1:7" ht="13.5" customHeight="1">
      <c r="A43" s="570" t="s">
        <v>345</v>
      </c>
      <c r="B43" s="115" t="s">
        <v>1490</v>
      </c>
      <c r="C43" s="138">
        <f ca="1">ROUND(IF('数据-取费表'!B22&lt;=1,C39*F22*'数据-取费表'!B20/2,C39*(POWER((1+F22),'数据-取费表'!B20/2)-1)),0)</f>
        <v>566</v>
      </c>
      <c r="D43" s="138"/>
      <c r="E43" s="138"/>
      <c r="F43" s="139"/>
      <c r="G43" s="4779"/>
    </row>
    <row r="44" spans="1:7" ht="13.5" customHeight="1">
      <c r="A44" s="570" t="s">
        <v>346</v>
      </c>
      <c r="B44" s="115" t="s">
        <v>1491</v>
      </c>
      <c r="C44" s="138">
        <f ca="1">ROUND(IF('数据-取费表'!B22&lt;=1,C40*F22*'数据-取费表'!B20/2,C40*(POWER((1+F22),'数据-取费表'!B20/2)-1)),4)</f>
        <v>2.9999999999999997E-4</v>
      </c>
      <c r="D44" s="138"/>
      <c r="E44" s="138"/>
      <c r="F44" s="139"/>
      <c r="G44" s="4778"/>
    </row>
    <row r="45" spans="1:7" s="114" customFormat="1" ht="13.5" customHeight="1">
      <c r="A45" s="155" t="s">
        <v>1492</v>
      </c>
      <c r="B45" s="144" t="s">
        <v>1461</v>
      </c>
      <c r="C45" s="145">
        <f ca="1">C46</f>
        <v>184308</v>
      </c>
      <c r="D45" s="135">
        <f ca="1">C47</f>
        <v>2E-3</v>
      </c>
      <c r="E45" s="136" t="s">
        <v>1485</v>
      </c>
      <c r="F45" s="146">
        <f ca="1">F27</f>
        <v>0.2</v>
      </c>
      <c r="G45" s="147" t="s">
        <v>1493</v>
      </c>
    </row>
    <row r="46" spans="1:7" s="114" customFormat="1" ht="13.5" customHeight="1">
      <c r="A46" s="570" t="s">
        <v>344</v>
      </c>
      <c r="B46" s="148" t="s">
        <v>1494</v>
      </c>
      <c r="C46" s="149">
        <f ca="1">ROUND((C33+C39)*F27,0)</f>
        <v>184308</v>
      </c>
      <c r="D46" s="163"/>
      <c r="E46" s="136"/>
      <c r="F46" s="146"/>
      <c r="G46" s="147"/>
    </row>
    <row r="47" spans="1:7" s="114" customFormat="1" ht="13.5" customHeight="1">
      <c r="A47" s="570" t="s">
        <v>345</v>
      </c>
      <c r="B47" s="148" t="s">
        <v>1495</v>
      </c>
      <c r="C47" s="138">
        <f ca="1">ROUND(C40*F27,4)</f>
        <v>2E-3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1149522</v>
      </c>
      <c r="D49" s="132"/>
      <c r="E49" s="132"/>
      <c r="F49" s="164"/>
      <c r="G49" s="134" t="s">
        <v>1498</v>
      </c>
    </row>
    <row r="50" spans="1:7" s="158" customFormat="1">
      <c r="A50" s="155" t="s">
        <v>1499</v>
      </c>
      <c r="B50" s="110" t="s">
        <v>1500</v>
      </c>
      <c r="C50" s="132"/>
      <c r="D50" s="132"/>
      <c r="E50" s="132"/>
      <c r="F50" s="164">
        <f>IF('数据-取费表'!B24=0,'数据-取费表'!N16,1)</f>
        <v>0.77</v>
      </c>
      <c r="G50" s="147"/>
    </row>
    <row r="51" spans="1:7" ht="16.5" customHeight="1">
      <c r="A51" s="155" t="s">
        <v>1501</v>
      </c>
      <c r="B51" s="110" t="s">
        <v>1535</v>
      </c>
      <c r="C51" s="132">
        <f ca="1">ROUND(C49*F50,0)</f>
        <v>885132</v>
      </c>
      <c r="D51" s="132"/>
      <c r="E51" s="132"/>
      <c r="F51" s="164"/>
      <c r="G51" s="134" t="s">
        <v>1502</v>
      </c>
    </row>
    <row r="52" spans="1:7" s="108" customFormat="1" ht="16.5" thickBot="1">
      <c r="A52" s="165" t="s">
        <v>1503</v>
      </c>
      <c r="B52" s="166"/>
      <c r="C52" s="167">
        <f ca="1">C31+C51</f>
        <v>27908701</v>
      </c>
      <c r="D52" s="166"/>
      <c r="E52" s="166"/>
      <c r="F52" s="166"/>
      <c r="G52" s="168"/>
    </row>
    <row r="55" spans="1:7" ht="15">
      <c r="B55" s="170" t="s">
        <v>1504</v>
      </c>
      <c r="C55" s="171"/>
    </row>
    <row r="56" spans="1:7">
      <c r="B56" s="173" t="s">
        <v>788</v>
      </c>
      <c r="C56" s="175">
        <f ca="1">1-C57</f>
        <v>0.96799999999999997</v>
      </c>
    </row>
    <row r="57" spans="1:7">
      <c r="B57" s="173" t="s">
        <v>789</v>
      </c>
      <c r="C57" s="174">
        <f ca="1">ROUND(C51/C52,3)</f>
        <v>3.2000000000000001E-2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2">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6"/>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0</v>
      </c>
      <c r="D6" s="3049" t="s">
        <v>3827</v>
      </c>
      <c r="E6" s="3047" t="s">
        <v>3415</v>
      </c>
      <c r="F6" s="3409">
        <f ca="1">INDIRECT("'数据-取费表'!u"&amp;$G$1)</f>
        <v>0</v>
      </c>
      <c r="G6" s="1029"/>
      <c r="H6" s="779" t="s">
        <v>392</v>
      </c>
      <c r="I6" s="3048" t="s">
        <v>3822</v>
      </c>
      <c r="J6" s="3032">
        <f ca="1">J7-J9</f>
        <v>0</v>
      </c>
      <c r="K6" s="3049" t="s">
        <v>3827</v>
      </c>
      <c r="L6" s="3047" t="s">
        <v>3415</v>
      </c>
      <c r="M6" s="3409">
        <f ca="1">INDIRECT("'数据-取费表'!z"&amp;$G$1)</f>
        <v>0</v>
      </c>
    </row>
    <row r="7" spans="1:37" ht="18" customHeight="1">
      <c r="A7" s="4780" t="s">
        <v>391</v>
      </c>
      <c r="B7" s="4783" t="s">
        <v>3820</v>
      </c>
      <c r="C7" s="4788">
        <f ca="1">ROUND(F6*F7*F8/10000,2)</f>
        <v>0</v>
      </c>
      <c r="D7" s="4782" t="s">
        <v>3492</v>
      </c>
      <c r="E7" s="3423" t="s">
        <v>683</v>
      </c>
      <c r="F7" s="3843">
        <f ca="1">IF(INDIRECT("'数据-取费表'!ah"&amp;$G$1)="",INDIRECT("'数据-取费表'!k"&amp;$G$1),INDIRECT("'数据-取费表'!ah"&amp;$G$1))</f>
        <v>0</v>
      </c>
      <c r="G7" s="1029"/>
      <c r="H7" s="4780" t="s">
        <v>391</v>
      </c>
      <c r="I7" s="4783" t="s">
        <v>3820</v>
      </c>
      <c r="J7" s="4785">
        <f ca="1">ROUND(M6*M8*M7/10000,2)</f>
        <v>0</v>
      </c>
      <c r="K7" s="4782" t="s">
        <v>3492</v>
      </c>
      <c r="L7" s="191" t="s">
        <v>683</v>
      </c>
      <c r="M7" s="3843">
        <f ca="1">F7</f>
        <v>0</v>
      </c>
    </row>
    <row r="8" spans="1:37" ht="18" customHeight="1">
      <c r="A8" s="4781"/>
      <c r="B8" s="4784"/>
      <c r="C8" s="4788"/>
      <c r="D8" s="4782"/>
      <c r="E8" s="191" t="s">
        <v>684</v>
      </c>
      <c r="F8" s="3843">
        <f ca="1">INDIRECT("'数据-取费表'!ai"&amp;$G$1)</f>
        <v>0</v>
      </c>
      <c r="G8" s="1029"/>
      <c r="H8" s="4781"/>
      <c r="I8" s="4784"/>
      <c r="J8" s="4785"/>
      <c r="K8" s="4782"/>
      <c r="L8" s="191" t="s">
        <v>684</v>
      </c>
      <c r="M8" s="3843">
        <f ca="1">INDIRECT("'数据-取费表'!ai"&amp;$G$1)</f>
        <v>0</v>
      </c>
    </row>
    <row r="9" spans="1:37" ht="18" customHeight="1">
      <c r="A9" s="3030" t="s">
        <v>3416</v>
      </c>
      <c r="B9" s="3429" t="s">
        <v>3821</v>
      </c>
      <c r="C9" s="4408">
        <f ca="1">ROUND(C7*F9,2)</f>
        <v>0</v>
      </c>
      <c r="D9" s="3049" t="s">
        <v>3826</v>
      </c>
      <c r="E9" s="191" t="s">
        <v>685</v>
      </c>
      <c r="F9" s="3108">
        <f ca="1">INDIRECT("'数据-取费表'!w"&amp;$G$1)</f>
        <v>0</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2029</v>
      </c>
      <c r="E10" s="202" t="s">
        <v>687</v>
      </c>
      <c r="F10" s="821"/>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0</v>
      </c>
      <c r="D13" s="796" t="s">
        <v>3840</v>
      </c>
      <c r="E13" s="3428"/>
      <c r="F13" s="782"/>
      <c r="G13" s="1029"/>
      <c r="H13" s="788" t="s">
        <v>3701</v>
      </c>
      <c r="I13" s="789" t="s">
        <v>700</v>
      </c>
      <c r="J13" s="3434">
        <f ca="1">ROUND(J14+J21+J23+J25,0)</f>
        <v>0</v>
      </c>
      <c r="K13" s="3426" t="s">
        <v>3462</v>
      </c>
      <c r="L13" s="3428"/>
      <c r="M13" s="3872"/>
    </row>
    <row r="14" spans="1:37" ht="18" customHeight="1">
      <c r="A14" s="722" t="s">
        <v>392</v>
      </c>
      <c r="B14" s="191" t="s">
        <v>705</v>
      </c>
      <c r="C14" s="3032">
        <f ca="1">ROUND(IF(AND(项目基本情况!B11="自然人",项目基本情况!B10="北京市",M55="住宅"),C6*F14,C15+C18+C19),2)</f>
        <v>0</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0</v>
      </c>
      <c r="D15" s="3077" t="s">
        <v>3461</v>
      </c>
      <c r="E15" s="191" t="s">
        <v>3455</v>
      </c>
      <c r="F15" s="3106">
        <f>'数据-取费表'!B44</f>
        <v>0.1</v>
      </c>
      <c r="G15" s="1040"/>
      <c r="H15" s="722" t="s">
        <v>391</v>
      </c>
      <c r="I15" s="3047" t="s">
        <v>3419</v>
      </c>
      <c r="J15" s="3032">
        <f ca="1">ROUND((J16-J17)*(1+M15),2)</f>
        <v>0</v>
      </c>
      <c r="K15" s="1091"/>
      <c r="L15" s="191" t="s">
        <v>3455</v>
      </c>
      <c r="M15" s="3106">
        <f>'数据-取费表'!B44</f>
        <v>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0</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0</v>
      </c>
      <c r="D17" s="4561" t="s">
        <v>3891</v>
      </c>
      <c r="E17" s="3059"/>
      <c r="F17" s="3106">
        <v>0.06</v>
      </c>
      <c r="G17" s="1040"/>
      <c r="H17" s="2821" t="s">
        <v>3299</v>
      </c>
      <c r="I17" s="3052" t="s">
        <v>3421</v>
      </c>
      <c r="J17" s="3078">
        <f ca="1">ROUND(J21*M16+((J23+J25)*M17),2)</f>
        <v>0</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0</v>
      </c>
      <c r="G19" s="1029"/>
      <c r="H19" s="4414" t="s">
        <v>667</v>
      </c>
      <c r="I19" s="60" t="s">
        <v>716</v>
      </c>
      <c r="J19" s="3054">
        <f ca="1">ROUND(M19*M20/10000,2)</f>
        <v>0</v>
      </c>
      <c r="K19" s="212" t="s">
        <v>717</v>
      </c>
      <c r="L19" s="191" t="s">
        <v>718</v>
      </c>
      <c r="M19" s="3107">
        <f>'数据-取费表'!B53</f>
        <v>0</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0</v>
      </c>
      <c r="D21" s="4503" t="s">
        <v>3850</v>
      </c>
      <c r="E21" s="191" t="s">
        <v>698</v>
      </c>
      <c r="F21" s="3108">
        <f ca="1">INDIRECT("'数据-取费表'!Ak"&amp;$G$1)</f>
        <v>0</v>
      </c>
      <c r="G21" s="1040"/>
      <c r="H21" s="4414" t="s">
        <v>396</v>
      </c>
      <c r="I21" s="60" t="s">
        <v>724</v>
      </c>
      <c r="J21" s="4415">
        <f ca="1">ROUND(J34*M21,2)</f>
        <v>0</v>
      </c>
      <c r="K21" s="4503"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0</v>
      </c>
      <c r="G22" s="1040"/>
      <c r="H22" s="214"/>
      <c r="I22" s="200"/>
      <c r="J22" s="4416"/>
      <c r="K22" s="4504"/>
      <c r="L22" s="3047" t="s">
        <v>3851</v>
      </c>
      <c r="M22" s="3843">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0</v>
      </c>
      <c r="D23" s="4503" t="s">
        <v>3459</v>
      </c>
      <c r="E23" s="191" t="s">
        <v>730</v>
      </c>
      <c r="F23" s="3108">
        <f ca="1">INDIRECT("'数据-取费表'!Al"&amp;$G$1)</f>
        <v>0</v>
      </c>
      <c r="G23" s="1029"/>
      <c r="H23" s="4414" t="s">
        <v>431</v>
      </c>
      <c r="I23" s="60" t="s">
        <v>728</v>
      </c>
      <c r="J23" s="4415">
        <f ca="1">ROUND(J36*M23,2)</f>
        <v>0</v>
      </c>
      <c r="K23" s="4503" t="s">
        <v>3854</v>
      </c>
      <c r="L23" s="191" t="s">
        <v>730</v>
      </c>
      <c r="M23" s="3108">
        <f ca="1">INDIRECT("'数据-取费表'!Al"&amp;$G$1)</f>
        <v>0</v>
      </c>
    </row>
    <row r="24" spans="1:37" ht="18" customHeight="1">
      <c r="A24" s="214"/>
      <c r="B24" s="200"/>
      <c r="C24" s="4416"/>
      <c r="D24" s="4504"/>
      <c r="E24" s="4502" t="s">
        <v>3852</v>
      </c>
      <c r="F24" s="3843">
        <f ca="1">C52</f>
        <v>0</v>
      </c>
      <c r="G24" s="1029"/>
      <c r="H24" s="214"/>
      <c r="I24" s="200"/>
      <c r="J24" s="4416"/>
      <c r="K24" s="4504"/>
      <c r="L24" s="4502" t="s">
        <v>3852</v>
      </c>
      <c r="M24" s="3843">
        <f ca="1">J36</f>
        <v>0</v>
      </c>
    </row>
    <row r="25" spans="1:37" s="1041" customFormat="1" ht="18" customHeight="1" thickBot="1">
      <c r="A25" s="798" t="s">
        <v>671</v>
      </c>
      <c r="B25" s="799" t="s">
        <v>714</v>
      </c>
      <c r="C25" s="3056">
        <f ca="1">ROUND(C5*F25,2)</f>
        <v>0</v>
      </c>
      <c r="D25" s="801" t="s">
        <v>3897</v>
      </c>
      <c r="E25" s="799" t="s">
        <v>730</v>
      </c>
      <c r="F25" s="3181">
        <f ca="1">INDIRECT("'数据-取费表'!Am"&amp;$G$1)</f>
        <v>0</v>
      </c>
      <c r="G25" s="1040"/>
      <c r="H25" s="798" t="s">
        <v>671</v>
      </c>
      <c r="I25" s="799" t="s">
        <v>714</v>
      </c>
      <c r="J25" s="3056">
        <f ca="1">ROUND(J5*M25,2)</f>
        <v>0</v>
      </c>
      <c r="K25" s="801" t="s">
        <v>3900</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0</v>
      </c>
      <c r="D26" s="804" t="s">
        <v>3898</v>
      </c>
      <c r="E26" s="805"/>
      <c r="F26" s="806"/>
      <c r="G26" s="1040"/>
      <c r="H26" s="788" t="s">
        <v>3310</v>
      </c>
      <c r="I26" s="803" t="s">
        <v>738</v>
      </c>
      <c r="J26" s="3434">
        <f ca="1">J5-J13</f>
        <v>0</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0</v>
      </c>
      <c r="D27" s="212" t="s">
        <v>744</v>
      </c>
      <c r="E27" s="191" t="s">
        <v>745</v>
      </c>
      <c r="F27" s="3108">
        <f ca="1">INDIRECT("'数据-取费表'!I"&amp;$G$1)</f>
        <v>0</v>
      </c>
      <c r="G27" s="1029"/>
      <c r="H27" s="4469" t="s">
        <v>3703</v>
      </c>
      <c r="I27" s="4472" t="s">
        <v>743</v>
      </c>
      <c r="J27" s="4506">
        <f ca="1">IF(J5&lt;&gt;0,ROUND(J26*(1-((1+M29)/(1+M27))^M28)/(M27-M29),0),0)</f>
        <v>0</v>
      </c>
      <c r="K27" s="212" t="s">
        <v>744</v>
      </c>
      <c r="L27" s="202" t="s">
        <v>745</v>
      </c>
      <c r="M27" s="3180">
        <f ca="1">INDIRECT("'数据-取费表'!I"&amp;$G$1)</f>
        <v>0</v>
      </c>
    </row>
    <row r="28" spans="1:37" ht="21" customHeight="1">
      <c r="A28" s="4470"/>
      <c r="B28" s="4473"/>
      <c r="C28" s="4507"/>
      <c r="D28" s="220" t="s">
        <v>761</v>
      </c>
      <c r="E28" s="191" t="s">
        <v>749</v>
      </c>
      <c r="F28" s="3110">
        <f ca="1">IF(INDIRECT("'数据-取费表'!af"&amp;$G$1)=0,INDIRECT("'数据-取费表'!ae"&amp;$G$1),INDIRECT("'数据-取费表'!af"&amp;$G$1))</f>
        <v>0</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0</v>
      </c>
      <c r="D30" s="3603"/>
      <c r="E30" s="4375" t="str">
        <f>IF(D30="其他类型公式—收益价值×（1+9%）","销项税率","征收率")</f>
        <v>征收率</v>
      </c>
      <c r="F30" s="3108">
        <f>IF(D30="其他类型公式—收益价值×（1+9%）",9%,3%)</f>
        <v>0.03</v>
      </c>
      <c r="G30" s="1040"/>
      <c r="H30" s="204" t="s">
        <v>3704</v>
      </c>
      <c r="I30" s="3062" t="s">
        <v>754</v>
      </c>
      <c r="J30" s="3081">
        <f ca="1">ROUND(J27/(1+F27)^F28,0)</f>
        <v>0</v>
      </c>
      <c r="K30" s="3049" t="s">
        <v>3844</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ROUND(C30*10000/F31,0)</f>
        <v>#DIV/0!</v>
      </c>
      <c r="D31" s="4373" t="s">
        <v>3494</v>
      </c>
      <c r="E31" s="226" t="s">
        <v>764</v>
      </c>
      <c r="F31" s="3111">
        <f ca="1">INDIRECT("'数据-取费表'!k"&amp;$G$1)</f>
        <v>0</v>
      </c>
      <c r="G31" s="1040"/>
      <c r="H31" s="4364" t="s">
        <v>3705</v>
      </c>
      <c r="I31" s="4365" t="s">
        <v>3491</v>
      </c>
      <c r="J31" s="4366">
        <f ca="1">ROUND(J30*(1+F30),0)</f>
        <v>0</v>
      </c>
      <c r="K31" s="4367">
        <f>D30</f>
        <v>0</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0</v>
      </c>
      <c r="D34" s="4496" t="s">
        <v>3431</v>
      </c>
      <c r="E34" s="1091"/>
      <c r="F34" s="3699"/>
      <c r="G34" s="1029"/>
      <c r="H34" s="4497" t="s">
        <v>3423</v>
      </c>
      <c r="I34" s="4498" t="s">
        <v>3464</v>
      </c>
      <c r="J34" s="3033">
        <f ca="1">C50</f>
        <v>0</v>
      </c>
      <c r="K34" s="3076" t="s">
        <v>3460</v>
      </c>
      <c r="L34" s="3430"/>
      <c r="M34" s="3010"/>
    </row>
    <row r="35" spans="1:13" ht="18" customHeight="1">
      <c r="A35" s="3030" t="s">
        <v>3418</v>
      </c>
      <c r="B35" s="2994" t="s">
        <v>693</v>
      </c>
      <c r="C35" s="2930">
        <f ca="1">INDIRECT("'数据-取费表'!m"&amp;$G$1)+INDIRECT("'数据-取费表'!t"&amp;$G$1)</f>
        <v>0</v>
      </c>
      <c r="D35" s="2807" t="s">
        <v>694</v>
      </c>
      <c r="E35" s="2807"/>
      <c r="F35" s="221"/>
      <c r="G35" s="1029"/>
      <c r="H35" s="3085" t="s">
        <v>3465</v>
      </c>
      <c r="I35" s="3090" t="s">
        <v>3451</v>
      </c>
      <c r="J35" s="2977">
        <f ca="1">ROUND(J34*(1-M35),0)</f>
        <v>0</v>
      </c>
      <c r="K35" s="191" t="s">
        <v>3454</v>
      </c>
      <c r="L35" s="3049" t="s">
        <v>3467</v>
      </c>
      <c r="M35" s="3108">
        <f ca="1">INDIRECT("'数据-取费表'!ad"&amp;$G$1)</f>
        <v>0</v>
      </c>
    </row>
    <row r="36" spans="1:13" ht="18" customHeight="1" thickBot="1">
      <c r="A36" s="3030" t="s">
        <v>3425</v>
      </c>
      <c r="B36" s="3052" t="s">
        <v>3899</v>
      </c>
      <c r="C36" s="3033">
        <f ca="1">ROUND(C35*F36,0)</f>
        <v>0</v>
      </c>
      <c r="D36" s="191" t="s">
        <v>697</v>
      </c>
      <c r="E36" s="191" t="s">
        <v>698</v>
      </c>
      <c r="F36" s="3106">
        <f>'数据-取费表'!B33</f>
        <v>0.06</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0</v>
      </c>
      <c r="D38" s="191" t="s">
        <v>703</v>
      </c>
      <c r="E38" s="191" t="s">
        <v>3846</v>
      </c>
      <c r="F38" s="3107">
        <f>'数据-取费表'!B35</f>
        <v>360</v>
      </c>
      <c r="G38" s="1029"/>
    </row>
    <row r="39" spans="1:13" ht="18" customHeight="1">
      <c r="A39" s="3030" t="s">
        <v>3428</v>
      </c>
      <c r="B39" s="3052" t="s">
        <v>3429</v>
      </c>
      <c r="C39" s="3033">
        <f ca="1">ROUND(C35*F39,0)</f>
        <v>0</v>
      </c>
      <c r="D39" s="191" t="s">
        <v>697</v>
      </c>
      <c r="E39" s="191" t="s">
        <v>698</v>
      </c>
      <c r="F39" s="3106">
        <f>'数据-取费表'!B36</f>
        <v>5.0000000000000001E-3</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5.0000000000000001E-3</v>
      </c>
      <c r="G40" s="1029"/>
      <c r="H40" s="867"/>
      <c r="I40" s="867"/>
      <c r="J40" s="867"/>
      <c r="K40" s="2068"/>
      <c r="L40" s="867"/>
      <c r="M40" s="867"/>
    </row>
    <row r="41" spans="1:13" ht="18" customHeight="1">
      <c r="A41" s="204" t="s">
        <v>3438</v>
      </c>
      <c r="B41" s="3062" t="s">
        <v>3439</v>
      </c>
      <c r="C41" s="3081">
        <f ca="1">ROUND(C34*F41,0)</f>
        <v>0</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0.01V建</v>
      </c>
      <c r="D42" s="3063" t="s">
        <v>3847</v>
      </c>
      <c r="E42" s="3062" t="s">
        <v>3848</v>
      </c>
      <c r="F42" s="3108">
        <f>'数据-取费表'!B39</f>
        <v>0.01</v>
      </c>
      <c r="G42" s="1029"/>
      <c r="H42" s="867"/>
      <c r="I42" s="867"/>
      <c r="J42" s="867"/>
      <c r="K42" s="2068"/>
      <c r="L42" s="867"/>
      <c r="M42" s="867"/>
    </row>
    <row r="43" spans="1:13" ht="18" customHeight="1">
      <c r="A43" s="204" t="s">
        <v>3446</v>
      </c>
      <c r="B43" s="3065" t="s">
        <v>3432</v>
      </c>
      <c r="C43" s="3846" t="str">
        <f ca="1">C44&amp;"+"&amp;C45&amp;"V建"</f>
        <v>0+0.0003V建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2.9999999999999997E-4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0+0V建</v>
      </c>
      <c r="D46" s="3014" t="s">
        <v>3448</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7">
        <f ca="1">ROUND(F42*F47,4)</f>
        <v>0</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0</v>
      </c>
      <c r="D50" s="3076" t="s">
        <v>3460</v>
      </c>
      <c r="E50" s="3062"/>
      <c r="F50" s="3108"/>
      <c r="K50" s="1046"/>
    </row>
    <row r="51" spans="1:18" s="1029" customFormat="1" ht="18" customHeight="1">
      <c r="A51" s="3066" t="s">
        <v>3450</v>
      </c>
      <c r="B51" s="3065" t="s">
        <v>3451</v>
      </c>
      <c r="C51" s="3081">
        <f ca="1">ROUND(C50*(1-F51),0)</f>
        <v>0</v>
      </c>
      <c r="D51" s="191" t="s">
        <v>3454</v>
      </c>
      <c r="E51" s="191" t="s">
        <v>692</v>
      </c>
      <c r="F51" s="3106">
        <f ca="1">INDIRECT("'数据-取费表'!y"&amp;$G$1)</f>
        <v>0</v>
      </c>
      <c r="K51" s="1046"/>
    </row>
    <row r="52" spans="1:18" s="1029" customFormat="1" ht="18" customHeight="1" thickBot="1">
      <c r="A52" s="3067" t="s">
        <v>3452</v>
      </c>
      <c r="B52" s="3075" t="s">
        <v>3458</v>
      </c>
      <c r="C52" s="3092">
        <f ca="1">C50-C51</f>
        <v>0</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0</v>
      </c>
      <c r="D54" s="1050" t="str">
        <f>C2</f>
        <v>万元</v>
      </c>
      <c r="E54" s="1044"/>
      <c r="F54" s="1044"/>
      <c r="I54" s="1051" t="s">
        <v>796</v>
      </c>
      <c r="J54" s="1052"/>
      <c r="K54" s="1053"/>
      <c r="L54" s="4454" t="e">
        <f ca="1">IF(M55="住宅",0,IF(L56&gt;J59,L68,J68))</f>
        <v>#DIV/0!</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c r="K55" s="1060" t="s">
        <v>802</v>
      </c>
      <c r="L55" s="4455">
        <f ca="1">INDIRECT("'数据-取费表'!d"&amp;$G$1)</f>
        <v>0</v>
      </c>
      <c r="M55" s="1025" t="str">
        <f>IF(ISNUMBER(FIND("住宅",C1)),"住宅","非住宅")</f>
        <v>非住宅</v>
      </c>
      <c r="O55" s="1062" t="s">
        <v>397</v>
      </c>
      <c r="P55" s="1063" t="s">
        <v>803</v>
      </c>
      <c r="Q55" s="3411">
        <f ca="1">C27+J30</f>
        <v>0</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c r="K56" s="1067" t="s">
        <v>806</v>
      </c>
      <c r="L56" s="4444">
        <f ca="1">INDIRECT("'数据-取费表'!f"&amp;$G$1)</f>
        <v>0</v>
      </c>
      <c r="O56" s="1062" t="s">
        <v>398</v>
      </c>
      <c r="P56" s="1063" t="s">
        <v>807</v>
      </c>
      <c r="Q56" s="3411" t="e">
        <f ca="1">J68</f>
        <v>#DIV/0!</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c r="K57" s="1067" t="s">
        <v>810</v>
      </c>
      <c r="L57" s="4456"/>
      <c r="O57" s="1072" t="s">
        <v>399</v>
      </c>
      <c r="P57" s="1063" t="s">
        <v>811</v>
      </c>
      <c r="Q57" s="3411">
        <f ca="1">C50</f>
        <v>0</v>
      </c>
      <c r="R57" s="1064" t="s">
        <v>804</v>
      </c>
    </row>
    <row r="58" spans="1:18" s="1029" customFormat="1" ht="13.5" thickBot="1">
      <c r="A58" s="4426" t="s">
        <v>3418</v>
      </c>
      <c r="B58" s="4789" t="s">
        <v>3820</v>
      </c>
      <c r="C58" s="4790">
        <f ca="1">ROUND(F57*F59*F58/10000,2)</f>
        <v>0</v>
      </c>
      <c r="D58" s="4782" t="s">
        <v>3492</v>
      </c>
      <c r="E58" s="766" t="s">
        <v>683</v>
      </c>
      <c r="F58" s="3849">
        <f ca="1">F7</f>
        <v>0</v>
      </c>
      <c r="H58" s="527"/>
      <c r="I58" s="1065" t="s">
        <v>812</v>
      </c>
      <c r="J58" s="4443">
        <f>SUMPRODUCT((I71:I73=J55)*(J70:L70=J56)*(J71:L73))</f>
        <v>0</v>
      </c>
      <c r="K58" s="1067" t="s">
        <v>813</v>
      </c>
      <c r="L58" s="4456"/>
      <c r="M58" s="1074"/>
      <c r="O58" s="1072" t="s">
        <v>400</v>
      </c>
      <c r="P58" s="1063" t="s">
        <v>814</v>
      </c>
      <c r="Q58" s="1075" t="e">
        <f ca="1">J66</f>
        <v>#DIV/0!</v>
      </c>
      <c r="R58" s="1064"/>
    </row>
    <row r="59" spans="1:18" s="1029" customFormat="1" ht="13.5" thickBot="1">
      <c r="A59" s="4427"/>
      <c r="B59" s="4789"/>
      <c r="C59" s="4791"/>
      <c r="D59" s="4782"/>
      <c r="E59" s="721" t="s">
        <v>684</v>
      </c>
      <c r="F59" s="3843">
        <f ca="1">F8</f>
        <v>0</v>
      </c>
      <c r="I59" s="1076" t="s">
        <v>815</v>
      </c>
      <c r="J59" s="4444">
        <f>IF(J57="",J58,J57+J58-YEAR('数据-取费表'!B2))</f>
        <v>0</v>
      </c>
      <c r="K59" s="1078" t="s">
        <v>816</v>
      </c>
      <c r="L59" s="4431">
        <f ca="1">ROUND(-PV(INDIRECT("'数据-取费表'!h"&amp;$G$1),J59,(C26-C51*C86),0),0)</f>
        <v>0</v>
      </c>
      <c r="M59" s="1080"/>
      <c r="O59" s="1072" t="s">
        <v>401</v>
      </c>
      <c r="P59" s="1063" t="s">
        <v>817</v>
      </c>
      <c r="Q59" s="1075">
        <f>J60</f>
        <v>0</v>
      </c>
      <c r="R59" s="1064"/>
    </row>
    <row r="60" spans="1:18" s="1029" customFormat="1" ht="13.5" thickBot="1">
      <c r="A60" s="4428" t="s">
        <v>3416</v>
      </c>
      <c r="B60" s="4400" t="s">
        <v>3821</v>
      </c>
      <c r="C60" s="4410">
        <f ca="1">ROUND(C58*F60,2)</f>
        <v>0</v>
      </c>
      <c r="D60" s="3049" t="s">
        <v>3826</v>
      </c>
      <c r="E60" s="721" t="s">
        <v>685</v>
      </c>
      <c r="F60" s="3103"/>
      <c r="I60" s="1081" t="s">
        <v>818</v>
      </c>
      <c r="J60" s="4445"/>
      <c r="K60" s="1081" t="s">
        <v>819</v>
      </c>
      <c r="L60" s="4445"/>
      <c r="O60" s="1072" t="s">
        <v>402</v>
      </c>
      <c r="P60" s="1063" t="s">
        <v>820</v>
      </c>
      <c r="Q60" s="3410">
        <f ca="1">J61</f>
        <v>0</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0</v>
      </c>
      <c r="K61" s="4786" t="s">
        <v>823</v>
      </c>
      <c r="L61" s="4787"/>
      <c r="O61" s="1062" t="s">
        <v>403</v>
      </c>
      <c r="P61" s="1063" t="s">
        <v>824</v>
      </c>
      <c r="Q61" s="3411" t="e">
        <f ca="1">Q55+Q56</f>
        <v>#DIV/0!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t="e">
        <f ca="1">ROUND(IF(J55="钢混",J65/J58,1-(1-2%)*(J58-J65)/J58),3)</f>
        <v>#DIV/0!</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0</v>
      </c>
      <c r="D64" s="700" t="s">
        <v>701</v>
      </c>
      <c r="E64" s="701"/>
      <c r="F64" s="702"/>
      <c r="I64" s="1093" t="s">
        <v>828</v>
      </c>
      <c r="J64" s="4449"/>
      <c r="K64" s="1065" t="s">
        <v>829</v>
      </c>
      <c r="L64" s="4444">
        <f ca="1">IF(L56&lt;J59,"——",L56-J61)</f>
        <v>0</v>
      </c>
      <c r="O64" s="1062" t="s">
        <v>397</v>
      </c>
      <c r="P64" s="1063" t="s">
        <v>803</v>
      </c>
      <c r="Q64" s="3411">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3462</v>
      </c>
      <c r="E65" s="704" t="str">
        <f>E14</f>
        <v/>
      </c>
      <c r="F65" s="4374" t="str">
        <f>IF(M55="非住宅","",IF(F57*F58*F59/12/(1+'数据-取费表'!F30)&gt;100000,4%,2.5%))</f>
        <v/>
      </c>
      <c r="I65" s="1099" t="s">
        <v>830</v>
      </c>
      <c r="J65" s="4450">
        <f ca="1">IF(OR(M55="住宅",J59&lt;L56,J64="是"),"——",J59-L56)</f>
        <v>0</v>
      </c>
      <c r="K65" s="1065" t="s">
        <v>831</v>
      </c>
      <c r="L65" s="4457">
        <f ca="1">IF(L56&lt;J59,"——",IF(L63="比较法",L57,IF(L63="基准地价",L58,L59)))</f>
        <v>0</v>
      </c>
      <c r="O65" s="1062" t="s">
        <v>398</v>
      </c>
      <c r="P65" s="1063" t="s">
        <v>832</v>
      </c>
      <c r="Q65" s="3410" t="e">
        <f ca="1">L68</f>
        <v>#DIV/0!</v>
      </c>
      <c r="R65" s="1064" t="s">
        <v>833</v>
      </c>
    </row>
    <row r="66" spans="1:18" s="1029" customFormat="1" ht="24.75" thickBot="1">
      <c r="A66" s="4393" t="s">
        <v>391</v>
      </c>
      <c r="B66" s="3047" t="s">
        <v>3419</v>
      </c>
      <c r="C66" s="3032">
        <f ca="1">ROUND((C67-C68)*(1+F66),2)</f>
        <v>0</v>
      </c>
      <c r="D66" s="3077" t="s">
        <v>3461</v>
      </c>
      <c r="E66" s="191" t="s">
        <v>3455</v>
      </c>
      <c r="F66" s="3106">
        <f>F15</f>
        <v>0.1</v>
      </c>
      <c r="I66" s="1099" t="s">
        <v>834</v>
      </c>
      <c r="J66" s="4451" t="e">
        <f ca="1">IF(J63&lt;0.4,0.4,J63)</f>
        <v>#DIV/0!</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v>
      </c>
      <c r="D68" s="4561" t="s">
        <v>3904</v>
      </c>
      <c r="E68" s="3059"/>
      <c r="F68" s="3106">
        <f t="shared" si="0"/>
        <v>0.06</v>
      </c>
      <c r="I68" s="1102" t="s">
        <v>839</v>
      </c>
      <c r="J68" s="4453" t="e">
        <f ca="1">IF(OR(M55="住宅",J59&lt;L56,J64="是"),"0",ROUND(J67/(1+J60)^J61,0))</f>
        <v>#DIV/0!</v>
      </c>
      <c r="K68" s="1104" t="s">
        <v>840</v>
      </c>
      <c r="L68" s="4453" t="e">
        <f ca="1">IF(OR(M55="住宅",L56&lt;J59),0,ROUND(L65*(L66/L67-1),0))</f>
        <v>#DIV/0!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0</v>
      </c>
      <c r="I70" s="1106" t="s">
        <v>844</v>
      </c>
      <c r="J70" s="1107" t="s">
        <v>845</v>
      </c>
      <c r="K70" s="1107" t="s">
        <v>846</v>
      </c>
      <c r="L70" s="1107" t="s">
        <v>847</v>
      </c>
      <c r="M70" s="1108" t="s">
        <v>848</v>
      </c>
      <c r="O70" s="1062" t="s">
        <v>403</v>
      </c>
      <c r="P70" s="1063" t="s">
        <v>849</v>
      </c>
      <c r="Q70" s="3410" t="e">
        <f ca="1">Q64+Q65</f>
        <v>#DIV/0!</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0</v>
      </c>
      <c r="D72" s="4417" t="s">
        <v>3456</v>
      </c>
      <c r="E72" s="4430" t="s">
        <v>3828</v>
      </c>
      <c r="F72" s="4431">
        <f ca="1">C50</f>
        <v>0</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0</v>
      </c>
      <c r="I73" s="1106" t="s">
        <v>853</v>
      </c>
      <c r="J73" s="3852">
        <v>40</v>
      </c>
      <c r="K73" s="3852">
        <v>30</v>
      </c>
      <c r="L73" s="3852">
        <v>50</v>
      </c>
      <c r="M73" s="1109">
        <v>0.02</v>
      </c>
      <c r="O73" s="1062" t="s">
        <v>397</v>
      </c>
      <c r="P73" s="1063" t="s">
        <v>854</v>
      </c>
      <c r="Q73" s="3411">
        <f ca="1">C27+J30</f>
        <v>0</v>
      </c>
      <c r="R73" s="1064" t="s">
        <v>804</v>
      </c>
    </row>
    <row r="74" spans="1:18" s="1029" customFormat="1" ht="16.5" thickBot="1">
      <c r="A74" s="4423" t="s">
        <v>778</v>
      </c>
      <c r="B74" s="689" t="s">
        <v>728</v>
      </c>
      <c r="C74" s="4415">
        <f ca="1">ROUND(F74*F75,2)</f>
        <v>0</v>
      </c>
      <c r="D74" s="4417" t="s">
        <v>3459</v>
      </c>
      <c r="E74" s="4430" t="s">
        <v>3829</v>
      </c>
      <c r="F74" s="4432">
        <f ca="1">C52</f>
        <v>0</v>
      </c>
      <c r="O74" s="1062" t="s">
        <v>398</v>
      </c>
      <c r="P74" s="1063" t="s">
        <v>832</v>
      </c>
      <c r="Q74" s="3410" t="e">
        <f ca="1">L68</f>
        <v>#DIV/0!</v>
      </c>
      <c r="R74" s="1064" t="s">
        <v>855</v>
      </c>
    </row>
    <row r="75" spans="1:18" s="1029" customFormat="1" ht="13.5" thickBot="1">
      <c r="A75" s="4425"/>
      <c r="B75" s="696"/>
      <c r="C75" s="4416"/>
      <c r="D75" s="4418"/>
      <c r="E75" s="690" t="s">
        <v>730</v>
      </c>
      <c r="F75" s="3108">
        <f ca="1">F23</f>
        <v>0</v>
      </c>
      <c r="O75" s="1062"/>
      <c r="P75" s="1063"/>
      <c r="Q75" s="3410"/>
      <c r="R75" s="1064"/>
    </row>
    <row r="76" spans="1:18" s="1029" customFormat="1" ht="16.5" thickBot="1">
      <c r="A76" s="4425" t="s">
        <v>779</v>
      </c>
      <c r="B76" s="690" t="s">
        <v>714</v>
      </c>
      <c r="C76" s="3032">
        <f ca="1">ROUND(C56*F76,2)</f>
        <v>0</v>
      </c>
      <c r="D76" s="704" t="s">
        <v>3901</v>
      </c>
      <c r="E76" s="690" t="s">
        <v>698</v>
      </c>
      <c r="F76" s="3108">
        <f ca="1">F25</f>
        <v>0</v>
      </c>
      <c r="O76" s="1072" t="s">
        <v>399</v>
      </c>
      <c r="P76" s="1063" t="s">
        <v>836</v>
      </c>
      <c r="Q76" s="3411">
        <f ca="1">L59</f>
        <v>0</v>
      </c>
      <c r="R76" s="1064" t="s">
        <v>856</v>
      </c>
    </row>
    <row r="77" spans="1:18" s="1029" customFormat="1" ht="13.5" thickBot="1">
      <c r="A77" s="697" t="s">
        <v>3830</v>
      </c>
      <c r="B77" s="707" t="s">
        <v>738</v>
      </c>
      <c r="C77" s="4396">
        <f ca="1">C56-C64</f>
        <v>0</v>
      </c>
      <c r="D77" s="703" t="s">
        <v>3898</v>
      </c>
      <c r="E77" s="708"/>
      <c r="F77" s="3109"/>
      <c r="O77" s="1072"/>
      <c r="P77" s="1063"/>
      <c r="Q77" s="3411"/>
      <c r="R77" s="1064"/>
    </row>
    <row r="78" spans="1:18" s="1029" customFormat="1" ht="16.5" thickBot="1">
      <c r="A78" s="3605" t="s">
        <v>3831</v>
      </c>
      <c r="B78" s="688" t="s">
        <v>760</v>
      </c>
      <c r="C78" s="4398">
        <f ca="1">ROUND(C77*(1-((1+F80)/(1+F78))^F79)/(F78-F80),0)</f>
        <v>0</v>
      </c>
      <c r="D78" s="3127" t="s">
        <v>744</v>
      </c>
      <c r="E78" s="690" t="s">
        <v>745</v>
      </c>
      <c r="F78" s="3108">
        <f ca="1">F27</f>
        <v>0</v>
      </c>
      <c r="O78" s="1072" t="s">
        <v>400</v>
      </c>
      <c r="P78" s="1111" t="s">
        <v>857</v>
      </c>
      <c r="Q78" s="3411">
        <f ca="1">ROUND(Q79-Q80*Q81,0)</f>
        <v>0</v>
      </c>
      <c r="R78" s="1064" t="s">
        <v>408</v>
      </c>
    </row>
    <row r="79" spans="1:18" s="1029" customFormat="1" ht="13.5" thickBot="1">
      <c r="A79" s="3606"/>
      <c r="B79" s="692"/>
      <c r="C79" s="4395"/>
      <c r="D79" s="3128" t="s">
        <v>748</v>
      </c>
      <c r="E79" s="690" t="s">
        <v>749</v>
      </c>
      <c r="F79" s="3110">
        <f ca="1">F28</f>
        <v>0</v>
      </c>
      <c r="O79" s="1072" t="s">
        <v>405</v>
      </c>
      <c r="P79" s="1111" t="s">
        <v>858</v>
      </c>
      <c r="Q79" s="3411">
        <f ca="1">C26</f>
        <v>0</v>
      </c>
      <c r="R79" s="1064" t="s">
        <v>804</v>
      </c>
    </row>
    <row r="80" spans="1:18" s="1029" customFormat="1" ht="13.5" thickBot="1">
      <c r="A80" s="3607"/>
      <c r="B80" s="3129"/>
      <c r="C80" s="3129"/>
      <c r="D80" s="3126"/>
      <c r="E80" s="690" t="s">
        <v>752</v>
      </c>
      <c r="F80" s="3103">
        <v>0.02</v>
      </c>
      <c r="O80" s="1072" t="s">
        <v>406</v>
      </c>
      <c r="P80" s="1111" t="s">
        <v>859</v>
      </c>
      <c r="Q80" s="3411">
        <f ca="1">C51</f>
        <v>0</v>
      </c>
      <c r="R80" s="1064" t="s">
        <v>804</v>
      </c>
    </row>
    <row r="81" spans="1:18" s="1029" customFormat="1" ht="13.5" thickBot="1">
      <c r="A81" s="694" t="s">
        <v>3834</v>
      </c>
      <c r="B81" s="3079" t="s">
        <v>3463</v>
      </c>
      <c r="C81" s="4399">
        <f ca="1">ROUND(C78*(1+F30),0)</f>
        <v>0</v>
      </c>
      <c r="D81" s="3608">
        <f>D30</f>
        <v>0</v>
      </c>
      <c r="E81" s="1031"/>
      <c r="F81" s="3609"/>
      <c r="O81" s="1072" t="s">
        <v>407</v>
      </c>
      <c r="P81" s="1111" t="s">
        <v>860</v>
      </c>
      <c r="Q81" s="1075">
        <f ca="1">C86</f>
        <v>0</v>
      </c>
      <c r="R81" s="1064"/>
    </row>
    <row r="82" spans="1:18" s="1029" customFormat="1" ht="13.5" thickBot="1">
      <c r="A82" s="711" t="s">
        <v>390</v>
      </c>
      <c r="B82" s="712" t="s">
        <v>762</v>
      </c>
      <c r="C82" s="3092" t="e">
        <f ca="1">ROUND(C81*10000/F82,0)</f>
        <v>#DIV/0!</v>
      </c>
      <c r="D82" s="713" t="s">
        <v>3494</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0</v>
      </c>
      <c r="D85" s="1029"/>
      <c r="E85" s="1029"/>
      <c r="F85" s="1029"/>
      <c r="K85" s="1046"/>
      <c r="L85" s="1029"/>
      <c r="O85" s="1062" t="s">
        <v>403</v>
      </c>
      <c r="P85" s="1063" t="s">
        <v>824</v>
      </c>
      <c r="Q85" s="3411"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F19" sqref="F19"/>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3920</v>
      </c>
      <c r="D1" s="1007"/>
      <c r="E1" s="1008" t="s">
        <v>665</v>
      </c>
      <c r="F1" s="772">
        <f ca="1">J60</f>
        <v>19</v>
      </c>
      <c r="G1" s="1023">
        <f>MATCH(C1,'数据-取费表'!A6:A16,0)+5</f>
        <v>6</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167.79830000000001</v>
      </c>
      <c r="C2" s="1031" t="s">
        <v>791</v>
      </c>
      <c r="D2" s="3746" t="s">
        <v>3940</v>
      </c>
      <c r="E2" s="1032"/>
      <c r="F2" s="1033"/>
      <c r="G2" s="2185"/>
      <c r="H2" s="2174"/>
      <c r="I2" s="2174"/>
      <c r="J2" s="2174"/>
      <c r="K2" s="2175"/>
      <c r="L2" s="2174"/>
      <c r="M2" s="2174"/>
    </row>
    <row r="3" spans="1:37" ht="18" customHeight="1" thickBot="1">
      <c r="A3" s="1034" t="s">
        <v>792</v>
      </c>
      <c r="B3" s="1035">
        <f ca="1">IF(ISERROR(D3/F31),0,ROUND(D3/F31,0))</f>
        <v>8778</v>
      </c>
      <c r="C3" s="1031" t="s">
        <v>793</v>
      </c>
      <c r="D3" s="1031">
        <f ca="1">IF(D2="含税",ROUND((C27+J30+L53)*(1+F30),0),C27+J30+L53)</f>
        <v>1677983</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144604</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144423</v>
      </c>
      <c r="D6" s="3049" t="s">
        <v>3827</v>
      </c>
      <c r="E6" s="3047" t="s">
        <v>3415</v>
      </c>
      <c r="F6" s="3409">
        <f ca="1">INDIRECT("'数据-取费表'!u"&amp;$G$1)</f>
        <v>2.2999999999999998</v>
      </c>
      <c r="G6" s="1029"/>
      <c r="H6" s="779" t="s">
        <v>392</v>
      </c>
      <c r="I6" s="3048" t="s">
        <v>3822</v>
      </c>
      <c r="J6" s="3081">
        <f ca="1">J7-J9</f>
        <v>0</v>
      </c>
      <c r="K6" s="3049" t="s">
        <v>3827</v>
      </c>
      <c r="L6" s="3612" t="s">
        <v>3415</v>
      </c>
      <c r="M6" s="3879">
        <f ca="1">INDIRECT("'数据-取费表'!z"&amp;$G$1)</f>
        <v>0</v>
      </c>
    </row>
    <row r="7" spans="1:37" ht="18" customHeight="1">
      <c r="A7" s="4780" t="s">
        <v>391</v>
      </c>
      <c r="B7" s="4783" t="s">
        <v>3820</v>
      </c>
      <c r="C7" s="4793">
        <f ca="1">ROUND(F6*F7*F8,0)</f>
        <v>160470</v>
      </c>
      <c r="D7" s="4782" t="s">
        <v>3492</v>
      </c>
      <c r="E7" s="3423" t="s">
        <v>683</v>
      </c>
      <c r="F7" s="3843">
        <f ca="1">IF(INDIRECT("'数据-取费表'!ah"&amp;$G$1)="",INDIRECT("'数据-取费表'!k"&amp;$G$1),INDIRECT("'数据-取费表'!ah"&amp;$G$1))</f>
        <v>191.15</v>
      </c>
      <c r="G7" s="1029"/>
      <c r="H7" s="4780" t="s">
        <v>391</v>
      </c>
      <c r="I7" s="4783" t="s">
        <v>3820</v>
      </c>
      <c r="J7" s="4792">
        <f ca="1">ROUND(M6*M8*M7,0)</f>
        <v>0</v>
      </c>
      <c r="K7" s="4782" t="s">
        <v>3492</v>
      </c>
      <c r="L7" s="2075" t="s">
        <v>683</v>
      </c>
      <c r="M7" s="3880">
        <f ca="1">F7</f>
        <v>191.15</v>
      </c>
    </row>
    <row r="8" spans="1:37" ht="18" customHeight="1">
      <c r="A8" s="4781"/>
      <c r="B8" s="4784"/>
      <c r="C8" s="4793"/>
      <c r="D8" s="4782"/>
      <c r="E8" s="191" t="s">
        <v>684</v>
      </c>
      <c r="F8" s="3843">
        <f ca="1">INDIRECT("'数据-取费表'!ai"&amp;$G$1)</f>
        <v>365</v>
      </c>
      <c r="G8" s="1029"/>
      <c r="H8" s="4781"/>
      <c r="I8" s="4784"/>
      <c r="J8" s="4792"/>
      <c r="K8" s="4782"/>
      <c r="L8" s="2075" t="s">
        <v>684</v>
      </c>
      <c r="M8" s="3880">
        <f ca="1">INDIRECT("'数据-取费表'!ai"&amp;$G$1)</f>
        <v>365</v>
      </c>
    </row>
    <row r="9" spans="1:37" ht="18" customHeight="1">
      <c r="A9" s="3030" t="s">
        <v>3416</v>
      </c>
      <c r="B9" s="4390" t="s">
        <v>3821</v>
      </c>
      <c r="C9" s="3839">
        <f ca="1">ROUND(C7*F9,0)</f>
        <v>16047</v>
      </c>
      <c r="D9" s="3049" t="s">
        <v>3826</v>
      </c>
      <c r="E9" s="191" t="s">
        <v>685</v>
      </c>
      <c r="F9" s="3108">
        <f ca="1">INDIRECT("'数据-取费表'!w"&amp;$G$1)</f>
        <v>0.1</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181</v>
      </c>
      <c r="D10" s="1011" t="s">
        <v>2028</v>
      </c>
      <c r="E10" s="202" t="s">
        <v>687</v>
      </c>
      <c r="F10" s="821" t="s">
        <v>3941</v>
      </c>
      <c r="G10" s="1029"/>
      <c r="H10" s="779" t="s">
        <v>396</v>
      </c>
      <c r="I10" s="1010" t="s">
        <v>686</v>
      </c>
      <c r="J10" s="4398">
        <f ca="1">ROUND(IF(M10="押一",J6/12*M11,IF(M10="押二",J6/12*2*M11,IF(M10="押三",J6/12*3*M11,J11*M11))),0)</f>
        <v>0</v>
      </c>
      <c r="K10" s="1011" t="s">
        <v>2028</v>
      </c>
      <c r="L10" s="3425" t="s">
        <v>687</v>
      </c>
      <c r="M10" s="3870" t="s">
        <v>3941</v>
      </c>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35213</v>
      </c>
      <c r="D13" s="796" t="s">
        <v>3841</v>
      </c>
      <c r="E13" s="3428"/>
      <c r="F13" s="782"/>
      <c r="G13" s="1029"/>
      <c r="H13" s="788" t="s">
        <v>3701</v>
      </c>
      <c r="I13" s="789" t="s">
        <v>700</v>
      </c>
      <c r="J13" s="3434">
        <f ca="1">ROUND(J14+J21+J23+J25,0)</f>
        <v>11771</v>
      </c>
      <c r="K13" s="3426" t="s">
        <v>3462</v>
      </c>
      <c r="L13" s="782"/>
      <c r="M13" s="3872"/>
    </row>
    <row r="14" spans="1:37" ht="18" customHeight="1">
      <c r="A14" s="722" t="s">
        <v>392</v>
      </c>
      <c r="B14" s="191" t="s">
        <v>705</v>
      </c>
      <c r="C14" s="3033">
        <f ca="1">ROUND(IF(AND(项目基本情况!B11="自然人",项目基本情况!B10="北京市",M54="住宅"),C6*F14,C15+C18+C19),2)</f>
        <v>31294</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9463</v>
      </c>
      <c r="K14" s="3077" t="s">
        <v>3461</v>
      </c>
      <c r="L14" s="74" t="str">
        <f>E14</f>
        <v/>
      </c>
      <c r="M14" s="4374" t="str">
        <f>IF(M54="非住宅","",IF(M6*M7*M8/12/(1+'数据-取费表'!F30)&gt;100000,4%,2.5%))</f>
        <v/>
      </c>
    </row>
    <row r="15" spans="1:37" s="1041" customFormat="1" ht="18" customHeight="1">
      <c r="A15" s="3030" t="s">
        <v>391</v>
      </c>
      <c r="B15" s="3047" t="s">
        <v>3295</v>
      </c>
      <c r="C15" s="3033">
        <f ca="1">ROUND((C16-C17)*(1+F15),0)</f>
        <v>13963</v>
      </c>
      <c r="D15" s="3077" t="s">
        <v>3461</v>
      </c>
      <c r="E15" s="191" t="s">
        <v>3455</v>
      </c>
      <c r="F15" s="3106">
        <f>'数据-取费表'!B44</f>
        <v>0.1</v>
      </c>
      <c r="G15" s="1040"/>
      <c r="H15" s="722" t="s">
        <v>391</v>
      </c>
      <c r="I15" s="3047" t="s">
        <v>3295</v>
      </c>
      <c r="J15" s="3033">
        <f ca="1">ROUND((J16-J17)*(1+M15),0)</f>
        <v>-229</v>
      </c>
      <c r="K15" s="1091"/>
      <c r="L15" s="2075" t="s">
        <v>3455</v>
      </c>
      <c r="M15" s="3873">
        <f>'数据-取费表'!B44</f>
        <v>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12998</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304</v>
      </c>
      <c r="D17" s="4561" t="s">
        <v>3895</v>
      </c>
      <c r="E17" s="3059"/>
      <c r="F17" s="3106">
        <v>0.06</v>
      </c>
      <c r="G17" s="1040"/>
      <c r="H17" s="2821" t="s">
        <v>3299</v>
      </c>
      <c r="I17" s="3052" t="s">
        <v>3421</v>
      </c>
      <c r="J17" s="3405">
        <f ca="1">ROUND(J21*M16+((J23+J25)*M17),0)</f>
        <v>208</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17331</v>
      </c>
      <c r="D18" s="3051" t="s">
        <v>3945</v>
      </c>
      <c r="E18" s="191" t="s">
        <v>698</v>
      </c>
      <c r="F18" s="3106">
        <f>IF(D18="按票据","——",IF(D18="按不含税租金收入（有效毛租金收入）计税",'数据-取费表'!B52,'数据-取费表'!B51))</f>
        <v>0.12</v>
      </c>
      <c r="G18" s="1040"/>
      <c r="H18" s="722" t="s">
        <v>393</v>
      </c>
      <c r="I18" s="191" t="s">
        <v>713</v>
      </c>
      <c r="J18" s="3033">
        <f ca="1">IF(K18="按不含税租金收入（有效毛租金收入）计税",ROUND(J6*M18,0),ROUND(C49*M18*0.7,0))</f>
        <v>9692</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0</v>
      </c>
      <c r="G19" s="1029"/>
      <c r="H19" s="4414" t="s">
        <v>667</v>
      </c>
      <c r="I19" s="60" t="s">
        <v>716</v>
      </c>
      <c r="J19" s="3406">
        <f ca="1">ROUND(M19*M20,0)</f>
        <v>0</v>
      </c>
      <c r="K19" s="212" t="s">
        <v>717</v>
      </c>
      <c r="L19" s="2075" t="s">
        <v>718</v>
      </c>
      <c r="M19" s="3878">
        <f>'数据-取费表'!B53</f>
        <v>0</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2308</v>
      </c>
      <c r="D21" s="4503" t="s">
        <v>725</v>
      </c>
      <c r="E21" s="191" t="s">
        <v>698</v>
      </c>
      <c r="F21" s="3108">
        <f ca="1">INDIRECT("'数据-取费表'!Ak"&amp;$G$1)</f>
        <v>2E-3</v>
      </c>
      <c r="G21" s="1040"/>
      <c r="H21" s="4414" t="s">
        <v>396</v>
      </c>
      <c r="I21" s="60" t="s">
        <v>724</v>
      </c>
      <c r="J21" s="4434">
        <f ca="1">ROUND(J33*M21,0)</f>
        <v>2308</v>
      </c>
      <c r="K21" s="4503" t="s">
        <v>725</v>
      </c>
      <c r="L21" s="2075" t="s">
        <v>698</v>
      </c>
      <c r="M21" s="4458">
        <f ca="1">INDIRECT("'数据-取费表'!Ak"&amp;$G$1)</f>
        <v>2E-3</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1153807</v>
      </c>
      <c r="G22" s="1040"/>
      <c r="H22" s="214"/>
      <c r="I22" s="200"/>
      <c r="J22" s="4435"/>
      <c r="K22" s="4504"/>
      <c r="L22" s="3047" t="s">
        <v>3851</v>
      </c>
      <c r="M22" s="3843">
        <f ca="1">J33</f>
        <v>1153807</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888</v>
      </c>
      <c r="D23" s="4503" t="s">
        <v>3459</v>
      </c>
      <c r="E23" s="191" t="s">
        <v>698</v>
      </c>
      <c r="F23" s="3108">
        <f ca="1">INDIRECT("'数据-取费表'!Al"&amp;$G$1)</f>
        <v>1E-3</v>
      </c>
      <c r="G23" s="1029"/>
      <c r="H23" s="4414" t="s">
        <v>431</v>
      </c>
      <c r="I23" s="60" t="s">
        <v>728</v>
      </c>
      <c r="J23" s="4434">
        <f ca="1">ROUND(J35*M23,0)</f>
        <v>0</v>
      </c>
      <c r="K23" s="4503" t="s">
        <v>729</v>
      </c>
      <c r="L23" s="2075" t="s">
        <v>698</v>
      </c>
      <c r="M23" s="4458">
        <f ca="1">INDIRECT("'数据-取费表'!Al"&amp;$G$1)</f>
        <v>1E-3</v>
      </c>
    </row>
    <row r="24" spans="1:37" ht="18" customHeight="1">
      <c r="A24" s="214"/>
      <c r="B24" s="200"/>
      <c r="C24" s="4435"/>
      <c r="D24" s="4504"/>
      <c r="E24" s="4502" t="s">
        <v>3852</v>
      </c>
      <c r="F24" s="3843">
        <f ca="1">C51</f>
        <v>888431</v>
      </c>
      <c r="G24" s="1029"/>
      <c r="H24" s="214"/>
      <c r="I24" s="200"/>
      <c r="J24" s="4435"/>
      <c r="K24" s="4504"/>
      <c r="L24" s="4502" t="s">
        <v>3852</v>
      </c>
      <c r="M24" s="3843">
        <f ca="1">J35</f>
        <v>0</v>
      </c>
    </row>
    <row r="25" spans="1:37" s="1041" customFormat="1" ht="18" customHeight="1" thickBot="1">
      <c r="A25" s="798" t="s">
        <v>670</v>
      </c>
      <c r="B25" s="799" t="s">
        <v>714</v>
      </c>
      <c r="C25" s="3408">
        <f ca="1">ROUND(C5*F25,0)</f>
        <v>723</v>
      </c>
      <c r="D25" s="801" t="s">
        <v>3900</v>
      </c>
      <c r="E25" s="799" t="s">
        <v>698</v>
      </c>
      <c r="F25" s="3181">
        <f ca="1">INDIRECT("'数据-取费表'!Am"&amp;$G$1)</f>
        <v>5.0000000000000001E-3</v>
      </c>
      <c r="G25" s="1040"/>
      <c r="H25" s="798" t="s">
        <v>670</v>
      </c>
      <c r="I25" s="799" t="s">
        <v>714</v>
      </c>
      <c r="J25" s="3408">
        <f ca="1">ROUND(J5*M25,0)</f>
        <v>0</v>
      </c>
      <c r="K25" s="801" t="s">
        <v>3900</v>
      </c>
      <c r="L25" s="3613" t="s">
        <v>698</v>
      </c>
      <c r="M25" s="3874">
        <f ca="1">INDIRECT("'数据-取费表'!Am"&amp;$G$1)</f>
        <v>5.0000000000000001E-3</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109391</v>
      </c>
      <c r="D26" s="804" t="s">
        <v>3898</v>
      </c>
      <c r="E26" s="805"/>
      <c r="F26" s="806"/>
      <c r="G26" s="1040"/>
      <c r="H26" s="788" t="s">
        <v>3310</v>
      </c>
      <c r="I26" s="803" t="s">
        <v>738</v>
      </c>
      <c r="J26" s="3434">
        <f ca="1">J5-J13</f>
        <v>-11771</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f ca="1">ROUND(C26*(1-((1+F29)/(1+F27))^F28)/(F27-F29),0)</f>
        <v>1422637</v>
      </c>
      <c r="D27" s="212" t="s">
        <v>3855</v>
      </c>
      <c r="E27" s="191" t="s">
        <v>745</v>
      </c>
      <c r="F27" s="3108">
        <f ca="1">INDIRECT("'数据-取费表'!I"&amp;$G$1)</f>
        <v>5.5E-2</v>
      </c>
      <c r="G27" s="1029"/>
      <c r="H27" s="4469" t="s">
        <v>3703</v>
      </c>
      <c r="I27" s="4477" t="s">
        <v>3842</v>
      </c>
      <c r="J27" s="4506">
        <f ca="1">IF(J5&lt;&gt;0,ROUND(J26*(1-((1+M29)/(1+M27))^M28)/(M27-M29),0),0)</f>
        <v>0</v>
      </c>
      <c r="K27" s="212" t="s">
        <v>3855</v>
      </c>
      <c r="L27" s="3425" t="s">
        <v>745</v>
      </c>
      <c r="M27" s="3869">
        <f ca="1">INDIRECT("'数据-取费表'!I"&amp;$G$1)</f>
        <v>5.5E-2</v>
      </c>
    </row>
    <row r="28" spans="1:37" ht="18.75" customHeight="1">
      <c r="A28" s="4470"/>
      <c r="B28" s="4473"/>
      <c r="C28" s="4507"/>
      <c r="D28" s="220"/>
      <c r="E28" s="191" t="s">
        <v>749</v>
      </c>
      <c r="F28" s="3110">
        <f ca="1">IF(INDIRECT("'数据-取费表'!af"&amp;$G$1)=0,INDIRECT("'数据-取费表'!ae"&amp;$G$1),INDIRECT("'数据-取费表'!af"&amp;$G$1))</f>
        <v>19</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1.4999999999999999E-2</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f ca="1">ROUND(C27*(1+F30),0)</f>
        <v>1550674</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191.15</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ROUND(C30/F31,0)</f>
        <v>8112</v>
      </c>
      <c r="D31" s="4373" t="s">
        <v>3494</v>
      </c>
      <c r="E31" s="226" t="s">
        <v>764</v>
      </c>
      <c r="F31" s="3111">
        <f ca="1">INDIRECT("'数据-取费表'!k"&amp;$G$1)</f>
        <v>191.15</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907390</v>
      </c>
      <c r="D33" s="3073" t="s">
        <v>3431</v>
      </c>
      <c r="E33" s="3069"/>
      <c r="F33" s="3070"/>
      <c r="G33" s="1029"/>
      <c r="H33" s="3084" t="s">
        <v>3423</v>
      </c>
      <c r="I33" s="3087" t="s">
        <v>3464</v>
      </c>
      <c r="J33" s="3088">
        <f ca="1">C49</f>
        <v>1153807</v>
      </c>
      <c r="K33" s="3604" t="s">
        <v>3460</v>
      </c>
      <c r="L33" s="3089"/>
      <c r="M33" s="3422"/>
    </row>
    <row r="34" spans="1:13" ht="18" customHeight="1">
      <c r="A34" s="3030" t="s">
        <v>391</v>
      </c>
      <c r="B34" s="2994" t="s">
        <v>693</v>
      </c>
      <c r="C34" s="2930">
        <f ca="1">ROUND(INDIRECT("'数据-取费表'!l"&amp;$G$1)*F31+'数据-取费表'!L14*INDIRECT("'数据-取费表'!S"&amp;$G$1),0)</f>
        <v>783715</v>
      </c>
      <c r="D34" s="3136" t="s">
        <v>694</v>
      </c>
      <c r="E34" s="3136"/>
      <c r="F34" s="221"/>
      <c r="G34" s="1029"/>
      <c r="H34" s="3085" t="s">
        <v>396</v>
      </c>
      <c r="I34" s="3090" t="s">
        <v>3451</v>
      </c>
      <c r="J34" s="2977">
        <f ca="1">ROUND(J33*(1-M34),0)</f>
        <v>1153807</v>
      </c>
      <c r="K34" s="191" t="s">
        <v>3454</v>
      </c>
      <c r="L34" s="3049" t="s">
        <v>3467</v>
      </c>
      <c r="M34" s="3108">
        <f ca="1">INDIRECT("'数据-取费表'!ad"&amp;$G$1)</f>
        <v>0</v>
      </c>
    </row>
    <row r="35" spans="1:13" ht="18" customHeight="1" thickBot="1">
      <c r="A35" s="3030" t="s">
        <v>3416</v>
      </c>
      <c r="B35" s="2994" t="s">
        <v>696</v>
      </c>
      <c r="C35" s="3033">
        <f ca="1">ROUND(C34*F35,0)</f>
        <v>47023</v>
      </c>
      <c r="D35" s="191" t="s">
        <v>697</v>
      </c>
      <c r="E35" s="191" t="s">
        <v>698</v>
      </c>
      <c r="F35" s="3106">
        <f>'数据-取费表'!B33</f>
        <v>0.06</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68814</v>
      </c>
      <c r="D37" s="191" t="s">
        <v>703</v>
      </c>
      <c r="E37" s="191" t="s">
        <v>3907</v>
      </c>
      <c r="F37" s="3857">
        <f>'数据-取费表'!B35</f>
        <v>360</v>
      </c>
      <c r="G37" s="1029"/>
    </row>
    <row r="38" spans="1:13" ht="18" customHeight="1">
      <c r="A38" s="3030" t="s">
        <v>669</v>
      </c>
      <c r="B38" s="3052" t="s">
        <v>3302</v>
      </c>
      <c r="C38" s="3033">
        <f ca="1">ROUND(C34*F38,0)</f>
        <v>3919</v>
      </c>
      <c r="D38" s="191" t="s">
        <v>697</v>
      </c>
      <c r="E38" s="191" t="s">
        <v>698</v>
      </c>
      <c r="F38" s="3106">
        <f>'数据-取费表'!B36</f>
        <v>5.0000000000000001E-3</v>
      </c>
      <c r="G38" s="1029"/>
      <c r="H38" s="867"/>
      <c r="I38" s="867"/>
      <c r="J38" s="867"/>
      <c r="K38" s="2068"/>
      <c r="L38" s="867"/>
      <c r="M38" s="867"/>
    </row>
    <row r="39" spans="1:13" ht="18" customHeight="1">
      <c r="A39" s="3030" t="s">
        <v>669</v>
      </c>
      <c r="B39" s="3052" t="s">
        <v>3303</v>
      </c>
      <c r="C39" s="3033">
        <f ca="1">ROUND(C34*F39,0)</f>
        <v>3919</v>
      </c>
      <c r="D39" s="191" t="s">
        <v>697</v>
      </c>
      <c r="E39" s="191" t="s">
        <v>698</v>
      </c>
      <c r="F39" s="3106">
        <f>'数据-取费表'!B37</f>
        <v>5.0000000000000001E-3</v>
      </c>
      <c r="G39" s="1029"/>
      <c r="H39" s="867"/>
      <c r="I39" s="867"/>
      <c r="J39" s="867"/>
      <c r="K39" s="2068"/>
      <c r="L39" s="867"/>
      <c r="M39" s="867"/>
    </row>
    <row r="40" spans="1:13" ht="18" customHeight="1">
      <c r="A40" s="204" t="s">
        <v>3438</v>
      </c>
      <c r="B40" s="3062" t="s">
        <v>3439</v>
      </c>
      <c r="C40" s="3081">
        <f ca="1">ROUND(C33*F40,0)</f>
        <v>18148</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0.01V建</v>
      </c>
      <c r="D41" s="3140" t="s">
        <v>3444</v>
      </c>
      <c r="E41" s="3062" t="s">
        <v>3445</v>
      </c>
      <c r="F41" s="3108">
        <f>'数据-取费表'!B39</f>
        <v>0.01</v>
      </c>
      <c r="G41" s="1029"/>
      <c r="H41" s="867"/>
      <c r="I41" s="867"/>
      <c r="J41" s="867"/>
      <c r="K41" s="2068"/>
      <c r="L41" s="867"/>
      <c r="M41" s="867"/>
    </row>
    <row r="42" spans="1:13" ht="18" customHeight="1">
      <c r="A42" s="204" t="s">
        <v>3446</v>
      </c>
      <c r="B42" s="3065" t="s">
        <v>3381</v>
      </c>
      <c r="C42" s="3846" t="str">
        <f ca="1">C43&amp;"+"&amp;C44&amp;"V建"</f>
        <v>28969+0.0003V建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28969</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2.9999999999999997E-4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185108+0.002V建</v>
      </c>
      <c r="D45" s="3014" t="s">
        <v>3448</v>
      </c>
      <c r="E45" s="205"/>
      <c r="F45" s="3107"/>
      <c r="G45" s="1029"/>
      <c r="H45" s="867"/>
      <c r="I45" s="867"/>
      <c r="J45" s="867"/>
      <c r="K45" s="2068"/>
      <c r="L45" s="867"/>
      <c r="M45" s="867"/>
    </row>
    <row r="46" spans="1:13" ht="18" customHeight="1">
      <c r="A46" s="3030" t="s">
        <v>391</v>
      </c>
      <c r="B46" s="191" t="s">
        <v>740</v>
      </c>
      <c r="C46" s="3033">
        <f ca="1">ROUND((C33+C40)*F46,0)</f>
        <v>185108</v>
      </c>
      <c r="D46" s="1963" t="s">
        <v>741</v>
      </c>
      <c r="E46" s="191" t="s">
        <v>742</v>
      </c>
      <c r="F46" s="3108">
        <f ca="1">INDIRECT("'数据-取费表'!q"&amp;$G$1)</f>
        <v>0.2</v>
      </c>
      <c r="G46" s="1029"/>
      <c r="H46" s="867"/>
      <c r="I46" s="867"/>
      <c r="J46" s="867"/>
      <c r="K46" s="2068"/>
      <c r="L46" s="867"/>
      <c r="M46" s="867"/>
    </row>
    <row r="47" spans="1:13" ht="18" customHeight="1">
      <c r="A47" s="3030" t="s">
        <v>393</v>
      </c>
      <c r="B47" s="191" t="s">
        <v>746</v>
      </c>
      <c r="C47" s="3844">
        <f ca="1">ROUND(F41*F46,4)</f>
        <v>2E-3</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1153807</v>
      </c>
      <c r="D49" s="3076" t="s">
        <v>3460</v>
      </c>
      <c r="E49" s="3062"/>
      <c r="F49" s="3108"/>
      <c r="K49" s="1046"/>
      <c r="Q49" s="3860"/>
    </row>
    <row r="50" spans="1:18" s="1029" customFormat="1" ht="18" customHeight="1">
      <c r="A50" s="3066" t="s">
        <v>3449</v>
      </c>
      <c r="B50" s="3065" t="s">
        <v>3451</v>
      </c>
      <c r="C50" s="3081">
        <f ca="1">ROUND(C49*(1-F50),0)</f>
        <v>265376</v>
      </c>
      <c r="D50" s="191" t="s">
        <v>3454</v>
      </c>
      <c r="E50" s="191" t="s">
        <v>692</v>
      </c>
      <c r="F50" s="3106">
        <f ca="1">INDIRECT("'数据-取费表'!y"&amp;$G$1)</f>
        <v>0.77</v>
      </c>
      <c r="K50" s="1046"/>
      <c r="Q50" s="3860"/>
    </row>
    <row r="51" spans="1:18" s="1029" customFormat="1" ht="18" customHeight="1" thickBot="1">
      <c r="A51" s="3067" t="s">
        <v>3452</v>
      </c>
      <c r="B51" s="3075" t="s">
        <v>3458</v>
      </c>
      <c r="C51" s="3092">
        <f ca="1">C49-C50</f>
        <v>888431</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f ca="1">IF(D2="含税",C80-C30,C77-C27)</f>
        <v>-1587480</v>
      </c>
      <c r="D53" s="1050" t="str">
        <f>C2</f>
        <v>万元</v>
      </c>
      <c r="E53" s="1044"/>
      <c r="F53" s="1044"/>
      <c r="I53" s="1051" t="s">
        <v>796</v>
      </c>
      <c r="J53" s="1052"/>
      <c r="K53" s="1053"/>
      <c r="L53" s="4454">
        <f ca="1">IF(M54="住宅",0,IF(L55&gt;J58,L67,J67))</f>
        <v>116797</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t="s">
        <v>3937</v>
      </c>
      <c r="K54" s="1060" t="s">
        <v>802</v>
      </c>
      <c r="L54" s="4455">
        <f ca="1">INDIRECT("'数据-取费表'!d"&amp;$G$1)</f>
        <v>40</v>
      </c>
      <c r="M54" s="1025" t="str">
        <f>IF(ISNUMBER(FIND("住宅",C1)),"住宅","非住宅")</f>
        <v>非住宅</v>
      </c>
      <c r="O54" s="1062" t="s">
        <v>397</v>
      </c>
      <c r="P54" s="1063" t="s">
        <v>803</v>
      </c>
      <c r="Q54" s="3863">
        <f ca="1">C27+J30</f>
        <v>1422637</v>
      </c>
      <c r="R54" s="1064" t="s">
        <v>804</v>
      </c>
    </row>
    <row r="55" spans="1:18" s="1029" customFormat="1" ht="28.5" thickBot="1">
      <c r="A55" s="816" t="s">
        <v>432</v>
      </c>
      <c r="B55" s="3431" t="s">
        <v>679</v>
      </c>
      <c r="C55" s="3095">
        <f ca="1">C56+C60+C62</f>
        <v>0</v>
      </c>
      <c r="D55" s="1009" t="s">
        <v>3825</v>
      </c>
      <c r="E55" s="819"/>
      <c r="F55" s="702"/>
      <c r="G55" s="526"/>
      <c r="H55" s="527"/>
      <c r="I55" s="1065" t="s">
        <v>805</v>
      </c>
      <c r="J55" s="1066" t="s">
        <v>3938</v>
      </c>
      <c r="K55" s="1067" t="s">
        <v>806</v>
      </c>
      <c r="L55" s="4444">
        <f ca="1">INDIRECT("'数据-取费表'!f"&amp;$G$1)</f>
        <v>19</v>
      </c>
      <c r="O55" s="1062" t="s">
        <v>398</v>
      </c>
      <c r="P55" s="1063" t="s">
        <v>807</v>
      </c>
      <c r="Q55" s="3863">
        <f ca="1">J67</f>
        <v>116797</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f>项目基本情况!G21</f>
        <v>2007</v>
      </c>
      <c r="K56" s="1067" t="s">
        <v>810</v>
      </c>
      <c r="L56" s="4456"/>
      <c r="O56" s="1072" t="s">
        <v>399</v>
      </c>
      <c r="P56" s="1063" t="s">
        <v>811</v>
      </c>
      <c r="Q56" s="3863">
        <f ca="1">C49</f>
        <v>1153807</v>
      </c>
      <c r="R56" s="1064" t="s">
        <v>804</v>
      </c>
    </row>
    <row r="57" spans="1:18" s="1029" customFormat="1" ht="15" customHeight="1" thickBot="1">
      <c r="A57" s="4402" t="s">
        <v>3823</v>
      </c>
      <c r="B57" s="4783" t="s">
        <v>3820</v>
      </c>
      <c r="C57" s="4391">
        <f ca="1">ROUND(F56*F58*F57,0)</f>
        <v>0</v>
      </c>
      <c r="D57" s="4782" t="s">
        <v>3492</v>
      </c>
      <c r="E57" s="766" t="s">
        <v>683</v>
      </c>
      <c r="F57" s="3101">
        <f ca="1">F7</f>
        <v>191.15</v>
      </c>
      <c r="H57" s="527"/>
      <c r="I57" s="1065" t="s">
        <v>812</v>
      </c>
      <c r="J57" s="4460">
        <f>SUMPRODUCT((I70:I72=J54)*(J69:L69=J55)*(J70:L72))</f>
        <v>60</v>
      </c>
      <c r="K57" s="1067" t="s">
        <v>813</v>
      </c>
      <c r="L57" s="4456"/>
      <c r="M57" s="1074"/>
      <c r="O57" s="1072" t="s">
        <v>400</v>
      </c>
      <c r="P57" s="1063" t="s">
        <v>814</v>
      </c>
      <c r="Q57" s="3864">
        <f ca="1">J65</f>
        <v>0.4</v>
      </c>
      <c r="R57" s="1064"/>
    </row>
    <row r="58" spans="1:18" s="1029" customFormat="1" ht="15" customHeight="1" thickBot="1">
      <c r="A58" s="4403"/>
      <c r="B58" s="4784"/>
      <c r="C58" s="4404"/>
      <c r="D58" s="4782"/>
      <c r="E58" s="721" t="s">
        <v>684</v>
      </c>
      <c r="F58" s="3102">
        <f ca="1">F8</f>
        <v>365</v>
      </c>
      <c r="I58" s="1076" t="s">
        <v>815</v>
      </c>
      <c r="J58" s="4444">
        <f>IF(J56="",J57,J56+J57-YEAR('数据-取费表'!B2))</f>
        <v>41</v>
      </c>
      <c r="K58" s="1078" t="s">
        <v>816</v>
      </c>
      <c r="L58" s="4431">
        <f ca="1">ROUND(-PV(INDIRECT("'数据-取费表'!h"&amp;$G$1),J58,(C26-C50*C85),0),0)</f>
        <v>1570582</v>
      </c>
      <c r="M58" s="1080"/>
      <c r="O58" s="1072" t="s">
        <v>401</v>
      </c>
      <c r="P58" s="1063" t="s">
        <v>817</v>
      </c>
      <c r="Q58" s="3864">
        <f>J59</f>
        <v>7.4999999999999997E-2</v>
      </c>
      <c r="R58" s="1064"/>
    </row>
    <row r="59" spans="1:18" s="1029" customFormat="1" ht="15" customHeight="1" thickBot="1">
      <c r="A59" s="4401" t="s">
        <v>3824</v>
      </c>
      <c r="B59" s="4390" t="s">
        <v>3821</v>
      </c>
      <c r="C59" s="3097">
        <f ca="1">ROUND(C57*F59,0)</f>
        <v>0</v>
      </c>
      <c r="D59" s="3049" t="s">
        <v>3826</v>
      </c>
      <c r="E59" s="721" t="s">
        <v>685</v>
      </c>
      <c r="F59" s="3103"/>
      <c r="I59" s="1081" t="s">
        <v>818</v>
      </c>
      <c r="J59" s="4445">
        <v>7.4999999999999997E-2</v>
      </c>
      <c r="K59" s="1081" t="s">
        <v>819</v>
      </c>
      <c r="L59" s="4459"/>
      <c r="O59" s="1072" t="s">
        <v>402</v>
      </c>
      <c r="P59" s="1063" t="s">
        <v>820</v>
      </c>
      <c r="Q59" s="3863">
        <f ca="1">J60</f>
        <v>19</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19</v>
      </c>
      <c r="K60" s="4786" t="s">
        <v>823</v>
      </c>
      <c r="L60" s="4787"/>
      <c r="O60" s="1062" t="s">
        <v>403</v>
      </c>
      <c r="P60" s="1063" t="s">
        <v>824</v>
      </c>
      <c r="Q60" s="3863">
        <f ca="1">Q54+Q55</f>
        <v>1539434</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f ca="1">ROUND(IF(J54="钢混",J64/J57,1-(1-2%)*(J57-J64)/J57),3)</f>
        <v>0.36699999999999999</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2909</v>
      </c>
      <c r="D63" s="700" t="s">
        <v>701</v>
      </c>
      <c r="E63" s="701"/>
      <c r="F63" s="702"/>
      <c r="I63" s="1093" t="s">
        <v>828</v>
      </c>
      <c r="J63" s="1094" t="s">
        <v>3917</v>
      </c>
      <c r="K63" s="1065" t="s">
        <v>829</v>
      </c>
      <c r="L63" s="4444" t="str">
        <f ca="1">IF(L55&lt;J58,"——",L55-J60)</f>
        <v>——</v>
      </c>
      <c r="O63" s="1062" t="s">
        <v>397</v>
      </c>
      <c r="P63" s="1063" t="s">
        <v>803</v>
      </c>
      <c r="Q63" s="3863">
        <f ca="1">C27+J30</f>
        <v>1422637</v>
      </c>
      <c r="R63" s="1064" t="s">
        <v>804</v>
      </c>
    </row>
    <row r="64" spans="1:18" s="1029" customFormat="1" ht="24.75" thickBot="1">
      <c r="A64" s="576" t="s">
        <v>392</v>
      </c>
      <c r="B64" s="690" t="s">
        <v>705</v>
      </c>
      <c r="C64" s="3033">
        <f ca="1">ROUND(IF(AND(项目基本情况!B11="自然人",项目基本情况!B10="北京市",M54="住宅"),C56*F64,C65+C68+C69),0)</f>
        <v>-287</v>
      </c>
      <c r="D64" s="703" t="s">
        <v>3462</v>
      </c>
      <c r="E64" s="704" t="str">
        <f>E14</f>
        <v/>
      </c>
      <c r="F64" s="4374" t="str">
        <f>IF(M54="非住宅","",IF(F56*F57*F58/12/(1+'数据-取费表'!F30)&gt;100000,4%,2.5%))</f>
        <v/>
      </c>
      <c r="I64" s="1099" t="s">
        <v>830</v>
      </c>
      <c r="J64" s="4450">
        <f ca="1">IF(OR(M54="住宅",J58&lt;L55,J63="是"),"——",J58-L55)</f>
        <v>22</v>
      </c>
      <c r="K64" s="1065" t="s">
        <v>831</v>
      </c>
      <c r="L64" s="4457" t="str">
        <f ca="1">IF(L55&lt;J58,"——",IF(L62="比较法",L56,IF(L62="基准地价",L57,L58)))</f>
        <v>——</v>
      </c>
      <c r="O64" s="1062" t="s">
        <v>398</v>
      </c>
      <c r="P64" s="1063" t="s">
        <v>832</v>
      </c>
      <c r="Q64" s="3863">
        <f ca="1">L67</f>
        <v>0</v>
      </c>
      <c r="R64" s="1064" t="s">
        <v>833</v>
      </c>
    </row>
    <row r="65" spans="1:18" s="1029" customFormat="1" ht="24.75" thickBot="1">
      <c r="A65" s="3030" t="s">
        <v>391</v>
      </c>
      <c r="B65" s="3047" t="s">
        <v>3295</v>
      </c>
      <c r="C65" s="3033">
        <f ca="1">ROUND((C66-C67)*(1+F65),0)</f>
        <v>-287</v>
      </c>
      <c r="D65" s="3077" t="s">
        <v>3461</v>
      </c>
      <c r="E65" s="191" t="s">
        <v>3455</v>
      </c>
      <c r="F65" s="3106">
        <f>F15</f>
        <v>0.1</v>
      </c>
      <c r="I65" s="1099" t="s">
        <v>834</v>
      </c>
      <c r="J65" s="4451">
        <f ca="1">IF(J62&lt;0.4,0.4,J62)</f>
        <v>0.4</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f ca="1">IF(OR(M54="住宅",J58&lt;L55,J63="是"),"——",ROUND(C49*J65,0))</f>
        <v>461523</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261</v>
      </c>
      <c r="D67" s="4561" t="s">
        <v>3895</v>
      </c>
      <c r="E67" s="3059"/>
      <c r="F67" s="3106">
        <f t="shared" si="0"/>
        <v>0.06</v>
      </c>
      <c r="I67" s="1102" t="s">
        <v>839</v>
      </c>
      <c r="J67" s="4453">
        <f ca="1">IF(OR(M54="住宅",J58&lt;L55,J63="是"),"0",ROUND(J66/(1+J59)^J60,0))</f>
        <v>116797</v>
      </c>
      <c r="K67" s="1104" t="s">
        <v>840</v>
      </c>
      <c r="L67" s="4453">
        <f ca="1">IF(OR(M54="住宅",L55&lt;J58),0,ROUND(L64*(L65/L66-1),0))</f>
        <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0.12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0</v>
      </c>
      <c r="I69" s="1106" t="s">
        <v>844</v>
      </c>
      <c r="J69" s="1107" t="s">
        <v>845</v>
      </c>
      <c r="K69" s="1107" t="s">
        <v>846</v>
      </c>
      <c r="L69" s="1107" t="s">
        <v>847</v>
      </c>
      <c r="M69" s="1108" t="s">
        <v>848</v>
      </c>
      <c r="O69" s="1062" t="s">
        <v>403</v>
      </c>
      <c r="P69" s="1063" t="s">
        <v>824</v>
      </c>
      <c r="Q69" s="3863">
        <f ca="1">Q63+Q64</f>
        <v>1422637</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2308</v>
      </c>
      <c r="D71" s="4417" t="s">
        <v>725</v>
      </c>
      <c r="E71" s="3025" t="s">
        <v>3835</v>
      </c>
      <c r="F71" s="3098">
        <f ca="1">C49</f>
        <v>1153807</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2E-3</v>
      </c>
      <c r="I72" s="3858" t="s">
        <v>853</v>
      </c>
      <c r="J72" s="3852">
        <v>40</v>
      </c>
      <c r="K72" s="3852">
        <v>30</v>
      </c>
      <c r="L72" s="3852">
        <v>50</v>
      </c>
      <c r="M72" s="1109">
        <v>0.02</v>
      </c>
      <c r="O72" s="1062" t="s">
        <v>397</v>
      </c>
      <c r="P72" s="1063" t="s">
        <v>854</v>
      </c>
      <c r="Q72" s="3868">
        <f ca="1">C27+J30</f>
        <v>1422637</v>
      </c>
      <c r="R72" s="1064" t="s">
        <v>804</v>
      </c>
    </row>
    <row r="73" spans="1:18" s="1029" customFormat="1" ht="16.5" thickBot="1">
      <c r="A73" s="4423" t="s">
        <v>778</v>
      </c>
      <c r="B73" s="689" t="s">
        <v>728</v>
      </c>
      <c r="C73" s="4434">
        <f ca="1">ROUND(F73*F74,0)</f>
        <v>888</v>
      </c>
      <c r="D73" s="4417" t="s">
        <v>3459</v>
      </c>
      <c r="E73" s="3025" t="s">
        <v>3458</v>
      </c>
      <c r="F73" s="2837">
        <f ca="1">C51</f>
        <v>888431</v>
      </c>
      <c r="O73" s="1062" t="s">
        <v>398</v>
      </c>
      <c r="P73" s="1063" t="s">
        <v>832</v>
      </c>
      <c r="Q73" s="3867">
        <f ca="1">L67</f>
        <v>0</v>
      </c>
      <c r="R73" s="1064" t="s">
        <v>855</v>
      </c>
    </row>
    <row r="74" spans="1:18" s="1029" customFormat="1" ht="13.5" thickBot="1">
      <c r="A74" s="4425"/>
      <c r="B74" s="696"/>
      <c r="C74" s="4435"/>
      <c r="D74" s="4418"/>
      <c r="E74" s="690" t="s">
        <v>698</v>
      </c>
      <c r="F74" s="3108">
        <f ca="1">F23</f>
        <v>1E-3</v>
      </c>
      <c r="O74" s="1062"/>
      <c r="P74" s="1063"/>
      <c r="Q74" s="3867"/>
      <c r="R74" s="1064"/>
    </row>
    <row r="75" spans="1:18" s="1029" customFormat="1" ht="16.5" thickBot="1">
      <c r="A75" s="576" t="s">
        <v>779</v>
      </c>
      <c r="B75" s="690" t="s">
        <v>714</v>
      </c>
      <c r="C75" s="3033">
        <f ca="1">ROUND(C55*F75,0)</f>
        <v>0</v>
      </c>
      <c r="D75" s="704" t="s">
        <v>3900</v>
      </c>
      <c r="E75" s="690" t="s">
        <v>698</v>
      </c>
      <c r="F75" s="3108">
        <f ca="1">F25</f>
        <v>5.0000000000000001E-3</v>
      </c>
      <c r="O75" s="1072" t="s">
        <v>399</v>
      </c>
      <c r="P75" s="1063" t="s">
        <v>836</v>
      </c>
      <c r="Q75" s="3868">
        <f ca="1">L58</f>
        <v>1570582</v>
      </c>
      <c r="R75" s="1064" t="s">
        <v>856</v>
      </c>
    </row>
    <row r="76" spans="1:18" s="1029" customFormat="1" ht="13.5" thickBot="1">
      <c r="A76" s="697" t="s">
        <v>388</v>
      </c>
      <c r="B76" s="707" t="s">
        <v>738</v>
      </c>
      <c r="C76" s="3081">
        <f ca="1">C55-C63</f>
        <v>-2909</v>
      </c>
      <c r="D76" s="703" t="s">
        <v>3898</v>
      </c>
      <c r="E76" s="708"/>
      <c r="F76" s="3109"/>
      <c r="O76" s="1072"/>
      <c r="P76" s="1063"/>
      <c r="Q76" s="3868"/>
      <c r="R76" s="1064"/>
    </row>
    <row r="77" spans="1:18" s="1029" customFormat="1" ht="16.5" thickBot="1">
      <c r="A77" s="3605" t="s">
        <v>389</v>
      </c>
      <c r="B77" s="688" t="s">
        <v>760</v>
      </c>
      <c r="C77" s="3432">
        <f ca="1">ROUND(C76*(1-((1+F79)/(1+F77))^F78)/(F77-F79),0)</f>
        <v>-33767</v>
      </c>
      <c r="D77" s="3127" t="s">
        <v>744</v>
      </c>
      <c r="E77" s="690" t="s">
        <v>745</v>
      </c>
      <c r="F77" s="3108">
        <f ca="1">F27</f>
        <v>5.5E-2</v>
      </c>
      <c r="O77" s="1072" t="s">
        <v>400</v>
      </c>
      <c r="P77" s="1111" t="s">
        <v>857</v>
      </c>
      <c r="Q77" s="3868">
        <f ca="1">ROUND(Q78-Q79*Q80,0)</f>
        <v>90815</v>
      </c>
      <c r="R77" s="1064" t="s">
        <v>408</v>
      </c>
    </row>
    <row r="78" spans="1:18" s="1029" customFormat="1" ht="13.5" thickBot="1">
      <c r="A78" s="3606"/>
      <c r="B78" s="692"/>
      <c r="C78" s="3433"/>
      <c r="D78" s="3128" t="s">
        <v>748</v>
      </c>
      <c r="E78" s="690" t="s">
        <v>749</v>
      </c>
      <c r="F78" s="3110">
        <f ca="1">F28</f>
        <v>19</v>
      </c>
      <c r="O78" s="1072" t="s">
        <v>405</v>
      </c>
      <c r="P78" s="1111" t="s">
        <v>858</v>
      </c>
      <c r="Q78" s="3868">
        <f ca="1">C26</f>
        <v>109391</v>
      </c>
      <c r="R78" s="1064" t="s">
        <v>804</v>
      </c>
    </row>
    <row r="79" spans="1:18" s="1029" customFormat="1" ht="13.5" thickBot="1">
      <c r="A79" s="3607"/>
      <c r="B79" s="3129"/>
      <c r="C79" s="3129"/>
      <c r="D79" s="3126"/>
      <c r="E79" s="690" t="s">
        <v>752</v>
      </c>
      <c r="F79" s="3103"/>
      <c r="O79" s="1072" t="s">
        <v>406</v>
      </c>
      <c r="P79" s="1111" t="s">
        <v>859</v>
      </c>
      <c r="Q79" s="3868">
        <f ca="1">C50</f>
        <v>265376</v>
      </c>
      <c r="R79" s="1064" t="s">
        <v>804</v>
      </c>
    </row>
    <row r="80" spans="1:18" s="1029" customFormat="1" ht="13.5" thickBot="1">
      <c r="A80" s="694"/>
      <c r="B80" s="3079" t="s">
        <v>3463</v>
      </c>
      <c r="C80" s="3434">
        <f ca="1">ROUND(C77*(1+F30),0)</f>
        <v>-36806</v>
      </c>
      <c r="D80" s="3608" t="str">
        <f>D30</f>
        <v>其他类型公式—收益价值×（1+9%）</v>
      </c>
      <c r="E80" s="1031"/>
      <c r="F80" s="3609"/>
      <c r="O80" s="1072" t="s">
        <v>407</v>
      </c>
      <c r="P80" s="1111" t="s">
        <v>860</v>
      </c>
      <c r="Q80" s="3864">
        <f ca="1">C85</f>
        <v>7.0000000000000007E-2</v>
      </c>
      <c r="R80" s="1064"/>
    </row>
    <row r="81" spans="1:18" s="1029" customFormat="1" ht="13.5" thickBot="1">
      <c r="A81" s="711" t="s">
        <v>390</v>
      </c>
      <c r="B81" s="712" t="s">
        <v>762</v>
      </c>
      <c r="C81" s="3092">
        <f ca="1">ROUND(C80/F81,0)</f>
        <v>-193</v>
      </c>
      <c r="D81" s="713" t="s">
        <v>3494</v>
      </c>
      <c r="E81" s="714" t="s">
        <v>764</v>
      </c>
      <c r="F81" s="3111">
        <f ca="1">F31</f>
        <v>191.15</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62190</v>
      </c>
      <c r="D84" s="1029"/>
      <c r="E84" s="1029"/>
      <c r="F84" s="1029"/>
      <c r="K84" s="1046"/>
      <c r="L84" s="1029"/>
      <c r="O84" s="1062" t="s">
        <v>403</v>
      </c>
      <c r="P84" s="1063" t="s">
        <v>824</v>
      </c>
      <c r="Q84" s="3868">
        <f ca="1">Q72+Q73</f>
        <v>1422637</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0.43100000000000005</v>
      </c>
    </row>
    <row r="89" spans="1:18">
      <c r="B89" s="228" t="s">
        <v>786</v>
      </c>
      <c r="C89" s="3183">
        <f ca="1">ROUND(C84/C26,3)</f>
        <v>0.56899999999999995</v>
      </c>
    </row>
    <row r="90" spans="1:18">
      <c r="B90" s="170" t="s">
        <v>787</v>
      </c>
      <c r="C90" s="138"/>
    </row>
    <row r="91" spans="1:18">
      <c r="B91" s="173" t="s">
        <v>788</v>
      </c>
      <c r="C91" s="3184">
        <f ca="1">1-C92</f>
        <v>0.42300000000000004</v>
      </c>
    </row>
    <row r="92" spans="1:18">
      <c r="B92" s="173" t="s">
        <v>789</v>
      </c>
      <c r="C92" s="3183">
        <f ca="1">ROUND(C51/(C27+J30+L53),3)</f>
        <v>0.57699999999999996</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4" t="s">
        <v>680</v>
      </c>
      <c r="C6" s="784">
        <f ca="1">ROUND(F6*F8*F7*(1-F9),0)</f>
        <v>0</v>
      </c>
      <c r="D6" s="60" t="s">
        <v>2021</v>
      </c>
      <c r="E6" s="191" t="s">
        <v>682</v>
      </c>
      <c r="F6" s="192">
        <f ca="1">INDIRECT("'数据-取费表'!u"&amp;$G$1)</f>
        <v>0</v>
      </c>
      <c r="G6" s="1029"/>
      <c r="H6" s="779" t="s">
        <v>392</v>
      </c>
      <c r="I6" s="4794" t="s">
        <v>680</v>
      </c>
      <c r="J6" s="190">
        <f ca="1">ROUND(M6*M8*M7*(1-M9),0)</f>
        <v>0</v>
      </c>
      <c r="K6" s="1021" t="s">
        <v>2022</v>
      </c>
      <c r="L6" s="191" t="s">
        <v>682</v>
      </c>
      <c r="M6" s="192">
        <f ca="1">INDIRECT("'数据-取费表'!z"&amp;$G$1)</f>
        <v>0</v>
      </c>
    </row>
    <row r="7" spans="1:37" ht="18" customHeight="1">
      <c r="A7" s="783"/>
      <c r="B7" s="4795"/>
      <c r="C7" s="785"/>
      <c r="D7" s="196"/>
      <c r="E7" s="786" t="s">
        <v>683</v>
      </c>
      <c r="F7" s="192">
        <f ca="1">IF(INDIRECT("'数据-取费表'!ah"&amp;$G$1)="",INDIRECT("'数据-取费表'!k"&amp;$G$1),INDIRECT("'数据-取费表'!ah"&amp;$G$1))</f>
        <v>0</v>
      </c>
      <c r="G7" s="1029"/>
      <c r="H7" s="193"/>
      <c r="I7" s="4795"/>
      <c r="J7" s="195"/>
      <c r="K7" s="196"/>
      <c r="L7" s="191" t="s">
        <v>683</v>
      </c>
      <c r="M7" s="192">
        <f ca="1">F7</f>
        <v>0</v>
      </c>
    </row>
    <row r="8" spans="1:37" ht="18" customHeight="1">
      <c r="A8" s="193"/>
      <c r="B8" s="4795"/>
      <c r="C8" s="195"/>
      <c r="D8" s="196"/>
      <c r="E8" s="191" t="s">
        <v>684</v>
      </c>
      <c r="F8" s="192">
        <f ca="1">INDIRECT("'数据-取费表'!ai"&amp;$G$1)</f>
        <v>0</v>
      </c>
      <c r="G8" s="1029"/>
      <c r="H8" s="193"/>
      <c r="I8" s="4795"/>
      <c r="J8" s="195"/>
      <c r="K8" s="196"/>
      <c r="L8" s="191" t="s">
        <v>684</v>
      </c>
      <c r="M8" s="192">
        <f ca="1">INDIRECT("'数据-取费表'!ai"&amp;$G$1)</f>
        <v>0</v>
      </c>
    </row>
    <row r="9" spans="1:37" ht="18" customHeight="1">
      <c r="A9" s="193"/>
      <c r="B9" s="4796"/>
      <c r="C9" s="195"/>
      <c r="D9" s="196"/>
      <c r="E9" s="191" t="s">
        <v>685</v>
      </c>
      <c r="F9" s="201">
        <f ca="1">INDIRECT("'数据-取费表'!w"&amp;$G$1)</f>
        <v>0</v>
      </c>
      <c r="G9" s="1029"/>
      <c r="H9" s="193"/>
      <c r="I9" s="4796"/>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0.06</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5.0000000000000001E-3</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0.01</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0</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86" t="s">
        <v>823</v>
      </c>
      <c r="L53" s="4787"/>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803" t="s">
        <v>2220</v>
      </c>
      <c r="K2" s="4804"/>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805" t="s">
        <v>2230</v>
      </c>
      <c r="K3" s="4806"/>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805" t="s">
        <v>2232</v>
      </c>
      <c r="K4" s="4806"/>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12" t="s">
        <v>3818</v>
      </c>
      <c r="B6" s="4813"/>
      <c r="C6" s="4814"/>
      <c r="D6" s="3884"/>
      <c r="E6" s="4034"/>
      <c r="F6" s="2325"/>
      <c r="G6" s="2326"/>
      <c r="H6" s="2304"/>
      <c r="I6" s="2305"/>
      <c r="J6" s="4797">
        <v>1</v>
      </c>
      <c r="K6" s="4798"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797"/>
      <c r="K7" s="4799"/>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15" t="s">
        <v>2249</v>
      </c>
      <c r="C8" s="4816"/>
      <c r="D8" s="2340" t="s">
        <v>2250</v>
      </c>
      <c r="E8" s="2341" t="s">
        <v>2251</v>
      </c>
      <c r="F8" s="2342" t="s">
        <v>2252</v>
      </c>
      <c r="G8" s="2343"/>
      <c r="H8" s="2304"/>
      <c r="I8" s="2305"/>
      <c r="J8" s="4797"/>
      <c r="K8" s="4799"/>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15" t="s">
        <v>2255</v>
      </c>
      <c r="C9" s="4816"/>
      <c r="D9" s="3886">
        <f>ROUND(D6*E9,0)</f>
        <v>0</v>
      </c>
      <c r="E9" s="3887"/>
      <c r="F9" s="2344" t="s">
        <v>2256</v>
      </c>
      <c r="G9" s="2326"/>
      <c r="H9" s="2304"/>
      <c r="I9" s="2305"/>
      <c r="J9" s="4797"/>
      <c r="K9" s="4799"/>
      <c r="L9" s="2335" t="s">
        <v>2257</v>
      </c>
      <c r="M9" s="4162"/>
      <c r="N9" s="4161"/>
      <c r="O9" s="2348"/>
      <c r="P9" s="2348"/>
      <c r="Q9" s="4161">
        <v>365</v>
      </c>
      <c r="R9" s="4160">
        <f t="shared" si="0"/>
        <v>0</v>
      </c>
      <c r="S9" s="2298"/>
      <c r="T9" s="2298"/>
      <c r="U9" s="2298"/>
      <c r="V9" s="2305"/>
    </row>
    <row r="10" spans="1:22" s="2309" customFormat="1" ht="13.15" customHeight="1">
      <c r="A10" s="2339">
        <v>2</v>
      </c>
      <c r="B10" s="4815" t="s">
        <v>2258</v>
      </c>
      <c r="C10" s="4816"/>
      <c r="D10" s="3886">
        <f>ROUND(D6*E10,0)</f>
        <v>0</v>
      </c>
      <c r="E10" s="3887"/>
      <c r="F10" s="4029" t="s">
        <v>3741</v>
      </c>
      <c r="G10" s="2326"/>
      <c r="H10" s="2304"/>
      <c r="I10" s="2305"/>
      <c r="J10" s="4797"/>
      <c r="K10" s="4799"/>
      <c r="L10" s="2335" t="s">
        <v>2259</v>
      </c>
      <c r="M10" s="4162"/>
      <c r="N10" s="4161"/>
      <c r="O10" s="2348"/>
      <c r="P10" s="2348"/>
      <c r="Q10" s="4161">
        <v>365</v>
      </c>
      <c r="R10" s="4160">
        <f t="shared" si="0"/>
        <v>0</v>
      </c>
      <c r="S10" s="2298"/>
      <c r="T10" s="2298"/>
      <c r="U10" s="2298"/>
      <c r="V10" s="2305"/>
    </row>
    <row r="11" spans="1:22" s="2309" customFormat="1" ht="13.15" customHeight="1">
      <c r="A11" s="2339">
        <v>3</v>
      </c>
      <c r="B11" s="4815" t="s">
        <v>2260</v>
      </c>
      <c r="C11" s="4816"/>
      <c r="D11" s="3886">
        <f>D12+D14+D15+D16</f>
        <v>0</v>
      </c>
      <c r="E11" s="3888" t="e">
        <f>D11/D6</f>
        <v>#DIV/0!</v>
      </c>
      <c r="F11" s="2342"/>
      <c r="G11" s="2343"/>
      <c r="H11" s="2304"/>
      <c r="I11" s="2305"/>
      <c r="J11" s="4797"/>
      <c r="K11" s="4799"/>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09" t="s">
        <v>2263</v>
      </c>
      <c r="C12" s="4808"/>
      <c r="D12" s="3889">
        <f>ROUND(D13*1.2%*(1-30%),0)</f>
        <v>0</v>
      </c>
      <c r="E12" s="3890">
        <v>1.2E-2</v>
      </c>
      <c r="F12" s="2342" t="s">
        <v>2264</v>
      </c>
      <c r="G12" s="2343"/>
      <c r="H12" s="2304"/>
      <c r="I12" s="2305"/>
      <c r="J12" s="4797"/>
      <c r="K12" s="4799"/>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797"/>
      <c r="K13" s="4799"/>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09" t="s">
        <v>2269</v>
      </c>
      <c r="C14" s="4808"/>
      <c r="D14" s="3889">
        <f>ROUND(E14*B5/10000,0)</f>
        <v>0</v>
      </c>
      <c r="E14" s="3892"/>
      <c r="F14" s="2342" t="s">
        <v>2270</v>
      </c>
      <c r="G14" s="2343"/>
      <c r="H14" s="2304"/>
      <c r="I14" s="2305"/>
      <c r="J14" s="4797"/>
      <c r="K14" s="4800"/>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07" t="s">
        <v>3815</v>
      </c>
      <c r="C15" s="4808"/>
      <c r="D15" s="3889">
        <f>IF(F15="酒店",E48*(1+E15),IF(F15="购物中心",E67*(1+E15),IF(F15="按比例计算-酒店",E46,E65)))</f>
        <v>0</v>
      </c>
      <c r="E15" s="3890">
        <f>'数据-取费表'!B44</f>
        <v>0.1</v>
      </c>
      <c r="F15" s="4032" t="s">
        <v>3880</v>
      </c>
      <c r="G15" s="4033"/>
      <c r="H15" s="2304"/>
      <c r="I15" s="2305"/>
      <c r="J15" s="4797">
        <v>2</v>
      </c>
      <c r="K15" s="4798"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09" t="s">
        <v>2280</v>
      </c>
      <c r="C16" s="4808"/>
      <c r="D16" s="3893">
        <f>D6*E16</f>
        <v>0</v>
      </c>
      <c r="E16" s="3894"/>
      <c r="F16" s="2344" t="s">
        <v>2281</v>
      </c>
      <c r="G16" s="2326"/>
      <c r="H16" s="2304"/>
      <c r="I16" s="2305"/>
      <c r="J16" s="4797"/>
      <c r="K16" s="4799"/>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0" t="s">
        <v>2283</v>
      </c>
      <c r="C17" s="4811"/>
      <c r="D17" s="3895">
        <f>ROUND(D6*E17,0)</f>
        <v>0</v>
      </c>
      <c r="E17" s="3896"/>
      <c r="F17" s="4030" t="s">
        <v>3742</v>
      </c>
      <c r="G17" s="2326"/>
      <c r="H17" s="2304"/>
      <c r="I17" s="2305"/>
      <c r="J17" s="4797"/>
      <c r="K17" s="4799"/>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797"/>
      <c r="K18" s="4799"/>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797"/>
      <c r="K19" s="4800"/>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797">
        <v>3</v>
      </c>
      <c r="K20" s="4798"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797"/>
      <c r="K21" s="4799"/>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797"/>
      <c r="K22" s="4799"/>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797"/>
      <c r="K23" s="4799"/>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797"/>
      <c r="K24" s="4800"/>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01">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02"/>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803" t="s">
        <v>2220</v>
      </c>
      <c r="K32" s="4804"/>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805" t="s">
        <v>2230</v>
      </c>
      <c r="K33" s="4806"/>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805" t="s">
        <v>2232</v>
      </c>
      <c r="K34" s="4806"/>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797">
        <v>1</v>
      </c>
      <c r="K36" s="4798"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797"/>
      <c r="K37" s="4799"/>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797"/>
      <c r="K38" s="4799"/>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797"/>
      <c r="K39" s="4799"/>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797"/>
      <c r="K40" s="4800"/>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01">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02"/>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167.79830000000001</v>
      </c>
      <c r="C2" s="1484" t="s">
        <v>1566</v>
      </c>
      <c r="D2" s="1485" t="s">
        <v>1567</v>
      </c>
      <c r="E2" s="3229">
        <f>SUM(E6:E13)</f>
        <v>191.15</v>
      </c>
      <c r="F2" s="2186"/>
      <c r="G2" s="1133"/>
      <c r="H2" s="1133"/>
      <c r="I2" s="1133"/>
      <c r="J2" s="1133"/>
      <c r="K2" s="1133"/>
      <c r="L2" s="1133"/>
      <c r="M2" s="1133"/>
      <c r="N2" s="1133"/>
      <c r="O2" s="1133"/>
      <c r="P2" s="1133"/>
      <c r="Q2" s="1133"/>
      <c r="R2" s="1133"/>
      <c r="S2" s="1133"/>
    </row>
    <row r="3" spans="1:22" ht="15.75">
      <c r="A3" s="1483" t="s">
        <v>673</v>
      </c>
      <c r="B3" s="3228">
        <f ca="1">ROUND(B2*10000/E2,0)</f>
        <v>8778</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7" t="s">
        <v>1569</v>
      </c>
      <c r="C5" s="4818"/>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6">
        <f ca="1">IF(F6="是",'数据-取费表'!AO6,0)</f>
        <v>167.79830000000001</v>
      </c>
      <c r="C6" s="1484" t="s">
        <v>1566</v>
      </c>
      <c r="D6" s="2188"/>
      <c r="E6" s="3230">
        <f>IF(OR(A6=0,F6="否"),0,'数据-取费表'!K6+'数据-取费表'!S6)</f>
        <v>191.15</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2" t="s">
        <v>1999</v>
      </c>
      <c r="D1" s="4823"/>
      <c r="E1" s="4823"/>
      <c r="F1" s="4823"/>
      <c r="G1" s="4823"/>
      <c r="H1" s="4823"/>
      <c r="I1" s="4823"/>
      <c r="J1" s="4823"/>
      <c r="K1" s="4823"/>
      <c r="L1" s="4823"/>
      <c r="M1" s="4823"/>
      <c r="N1" s="4823"/>
      <c r="O1" s="4823"/>
      <c r="P1" s="4823"/>
      <c r="Q1" s="4823"/>
      <c r="R1" s="4823"/>
      <c r="S1" s="4824"/>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9" t="s">
        <v>25</v>
      </c>
      <c r="D22" s="4820"/>
      <c r="E22" s="4820"/>
      <c r="F22" s="4820"/>
      <c r="G22" s="4820"/>
      <c r="H22" s="4820"/>
      <c r="I22" s="4820"/>
      <c r="J22" s="4820"/>
      <c r="K22" s="4820"/>
      <c r="L22" s="4820"/>
      <c r="M22" s="4820"/>
      <c r="N22" s="4820"/>
      <c r="O22" s="4820"/>
      <c r="P22" s="4820"/>
      <c r="Q22" s="4821"/>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191.15</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4" t="s">
        <v>1582</v>
      </c>
      <c r="D4" s="4845"/>
      <c r="E4" s="4846" t="s">
        <v>1583</v>
      </c>
      <c r="F4" s="4847"/>
      <c r="G4" s="4844" t="s">
        <v>1584</v>
      </c>
      <c r="H4" s="4845"/>
      <c r="I4" s="4844" t="s">
        <v>1585</v>
      </c>
      <c r="J4" s="4845"/>
      <c r="K4" s="3159" t="s">
        <v>1586</v>
      </c>
      <c r="L4" s="2194"/>
      <c r="M4" s="2195"/>
      <c r="N4" s="2195"/>
      <c r="O4" s="2195"/>
      <c r="P4" s="4848" t="s">
        <v>1587</v>
      </c>
      <c r="Q4" s="4849"/>
      <c r="R4" s="4854" t="s">
        <v>1583</v>
      </c>
      <c r="S4" s="4855"/>
      <c r="T4" s="4854" t="s">
        <v>1584</v>
      </c>
      <c r="U4" s="4855"/>
      <c r="V4" s="4860" t="s">
        <v>1585</v>
      </c>
      <c r="W4" s="4860"/>
      <c r="X4" s="1001"/>
      <c r="Y4" s="4869" t="s">
        <v>1587</v>
      </c>
      <c r="Z4" s="4870"/>
      <c r="AA4" s="4841" t="s">
        <v>1583</v>
      </c>
      <c r="AB4" s="4841" t="s">
        <v>1584</v>
      </c>
      <c r="AC4" s="4841" t="s">
        <v>1585</v>
      </c>
    </row>
    <row r="5" spans="1:29" ht="15">
      <c r="A5" s="245"/>
      <c r="B5" s="246"/>
      <c r="C5" s="4863" t="s">
        <v>1588</v>
      </c>
      <c r="D5" s="4864"/>
      <c r="E5" s="4878" t="s">
        <v>1589</v>
      </c>
      <c r="F5" s="4879"/>
      <c r="G5" s="4863" t="s">
        <v>1590</v>
      </c>
      <c r="H5" s="4864"/>
      <c r="I5" s="4863" t="s">
        <v>1591</v>
      </c>
      <c r="J5" s="4864"/>
      <c r="K5" s="3160"/>
      <c r="L5" s="2194"/>
      <c r="M5" s="2195"/>
      <c r="N5" s="2195"/>
      <c r="O5" s="2195"/>
      <c r="P5" s="4850"/>
      <c r="Q5" s="4851"/>
      <c r="R5" s="4856"/>
      <c r="S5" s="4857"/>
      <c r="T5" s="4856"/>
      <c r="U5" s="4857"/>
      <c r="V5" s="4860"/>
      <c r="W5" s="4860"/>
      <c r="X5" s="1001"/>
      <c r="Y5" s="4871"/>
      <c r="Z5" s="4872"/>
      <c r="AA5" s="4842"/>
      <c r="AB5" s="4842"/>
      <c r="AC5" s="4842"/>
    </row>
    <row r="6" spans="1:29" ht="15.75" thickBot="1">
      <c r="A6" s="247"/>
      <c r="B6" s="248"/>
      <c r="C6" s="4861" t="s">
        <v>1592</v>
      </c>
      <c r="D6" s="4862"/>
      <c r="E6" s="4876" t="s">
        <v>1592</v>
      </c>
      <c r="F6" s="4877"/>
      <c r="G6" s="4861" t="s">
        <v>1592</v>
      </c>
      <c r="H6" s="4862"/>
      <c r="I6" s="4861" t="s">
        <v>1592</v>
      </c>
      <c r="J6" s="4862"/>
      <c r="K6" s="3160" t="s">
        <v>1593</v>
      </c>
      <c r="L6" s="2194"/>
      <c r="M6" s="2195"/>
      <c r="N6" s="2195"/>
      <c r="O6" s="2195"/>
      <c r="P6" s="4852"/>
      <c r="Q6" s="4853"/>
      <c r="R6" s="4856"/>
      <c r="S6" s="4857"/>
      <c r="T6" s="4858"/>
      <c r="U6" s="4859"/>
      <c r="V6" s="4860"/>
      <c r="W6" s="4860"/>
      <c r="X6" s="1001"/>
      <c r="Y6" s="4873"/>
      <c r="Z6" s="4874"/>
      <c r="AA6" s="4843"/>
      <c r="AB6" s="4843"/>
      <c r="AC6" s="4843"/>
    </row>
    <row r="7" spans="1:29" s="49" customFormat="1" ht="15.75" thickBot="1">
      <c r="A7" s="249" t="s">
        <v>1594</v>
      </c>
      <c r="B7" s="250"/>
      <c r="C7" s="3161">
        <f>'数据-取费表'!B2</f>
        <v>46047</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65" t="s">
        <v>1595</v>
      </c>
      <c r="Q7" s="4875"/>
      <c r="R7" s="4099" t="s">
        <v>18</v>
      </c>
      <c r="S7" s="3556">
        <f t="shared" ref="S7:S15" si="0">F7</f>
        <v>0</v>
      </c>
      <c r="T7" s="4099" t="s">
        <v>18</v>
      </c>
      <c r="U7" s="3556">
        <f t="shared" ref="U7:U15" si="1">H7</f>
        <v>0</v>
      </c>
      <c r="V7" s="4099" t="s">
        <v>18</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65" t="s">
        <v>1598</v>
      </c>
      <c r="Q8" s="4866"/>
      <c r="R8" s="4099" t="s">
        <v>18</v>
      </c>
      <c r="S8" s="3556">
        <f t="shared" si="0"/>
        <v>100</v>
      </c>
      <c r="T8" s="4099" t="s">
        <v>18</v>
      </c>
      <c r="U8" s="3556">
        <f t="shared" si="1"/>
        <v>100</v>
      </c>
      <c r="V8" s="4099" t="s">
        <v>18</v>
      </c>
      <c r="W8" s="3556">
        <f t="shared" si="2"/>
        <v>100</v>
      </c>
      <c r="X8" s="515"/>
      <c r="Y8" s="4867" t="s">
        <v>1598</v>
      </c>
      <c r="Z8" s="4868"/>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39"/>
      <c r="Q11" s="3135" t="str">
        <f t="shared" si="6"/>
        <v>容积率</v>
      </c>
      <c r="R11" s="4099" t="s">
        <v>16</v>
      </c>
      <c r="S11" s="3556" t="e">
        <f t="shared" si="0"/>
        <v>#N/A</v>
      </c>
      <c r="T11" s="4099" t="s">
        <v>16</v>
      </c>
      <c r="U11" s="3556" t="e">
        <f t="shared" si="1"/>
        <v>#N/A</v>
      </c>
      <c r="V11" s="4099" t="s">
        <v>16</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39"/>
      <c r="Q12" s="3135">
        <f t="shared" si="6"/>
        <v>111</v>
      </c>
      <c r="R12" s="4099" t="s">
        <v>16</v>
      </c>
      <c r="S12" s="3556">
        <f t="shared" si="0"/>
        <v>100</v>
      </c>
      <c r="T12" s="4099" t="s">
        <v>16</v>
      </c>
      <c r="U12" s="3556">
        <f t="shared" si="1"/>
        <v>100</v>
      </c>
      <c r="V12" s="4099" t="s">
        <v>16</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39"/>
      <c r="Q13" s="3135">
        <f t="shared" si="6"/>
        <v>111</v>
      </c>
      <c r="R13" s="4099" t="s">
        <v>16</v>
      </c>
      <c r="S13" s="3556">
        <f t="shared" si="0"/>
        <v>100</v>
      </c>
      <c r="T13" s="4099" t="s">
        <v>16</v>
      </c>
      <c r="U13" s="3556">
        <f t="shared" si="1"/>
        <v>100</v>
      </c>
      <c r="V13" s="4099" t="s">
        <v>16</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39"/>
      <c r="Q14" s="3135">
        <f t="shared" si="6"/>
        <v>111</v>
      </c>
      <c r="R14" s="4099" t="s">
        <v>16</v>
      </c>
      <c r="S14" s="3556">
        <f t="shared" si="0"/>
        <v>100</v>
      </c>
      <c r="T14" s="4099" t="s">
        <v>16</v>
      </c>
      <c r="U14" s="3556">
        <f t="shared" si="1"/>
        <v>100</v>
      </c>
      <c r="V14" s="4099" t="s">
        <v>16</v>
      </c>
      <c r="W14" s="3556">
        <f t="shared" si="2"/>
        <v>100</v>
      </c>
      <c r="X14" s="515"/>
      <c r="Y14" s="4840"/>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37" t="s">
        <v>1606</v>
      </c>
      <c r="Q15" s="1657" t="str">
        <f t="shared" si="6"/>
        <v>居住社区成熟度</v>
      </c>
      <c r="R15" s="4224" t="s">
        <v>16</v>
      </c>
      <c r="S15" s="3557">
        <f t="shared" si="0"/>
        <v>100</v>
      </c>
      <c r="T15" s="4224" t="s">
        <v>16</v>
      </c>
      <c r="U15" s="3557">
        <f t="shared" si="1"/>
        <v>100</v>
      </c>
      <c r="V15" s="4224" t="s">
        <v>16</v>
      </c>
      <c r="W15" s="3557">
        <f t="shared" si="2"/>
        <v>100</v>
      </c>
      <c r="X15" s="1001"/>
      <c r="Y15" s="4830"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38"/>
      <c r="Q16" s="1657"/>
      <c r="R16" s="4224"/>
      <c r="S16" s="3557"/>
      <c r="T16" s="4224"/>
      <c r="U16" s="3557"/>
      <c r="V16" s="4224"/>
      <c r="W16" s="3557"/>
      <c r="X16" s="1001"/>
      <c r="Y16" s="4831"/>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38"/>
      <c r="Q17" s="1657" t="str">
        <f>B17</f>
        <v>交通便捷度</v>
      </c>
      <c r="R17" s="4224" t="s">
        <v>16</v>
      </c>
      <c r="S17" s="3557">
        <f>F17</f>
        <v>100</v>
      </c>
      <c r="T17" s="4224" t="s">
        <v>16</v>
      </c>
      <c r="U17" s="3557">
        <f>H17</f>
        <v>100</v>
      </c>
      <c r="V17" s="4224" t="s">
        <v>16</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38"/>
      <c r="Q19" s="1657" t="str">
        <f>B19</f>
        <v>公共配套设施</v>
      </c>
      <c r="R19" s="4224" t="s">
        <v>16</v>
      </c>
      <c r="S19" s="3557">
        <f>F19</f>
        <v>100</v>
      </c>
      <c r="T19" s="4224" t="s">
        <v>16</v>
      </c>
      <c r="U19" s="3557">
        <f>H19</f>
        <v>100</v>
      </c>
      <c r="V19" s="4224" t="s">
        <v>16</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38"/>
      <c r="Q22" s="1657"/>
      <c r="R22" s="4224"/>
      <c r="S22" s="3557"/>
      <c r="T22" s="4224"/>
      <c r="U22" s="3557"/>
      <c r="V22" s="4224"/>
      <c r="W22" s="3557"/>
      <c r="X22" s="1001"/>
      <c r="Y22" s="4831"/>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38"/>
      <c r="Q23" s="1657" t="str">
        <f>B23</f>
        <v>自然及人文环境</v>
      </c>
      <c r="R23" s="4224" t="s">
        <v>16</v>
      </c>
      <c r="S23" s="3557">
        <f>F23</f>
        <v>100</v>
      </c>
      <c r="T23" s="4224" t="s">
        <v>16</v>
      </c>
      <c r="U23" s="3557">
        <f>H23</f>
        <v>100</v>
      </c>
      <c r="V23" s="4224" t="s">
        <v>16</v>
      </c>
      <c r="W23" s="3557">
        <f>J23</f>
        <v>100</v>
      </c>
      <c r="X23" s="1001"/>
      <c r="Y23" s="4831"/>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38"/>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31"/>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38"/>
      <c r="Q26" s="1657" t="str">
        <f t="shared" si="11"/>
        <v>朝向</v>
      </c>
      <c r="R26" s="4224" t="s">
        <v>16</v>
      </c>
      <c r="S26" s="3557">
        <f t="shared" si="12"/>
        <v>100</v>
      </c>
      <c r="T26" s="4224" t="s">
        <v>16</v>
      </c>
      <c r="U26" s="3557">
        <f t="shared" si="13"/>
        <v>100</v>
      </c>
      <c r="V26" s="4224" t="s">
        <v>16</v>
      </c>
      <c r="W26" s="3557">
        <f t="shared" si="14"/>
        <v>100</v>
      </c>
      <c r="X26" s="1001"/>
      <c r="Y26" s="4831"/>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38"/>
      <c r="Q27" s="3135">
        <f t="shared" si="11"/>
        <v>111</v>
      </c>
      <c r="R27" s="4099" t="s">
        <v>16</v>
      </c>
      <c r="S27" s="3556">
        <f t="shared" si="12"/>
        <v>100</v>
      </c>
      <c r="T27" s="4099" t="s">
        <v>16</v>
      </c>
      <c r="U27" s="3556">
        <f t="shared" si="13"/>
        <v>100</v>
      </c>
      <c r="V27" s="4099" t="s">
        <v>16</v>
      </c>
      <c r="W27" s="3556">
        <f t="shared" si="14"/>
        <v>100</v>
      </c>
      <c r="X27" s="515"/>
      <c r="Y27" s="4831"/>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38"/>
      <c r="Q28" s="1657">
        <f t="shared" si="11"/>
        <v>111</v>
      </c>
      <c r="R28" s="4224" t="s">
        <v>16</v>
      </c>
      <c r="S28" s="3557">
        <f t="shared" si="12"/>
        <v>100</v>
      </c>
      <c r="T28" s="4224" t="s">
        <v>16</v>
      </c>
      <c r="U28" s="3557">
        <f t="shared" si="13"/>
        <v>100</v>
      </c>
      <c r="V28" s="4224" t="s">
        <v>16</v>
      </c>
      <c r="W28" s="3557">
        <f t="shared" si="14"/>
        <v>100</v>
      </c>
      <c r="X28" s="1001"/>
      <c r="Y28" s="4831"/>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38"/>
      <c r="Q29" s="1657">
        <f t="shared" si="11"/>
        <v>111</v>
      </c>
      <c r="R29" s="4224" t="s">
        <v>16</v>
      </c>
      <c r="S29" s="3557">
        <f t="shared" si="12"/>
        <v>100</v>
      </c>
      <c r="T29" s="4224" t="s">
        <v>16</v>
      </c>
      <c r="U29" s="3557">
        <f t="shared" si="13"/>
        <v>100</v>
      </c>
      <c r="V29" s="4224" t="s">
        <v>16</v>
      </c>
      <c r="W29" s="3557">
        <f t="shared" si="14"/>
        <v>100</v>
      </c>
      <c r="X29" s="1001"/>
      <c r="Y29" s="4831"/>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38"/>
      <c r="Q30" s="1657">
        <f t="shared" si="11"/>
        <v>111</v>
      </c>
      <c r="R30" s="4224" t="s">
        <v>16</v>
      </c>
      <c r="S30" s="3557">
        <f t="shared" si="12"/>
        <v>100</v>
      </c>
      <c r="T30" s="4224" t="s">
        <v>16</v>
      </c>
      <c r="U30" s="3557">
        <f t="shared" si="13"/>
        <v>100</v>
      </c>
      <c r="V30" s="4224" t="s">
        <v>16</v>
      </c>
      <c r="W30" s="3557">
        <f t="shared" si="14"/>
        <v>100</v>
      </c>
      <c r="X30" s="1001"/>
      <c r="Y30" s="4831"/>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38"/>
      <c r="Q31" s="1657">
        <f t="shared" si="11"/>
        <v>111</v>
      </c>
      <c r="R31" s="4224" t="s">
        <v>16</v>
      </c>
      <c r="S31" s="3557">
        <f t="shared" si="12"/>
        <v>100</v>
      </c>
      <c r="T31" s="4224" t="s">
        <v>16</v>
      </c>
      <c r="U31" s="3557">
        <f t="shared" si="13"/>
        <v>100</v>
      </c>
      <c r="V31" s="4224" t="s">
        <v>16</v>
      </c>
      <c r="W31" s="3557">
        <f t="shared" si="14"/>
        <v>100</v>
      </c>
      <c r="X31" s="1001"/>
      <c r="Y31" s="4831"/>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32" t="s">
        <v>1611</v>
      </c>
      <c r="Q32" s="1657" t="str">
        <f t="shared" si="11"/>
        <v>建筑类型</v>
      </c>
      <c r="R32" s="4224" t="s">
        <v>16</v>
      </c>
      <c r="S32" s="3557">
        <f t="shared" si="12"/>
        <v>100</v>
      </c>
      <c r="T32" s="4224" t="s">
        <v>16</v>
      </c>
      <c r="U32" s="3557">
        <f t="shared" si="13"/>
        <v>100</v>
      </c>
      <c r="V32" s="4224" t="s">
        <v>16</v>
      </c>
      <c r="W32" s="3557">
        <f t="shared" si="14"/>
        <v>100</v>
      </c>
      <c r="X32" s="1001"/>
      <c r="Y32" s="4835"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33"/>
      <c r="Q33" s="3215" t="str">
        <f t="shared" si="11"/>
        <v>项目建筑规模</v>
      </c>
      <c r="R33" s="4225" t="s">
        <v>16</v>
      </c>
      <c r="S33" s="3558" t="e">
        <f t="shared" si="12"/>
        <v>#N/A</v>
      </c>
      <c r="T33" s="4225" t="s">
        <v>16</v>
      </c>
      <c r="U33" s="3558" t="e">
        <f t="shared" si="13"/>
        <v>#N/A</v>
      </c>
      <c r="V33" s="4225" t="s">
        <v>16</v>
      </c>
      <c r="W33" s="3558" t="e">
        <f t="shared" si="14"/>
        <v>#N/A</v>
      </c>
      <c r="X33" s="518"/>
      <c r="Y33" s="4835"/>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33"/>
      <c r="Q34" s="1657" t="str">
        <f t="shared" si="11"/>
        <v>建筑结构</v>
      </c>
      <c r="R34" s="4224" t="s">
        <v>16</v>
      </c>
      <c r="S34" s="3557">
        <f t="shared" si="12"/>
        <v>100</v>
      </c>
      <c r="T34" s="4224" t="s">
        <v>16</v>
      </c>
      <c r="U34" s="3557">
        <f t="shared" si="13"/>
        <v>100</v>
      </c>
      <c r="V34" s="4224" t="s">
        <v>16</v>
      </c>
      <c r="W34" s="3557">
        <f t="shared" si="14"/>
        <v>100</v>
      </c>
      <c r="X34" s="1001"/>
      <c r="Y34" s="4835"/>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33"/>
      <c r="Q35" s="1657" t="str">
        <f t="shared" si="11"/>
        <v>建筑品质</v>
      </c>
      <c r="R35" s="4224" t="s">
        <v>16</v>
      </c>
      <c r="S35" s="3557">
        <f t="shared" si="12"/>
        <v>100</v>
      </c>
      <c r="T35" s="4224" t="s">
        <v>16</v>
      </c>
      <c r="U35" s="3557">
        <f t="shared" si="13"/>
        <v>100</v>
      </c>
      <c r="V35" s="4224" t="s">
        <v>16</v>
      </c>
      <c r="W35" s="3557">
        <f t="shared" si="14"/>
        <v>100</v>
      </c>
      <c r="X35" s="1001"/>
      <c r="Y35" s="4835"/>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33"/>
      <c r="Q36" s="1657" t="str">
        <f t="shared" si="11"/>
        <v>公共部分装修</v>
      </c>
      <c r="R36" s="4224" t="s">
        <v>16</v>
      </c>
      <c r="S36" s="3557">
        <f t="shared" si="12"/>
        <v>100</v>
      </c>
      <c r="T36" s="4224" t="s">
        <v>16</v>
      </c>
      <c r="U36" s="3557">
        <f t="shared" si="13"/>
        <v>100</v>
      </c>
      <c r="V36" s="4224" t="s">
        <v>16</v>
      </c>
      <c r="W36" s="3557">
        <f t="shared" si="14"/>
        <v>100</v>
      </c>
      <c r="X36" s="1001"/>
      <c r="Y36" s="4835"/>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33"/>
      <c r="Q37" s="3135" t="str">
        <f t="shared" si="11"/>
        <v>成新度</v>
      </c>
      <c r="R37" s="4099" t="s">
        <v>16</v>
      </c>
      <c r="S37" s="3556" t="e">
        <f t="shared" si="12"/>
        <v>#N/A</v>
      </c>
      <c r="T37" s="4099" t="s">
        <v>16</v>
      </c>
      <c r="U37" s="3556" t="e">
        <f t="shared" si="13"/>
        <v>#N/A</v>
      </c>
      <c r="V37" s="4099" t="s">
        <v>16</v>
      </c>
      <c r="W37" s="3556" t="e">
        <f t="shared" si="14"/>
        <v>#N/A</v>
      </c>
      <c r="X37" s="515"/>
      <c r="Y37" s="4835"/>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33" t="s">
        <v>1611</v>
      </c>
      <c r="Q38" s="1657" t="str">
        <f t="shared" si="11"/>
        <v>物业管理</v>
      </c>
      <c r="R38" s="4224" t="s">
        <v>16</v>
      </c>
      <c r="S38" s="3557">
        <f t="shared" si="12"/>
        <v>100</v>
      </c>
      <c r="T38" s="4224" t="s">
        <v>16</v>
      </c>
      <c r="U38" s="3557">
        <f t="shared" si="13"/>
        <v>100</v>
      </c>
      <c r="V38" s="4224" t="s">
        <v>16</v>
      </c>
      <c r="W38" s="3557">
        <f t="shared" si="14"/>
        <v>100</v>
      </c>
      <c r="X38" s="1001"/>
      <c r="Y38" s="4835"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33"/>
      <c r="Q39" s="1657" t="str">
        <f t="shared" si="11"/>
        <v>市政基础设施</v>
      </c>
      <c r="R39" s="4224" t="s">
        <v>16</v>
      </c>
      <c r="S39" s="3557">
        <f t="shared" si="12"/>
        <v>100</v>
      </c>
      <c r="T39" s="4224" t="s">
        <v>16</v>
      </c>
      <c r="U39" s="3557">
        <f t="shared" si="13"/>
        <v>100</v>
      </c>
      <c r="V39" s="4224" t="s">
        <v>16</v>
      </c>
      <c r="W39" s="3557">
        <f t="shared" si="14"/>
        <v>100</v>
      </c>
      <c r="X39" s="1001"/>
      <c r="Y39" s="4835"/>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33"/>
      <c r="Q40" s="1657" t="str">
        <f t="shared" si="11"/>
        <v>房型</v>
      </c>
      <c r="R40" s="4224" t="s">
        <v>16</v>
      </c>
      <c r="S40" s="3557">
        <f t="shared" si="12"/>
        <v>100</v>
      </c>
      <c r="T40" s="4224" t="s">
        <v>16</v>
      </c>
      <c r="U40" s="3557">
        <f t="shared" si="13"/>
        <v>100</v>
      </c>
      <c r="V40" s="4224" t="s">
        <v>16</v>
      </c>
      <c r="W40" s="3557">
        <f t="shared" si="14"/>
        <v>100</v>
      </c>
      <c r="X40" s="1001"/>
      <c r="Y40" s="4835"/>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33"/>
      <c r="Q41" s="3215" t="str">
        <f t="shared" si="11"/>
        <v>单套/主力户型建筑面积</v>
      </c>
      <c r="R41" s="4225" t="s">
        <v>16</v>
      </c>
      <c r="S41" s="3558">
        <f t="shared" si="12"/>
        <v>100</v>
      </c>
      <c r="T41" s="4225" t="s">
        <v>16</v>
      </c>
      <c r="U41" s="3558">
        <f t="shared" si="13"/>
        <v>100</v>
      </c>
      <c r="V41" s="4225" t="s">
        <v>16</v>
      </c>
      <c r="W41" s="3558">
        <f t="shared" si="14"/>
        <v>100</v>
      </c>
      <c r="X41" s="518"/>
      <c r="Y41" s="4835"/>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33"/>
      <c r="Q42" s="1657" t="str">
        <f t="shared" si="11"/>
        <v>内部装修</v>
      </c>
      <c r="R42" s="4224" t="s">
        <v>16</v>
      </c>
      <c r="S42" s="3557">
        <f t="shared" si="12"/>
        <v>100</v>
      </c>
      <c r="T42" s="4224" t="s">
        <v>16</v>
      </c>
      <c r="U42" s="3557">
        <f t="shared" si="13"/>
        <v>100</v>
      </c>
      <c r="V42" s="4224" t="s">
        <v>16</v>
      </c>
      <c r="W42" s="3557">
        <f t="shared" si="14"/>
        <v>100</v>
      </c>
      <c r="X42" s="1001"/>
      <c r="Y42" s="4835"/>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33"/>
      <c r="Q43" s="1657" t="str">
        <f t="shared" si="11"/>
        <v>内部装修维护情况</v>
      </c>
      <c r="R43" s="4224" t="s">
        <v>16</v>
      </c>
      <c r="S43" s="3557">
        <f t="shared" si="12"/>
        <v>100</v>
      </c>
      <c r="T43" s="4224" t="s">
        <v>16</v>
      </c>
      <c r="U43" s="3557">
        <f t="shared" si="13"/>
        <v>100</v>
      </c>
      <c r="V43" s="4224" t="s">
        <v>16</v>
      </c>
      <c r="W43" s="3557">
        <f t="shared" si="14"/>
        <v>100</v>
      </c>
      <c r="X43" s="1001"/>
      <c r="Y43" s="4835"/>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33"/>
      <c r="Q44" s="3135">
        <f t="shared" si="11"/>
        <v>111</v>
      </c>
      <c r="R44" s="4099" t="s">
        <v>16</v>
      </c>
      <c r="S44" s="3556">
        <f t="shared" si="12"/>
        <v>100</v>
      </c>
      <c r="T44" s="4099" t="s">
        <v>16</v>
      </c>
      <c r="U44" s="3556">
        <f t="shared" si="13"/>
        <v>100</v>
      </c>
      <c r="V44" s="4099" t="s">
        <v>16</v>
      </c>
      <c r="W44" s="3556">
        <f t="shared" si="14"/>
        <v>100</v>
      </c>
      <c r="X44" s="515"/>
      <c r="Y44" s="4835"/>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33"/>
      <c r="Q45" s="1657">
        <f t="shared" si="11"/>
        <v>111</v>
      </c>
      <c r="R45" s="4224" t="s">
        <v>16</v>
      </c>
      <c r="S45" s="3557">
        <f t="shared" si="12"/>
        <v>100</v>
      </c>
      <c r="T45" s="4224" t="s">
        <v>16</v>
      </c>
      <c r="U45" s="3557">
        <f t="shared" si="13"/>
        <v>100</v>
      </c>
      <c r="V45" s="4224" t="s">
        <v>16</v>
      </c>
      <c r="W45" s="3557">
        <f t="shared" si="14"/>
        <v>100</v>
      </c>
      <c r="X45" s="1001"/>
      <c r="Y45" s="4835"/>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34"/>
      <c r="Q46" s="1657">
        <f t="shared" si="11"/>
        <v>111</v>
      </c>
      <c r="R46" s="4224" t="s">
        <v>15</v>
      </c>
      <c r="S46" s="3557">
        <f t="shared" si="12"/>
        <v>100</v>
      </c>
      <c r="T46" s="4224" t="s">
        <v>15</v>
      </c>
      <c r="U46" s="3557">
        <f t="shared" si="13"/>
        <v>100</v>
      </c>
      <c r="V46" s="4224" t="s">
        <v>15</v>
      </c>
      <c r="W46" s="3557">
        <f t="shared" si="14"/>
        <v>100</v>
      </c>
      <c r="X46" s="1001"/>
      <c r="Y46" s="4836"/>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4" t="s">
        <v>1685</v>
      </c>
      <c r="D4" s="4845"/>
      <c r="E4" s="4846" t="s">
        <v>1686</v>
      </c>
      <c r="F4" s="4847"/>
      <c r="G4" s="4844" t="s">
        <v>1687</v>
      </c>
      <c r="H4" s="4845"/>
      <c r="I4" s="4844" t="s">
        <v>1688</v>
      </c>
      <c r="J4" s="4845"/>
      <c r="K4" s="3214" t="s">
        <v>1689</v>
      </c>
      <c r="L4" s="2194"/>
      <c r="M4" s="2195"/>
      <c r="N4" s="2195"/>
      <c r="O4" s="2195"/>
      <c r="P4" s="4848" t="s">
        <v>1690</v>
      </c>
      <c r="Q4" s="4849"/>
      <c r="R4" s="4854" t="s">
        <v>1686</v>
      </c>
      <c r="S4" s="4855"/>
      <c r="T4" s="4854" t="s">
        <v>1687</v>
      </c>
      <c r="U4" s="4855"/>
      <c r="V4" s="4860" t="s">
        <v>1688</v>
      </c>
      <c r="W4" s="4860"/>
      <c r="X4" s="1001"/>
      <c r="Y4" s="4869" t="s">
        <v>1690</v>
      </c>
      <c r="Z4" s="4870"/>
      <c r="AA4" s="4841" t="s">
        <v>1686</v>
      </c>
      <c r="AB4" s="4880" t="s">
        <v>1687</v>
      </c>
      <c r="AC4" s="4841" t="s">
        <v>1688</v>
      </c>
    </row>
    <row r="5" spans="1:29" ht="15">
      <c r="A5" s="245"/>
      <c r="B5" s="246"/>
      <c r="C5" s="4863" t="s">
        <v>1588</v>
      </c>
      <c r="D5" s="4864"/>
      <c r="E5" s="4878" t="s">
        <v>1589</v>
      </c>
      <c r="F5" s="4879"/>
      <c r="G5" s="4863" t="s">
        <v>1590</v>
      </c>
      <c r="H5" s="4864"/>
      <c r="I5" s="4863" t="s">
        <v>1591</v>
      </c>
      <c r="J5" s="4864"/>
      <c r="K5" s="3214"/>
      <c r="L5" s="2194"/>
      <c r="M5" s="2195"/>
      <c r="N5" s="2195"/>
      <c r="O5" s="2195"/>
      <c r="P5" s="4850"/>
      <c r="Q5" s="4851"/>
      <c r="R5" s="4856"/>
      <c r="S5" s="4857"/>
      <c r="T5" s="4856"/>
      <c r="U5" s="4857"/>
      <c r="V5" s="4860"/>
      <c r="W5" s="4860"/>
      <c r="X5" s="1001"/>
      <c r="Y5" s="4871"/>
      <c r="Z5" s="4872"/>
      <c r="AA5" s="4842"/>
      <c r="AB5" s="4880"/>
      <c r="AC5" s="4842"/>
    </row>
    <row r="6" spans="1:29" ht="15.75" thickBot="1">
      <c r="A6" s="247"/>
      <c r="B6" s="248"/>
      <c r="C6" s="4861" t="s">
        <v>1592</v>
      </c>
      <c r="D6" s="4862"/>
      <c r="E6" s="4876" t="s">
        <v>1592</v>
      </c>
      <c r="F6" s="4877"/>
      <c r="G6" s="4861" t="s">
        <v>1592</v>
      </c>
      <c r="H6" s="4862"/>
      <c r="I6" s="4861" t="s">
        <v>1592</v>
      </c>
      <c r="J6" s="4862"/>
      <c r="K6" s="3214" t="s">
        <v>1593</v>
      </c>
      <c r="L6" s="2194"/>
      <c r="M6" s="2195"/>
      <c r="N6" s="2195"/>
      <c r="O6" s="2195"/>
      <c r="P6" s="4852"/>
      <c r="Q6" s="4853"/>
      <c r="R6" s="4856"/>
      <c r="S6" s="4857"/>
      <c r="T6" s="4858"/>
      <c r="U6" s="4859"/>
      <c r="V6" s="4860"/>
      <c r="W6" s="4860"/>
      <c r="X6" s="1001"/>
      <c r="Y6" s="4873"/>
      <c r="Z6" s="4874"/>
      <c r="AA6" s="4843"/>
      <c r="AB6" s="4880"/>
      <c r="AC6" s="4843"/>
    </row>
    <row r="7" spans="1:29" s="49" customFormat="1" ht="15.75" thickBot="1">
      <c r="A7" s="249" t="s">
        <v>1594</v>
      </c>
      <c r="B7" s="250"/>
      <c r="C7" s="251">
        <f>'数据-取费表'!B2</f>
        <v>46047</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65"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65" t="s">
        <v>1598</v>
      </c>
      <c r="Q8" s="4866"/>
      <c r="R8" s="4099" t="s">
        <v>13</v>
      </c>
      <c r="S8" s="3556">
        <f t="shared" si="0"/>
        <v>100</v>
      </c>
      <c r="T8" s="4099" t="s">
        <v>13</v>
      </c>
      <c r="U8" s="3556">
        <f t="shared" si="1"/>
        <v>100</v>
      </c>
      <c r="V8" s="4099" t="s">
        <v>13</v>
      </c>
      <c r="W8" s="3556">
        <f t="shared" si="2"/>
        <v>100</v>
      </c>
      <c r="X8" s="515"/>
      <c r="Y8" s="4867" t="s">
        <v>1598</v>
      </c>
      <c r="Z8" s="4868"/>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39" t="s">
        <v>1601</v>
      </c>
      <c r="Q9" s="3135"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39"/>
      <c r="Q10" s="3135"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39"/>
      <c r="Q11" s="3135" t="str">
        <f t="shared" si="6"/>
        <v>容积率</v>
      </c>
      <c r="R11" s="4099" t="s">
        <v>13</v>
      </c>
      <c r="S11" s="3556" t="e">
        <f t="shared" si="0"/>
        <v>#N/A</v>
      </c>
      <c r="T11" s="4099" t="s">
        <v>13</v>
      </c>
      <c r="U11" s="3556" t="e">
        <f t="shared" si="1"/>
        <v>#N/A</v>
      </c>
      <c r="V11" s="4099" t="s">
        <v>13</v>
      </c>
      <c r="W11" s="3556" t="e">
        <f t="shared" si="2"/>
        <v>#N/A</v>
      </c>
      <c r="X11" s="515"/>
      <c r="Y11" s="4840"/>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39"/>
      <c r="Q12" s="3135">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39"/>
      <c r="Q13" s="3135">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39"/>
      <c r="Q14" s="3135">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37" t="s">
        <v>1606</v>
      </c>
      <c r="Q15" s="1657" t="str">
        <f t="shared" si="6"/>
        <v>商业繁华度</v>
      </c>
      <c r="R15" s="4224" t="s">
        <v>13</v>
      </c>
      <c r="S15" s="3557">
        <f t="shared" si="0"/>
        <v>100</v>
      </c>
      <c r="T15" s="4224" t="s">
        <v>13</v>
      </c>
      <c r="U15" s="3557">
        <f t="shared" si="1"/>
        <v>100</v>
      </c>
      <c r="V15" s="4224" t="s">
        <v>13</v>
      </c>
      <c r="W15" s="3557">
        <f t="shared" si="2"/>
        <v>100</v>
      </c>
      <c r="X15" s="1001"/>
      <c r="Y15" s="4830"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38"/>
      <c r="Q16" s="1657"/>
      <c r="R16" s="4224"/>
      <c r="S16" s="3557"/>
      <c r="T16" s="4224"/>
      <c r="U16" s="3557"/>
      <c r="V16" s="4224"/>
      <c r="W16" s="3557"/>
      <c r="X16" s="1001"/>
      <c r="Y16" s="4831"/>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38"/>
      <c r="Q17" s="165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38"/>
      <c r="Q18" s="1657"/>
      <c r="R18" s="4224"/>
      <c r="S18" s="3557"/>
      <c r="T18" s="4224"/>
      <c r="U18" s="3557"/>
      <c r="V18" s="4224"/>
      <c r="W18" s="3557"/>
      <c r="X18" s="1001"/>
      <c r="Y18" s="4831"/>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38"/>
      <c r="Q19" s="165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38"/>
      <c r="Q20" s="1657"/>
      <c r="R20" s="4224"/>
      <c r="S20" s="3557"/>
      <c r="T20" s="4224"/>
      <c r="U20" s="3557"/>
      <c r="V20" s="4224"/>
      <c r="W20" s="3557"/>
      <c r="X20" s="1001"/>
      <c r="Y20" s="4831"/>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38"/>
      <c r="Q21" s="165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38"/>
      <c r="Q22" s="1657"/>
      <c r="R22" s="4224"/>
      <c r="S22" s="3557"/>
      <c r="T22" s="4224"/>
      <c r="U22" s="3557"/>
      <c r="V22" s="4224"/>
      <c r="W22" s="3557"/>
      <c r="X22" s="1001"/>
      <c r="Y22" s="4831"/>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38"/>
      <c r="Q23" s="1657" t="str">
        <f>B23</f>
        <v>自然及人文环境</v>
      </c>
      <c r="R23" s="4224" t="s">
        <v>13</v>
      </c>
      <c r="S23" s="3557">
        <f>F23</f>
        <v>100</v>
      </c>
      <c r="T23" s="4224" t="s">
        <v>13</v>
      </c>
      <c r="U23" s="3557">
        <f>H23</f>
        <v>100</v>
      </c>
      <c r="V23" s="4224" t="s">
        <v>13</v>
      </c>
      <c r="W23" s="3557">
        <f>J23</f>
        <v>100</v>
      </c>
      <c r="X23" s="1001"/>
      <c r="Y23" s="4831"/>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38"/>
      <c r="Q24" s="1657"/>
      <c r="R24" s="4224"/>
      <c r="S24" s="3557"/>
      <c r="T24" s="4224"/>
      <c r="U24" s="3557"/>
      <c r="V24" s="4224"/>
      <c r="W24" s="3557"/>
      <c r="X24" s="1001"/>
      <c r="Y24" s="4831"/>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38"/>
      <c r="Q25" s="1657" t="str">
        <f t="shared" ref="Q25:Q46" si="11">B25</f>
        <v>临街状况</v>
      </c>
      <c r="R25" s="4224" t="s">
        <v>13</v>
      </c>
      <c r="S25" s="3557">
        <f>F25</f>
        <v>100</v>
      </c>
      <c r="T25" s="4224" t="s">
        <v>13</v>
      </c>
      <c r="U25" s="3557">
        <f>H25</f>
        <v>100</v>
      </c>
      <c r="V25" s="4224" t="s">
        <v>13</v>
      </c>
      <c r="W25" s="3557">
        <f>J25</f>
        <v>100</v>
      </c>
      <c r="X25" s="1001"/>
      <c r="Y25" s="4831"/>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38"/>
      <c r="Q26" s="1657" t="str">
        <f t="shared" si="11"/>
        <v>平面位置/可视性</v>
      </c>
      <c r="R26" s="4224" t="s">
        <v>13</v>
      </c>
      <c r="S26" s="3557">
        <f>F26</f>
        <v>100</v>
      </c>
      <c r="T26" s="4224" t="s">
        <v>13</v>
      </c>
      <c r="U26" s="3557">
        <f>H26</f>
        <v>100</v>
      </c>
      <c r="V26" s="4224" t="s">
        <v>13</v>
      </c>
      <c r="W26" s="3557">
        <f>J26</f>
        <v>100</v>
      </c>
      <c r="X26" s="1001"/>
      <c r="Y26" s="4831"/>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38"/>
      <c r="Q27" s="3135" t="str">
        <f t="shared" si="11"/>
        <v>人流量</v>
      </c>
      <c r="R27" s="4099" t="s">
        <v>13</v>
      </c>
      <c r="S27" s="3556">
        <f>F27</f>
        <v>100</v>
      </c>
      <c r="T27" s="4099" t="s">
        <v>13</v>
      </c>
      <c r="U27" s="3556">
        <f>H27</f>
        <v>100</v>
      </c>
      <c r="V27" s="4099" t="s">
        <v>13</v>
      </c>
      <c r="W27" s="3556">
        <f>J27</f>
        <v>100</v>
      </c>
      <c r="X27" s="515"/>
      <c r="Y27" s="4831"/>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38"/>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31"/>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38"/>
      <c r="Q29" s="1657">
        <f t="shared" si="11"/>
        <v>111</v>
      </c>
      <c r="R29" s="4224" t="s">
        <v>13</v>
      </c>
      <c r="S29" s="3557">
        <f t="shared" si="12"/>
        <v>100</v>
      </c>
      <c r="T29" s="4224" t="s">
        <v>13</v>
      </c>
      <c r="U29" s="3557">
        <f t="shared" si="13"/>
        <v>100</v>
      </c>
      <c r="V29" s="4224" t="s">
        <v>13</v>
      </c>
      <c r="W29" s="3557">
        <f t="shared" si="14"/>
        <v>100</v>
      </c>
      <c r="X29" s="1001"/>
      <c r="Y29" s="4831"/>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38"/>
      <c r="Q30" s="165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38"/>
      <c r="Q31" s="165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32" t="s">
        <v>1611</v>
      </c>
      <c r="Q32" s="1657" t="str">
        <f t="shared" si="11"/>
        <v>商业类型</v>
      </c>
      <c r="R32" s="4224" t="s">
        <v>13</v>
      </c>
      <c r="S32" s="3557">
        <f t="shared" si="12"/>
        <v>100</v>
      </c>
      <c r="T32" s="4224" t="s">
        <v>13</v>
      </c>
      <c r="U32" s="3557">
        <f t="shared" si="13"/>
        <v>100</v>
      </c>
      <c r="V32" s="4224" t="s">
        <v>13</v>
      </c>
      <c r="W32" s="3557">
        <f t="shared" si="14"/>
        <v>100</v>
      </c>
      <c r="X32" s="1001"/>
      <c r="Y32" s="4835"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33"/>
      <c r="Q33" s="3215" t="str">
        <f t="shared" si="11"/>
        <v>项目建筑规模</v>
      </c>
      <c r="R33" s="4225" t="s">
        <v>13</v>
      </c>
      <c r="S33" s="3558" t="e">
        <f t="shared" si="12"/>
        <v>#N/A</v>
      </c>
      <c r="T33" s="4225" t="s">
        <v>13</v>
      </c>
      <c r="U33" s="3558" t="e">
        <f t="shared" si="13"/>
        <v>#N/A</v>
      </c>
      <c r="V33" s="4225" t="s">
        <v>13</v>
      </c>
      <c r="W33" s="3558" t="e">
        <f t="shared" si="14"/>
        <v>#N/A</v>
      </c>
      <c r="X33" s="518"/>
      <c r="Y33" s="4835"/>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33"/>
      <c r="Q34" s="1657" t="str">
        <f t="shared" si="11"/>
        <v>建筑结构</v>
      </c>
      <c r="R34" s="4224" t="s">
        <v>13</v>
      </c>
      <c r="S34" s="3557">
        <f t="shared" si="12"/>
        <v>100</v>
      </c>
      <c r="T34" s="4224" t="s">
        <v>13</v>
      </c>
      <c r="U34" s="3557">
        <f t="shared" si="13"/>
        <v>100</v>
      </c>
      <c r="V34" s="4224" t="s">
        <v>13</v>
      </c>
      <c r="W34" s="3557">
        <f t="shared" si="14"/>
        <v>100</v>
      </c>
      <c r="X34" s="1001"/>
      <c r="Y34" s="4835"/>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33"/>
      <c r="Q35" s="1657" t="str">
        <f t="shared" si="11"/>
        <v>公共部分装修</v>
      </c>
      <c r="R35" s="4224" t="s">
        <v>13</v>
      </c>
      <c r="S35" s="3557">
        <f t="shared" si="12"/>
        <v>100</v>
      </c>
      <c r="T35" s="4224" t="s">
        <v>13</v>
      </c>
      <c r="U35" s="3557">
        <f t="shared" si="13"/>
        <v>100</v>
      </c>
      <c r="V35" s="4224" t="s">
        <v>13</v>
      </c>
      <c r="W35" s="3557">
        <f t="shared" si="14"/>
        <v>100</v>
      </c>
      <c r="X35" s="1001"/>
      <c r="Y35" s="4835"/>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33"/>
      <c r="Q36" s="1657" t="str">
        <f t="shared" si="11"/>
        <v>成新度</v>
      </c>
      <c r="R36" s="4224" t="s">
        <v>13</v>
      </c>
      <c r="S36" s="3557" t="e">
        <f t="shared" si="12"/>
        <v>#N/A</v>
      </c>
      <c r="T36" s="4224" t="s">
        <v>13</v>
      </c>
      <c r="U36" s="3557" t="e">
        <f t="shared" si="13"/>
        <v>#N/A</v>
      </c>
      <c r="V36" s="4224" t="s">
        <v>13</v>
      </c>
      <c r="W36" s="3557" t="e">
        <f t="shared" si="14"/>
        <v>#N/A</v>
      </c>
      <c r="X36" s="1001"/>
      <c r="Y36" s="4835"/>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33"/>
      <c r="Q37" s="3135" t="str">
        <f t="shared" si="11"/>
        <v>市政基础设施</v>
      </c>
      <c r="R37" s="4099" t="s">
        <v>13</v>
      </c>
      <c r="S37" s="3556">
        <f t="shared" si="12"/>
        <v>100</v>
      </c>
      <c r="T37" s="4099" t="s">
        <v>13</v>
      </c>
      <c r="U37" s="3556">
        <f t="shared" si="13"/>
        <v>100</v>
      </c>
      <c r="V37" s="4099" t="s">
        <v>13</v>
      </c>
      <c r="W37" s="3556">
        <f t="shared" si="14"/>
        <v>100</v>
      </c>
      <c r="X37" s="515"/>
      <c r="Y37" s="4835"/>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33" t="s">
        <v>1611</v>
      </c>
      <c r="Q38" s="1657" t="str">
        <f t="shared" si="11"/>
        <v>业态</v>
      </c>
      <c r="R38" s="4224" t="s">
        <v>13</v>
      </c>
      <c r="S38" s="3557">
        <f t="shared" si="12"/>
        <v>100</v>
      </c>
      <c r="T38" s="4224" t="s">
        <v>13</v>
      </c>
      <c r="U38" s="3557">
        <f t="shared" si="13"/>
        <v>100</v>
      </c>
      <c r="V38" s="4224" t="s">
        <v>13</v>
      </c>
      <c r="W38" s="3557">
        <f t="shared" si="14"/>
        <v>100</v>
      </c>
      <c r="X38" s="1001"/>
      <c r="Y38" s="4835"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33"/>
      <c r="Q39" s="1657" t="str">
        <f t="shared" si="11"/>
        <v>层高</v>
      </c>
      <c r="R39" s="4224" t="s">
        <v>13</v>
      </c>
      <c r="S39" s="3557">
        <f t="shared" si="12"/>
        <v>100</v>
      </c>
      <c r="T39" s="4224" t="s">
        <v>13</v>
      </c>
      <c r="U39" s="3557">
        <f t="shared" si="13"/>
        <v>100</v>
      </c>
      <c r="V39" s="4224" t="s">
        <v>13</v>
      </c>
      <c r="W39" s="3557">
        <f t="shared" si="14"/>
        <v>100</v>
      </c>
      <c r="X39" s="1001"/>
      <c r="Y39" s="4835"/>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33"/>
      <c r="Q40" s="1657" t="str">
        <f t="shared" si="11"/>
        <v>单套建筑面积</v>
      </c>
      <c r="R40" s="4224" t="s">
        <v>13</v>
      </c>
      <c r="S40" s="3557">
        <f t="shared" si="12"/>
        <v>100</v>
      </c>
      <c r="T40" s="4224" t="s">
        <v>13</v>
      </c>
      <c r="U40" s="3557">
        <f t="shared" si="13"/>
        <v>100</v>
      </c>
      <c r="V40" s="4224" t="s">
        <v>13</v>
      </c>
      <c r="W40" s="3557">
        <f t="shared" si="14"/>
        <v>100</v>
      </c>
      <c r="X40" s="1001"/>
      <c r="Y40" s="4835"/>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33"/>
      <c r="Q41" s="3215" t="str">
        <f t="shared" si="11"/>
        <v>进深比</v>
      </c>
      <c r="R41" s="4225" t="s">
        <v>13</v>
      </c>
      <c r="S41" s="3558">
        <f t="shared" si="12"/>
        <v>100</v>
      </c>
      <c r="T41" s="4225" t="s">
        <v>13</v>
      </c>
      <c r="U41" s="3558">
        <f t="shared" si="13"/>
        <v>100</v>
      </c>
      <c r="V41" s="4225" t="s">
        <v>13</v>
      </c>
      <c r="W41" s="3558">
        <f t="shared" si="14"/>
        <v>100</v>
      </c>
      <c r="X41" s="518"/>
      <c r="Y41" s="4835"/>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33"/>
      <c r="Q42" s="1657" t="str">
        <f t="shared" si="11"/>
        <v>内部装修</v>
      </c>
      <c r="R42" s="4224" t="s">
        <v>13</v>
      </c>
      <c r="S42" s="3557">
        <f t="shared" si="12"/>
        <v>100</v>
      </c>
      <c r="T42" s="4224" t="s">
        <v>13</v>
      </c>
      <c r="U42" s="3557">
        <f t="shared" si="13"/>
        <v>100</v>
      </c>
      <c r="V42" s="4224" t="s">
        <v>13</v>
      </c>
      <c r="W42" s="3557">
        <f t="shared" si="14"/>
        <v>100</v>
      </c>
      <c r="X42" s="1001"/>
      <c r="Y42" s="4835"/>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33"/>
      <c r="Q43" s="1657" t="str">
        <f t="shared" si="11"/>
        <v>内部装修维护情况</v>
      </c>
      <c r="R43" s="4224" t="s">
        <v>13</v>
      </c>
      <c r="S43" s="3557">
        <f t="shared" si="12"/>
        <v>100</v>
      </c>
      <c r="T43" s="4224" t="s">
        <v>13</v>
      </c>
      <c r="U43" s="3557">
        <f t="shared" si="13"/>
        <v>100</v>
      </c>
      <c r="V43" s="4224" t="s">
        <v>13</v>
      </c>
      <c r="W43" s="3557">
        <f t="shared" si="14"/>
        <v>100</v>
      </c>
      <c r="X43" s="1001"/>
      <c r="Y43" s="4835"/>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33"/>
      <c r="Q44" s="3135">
        <f t="shared" si="11"/>
        <v>111</v>
      </c>
      <c r="R44" s="4099" t="s">
        <v>13</v>
      </c>
      <c r="S44" s="3556">
        <f t="shared" si="12"/>
        <v>100</v>
      </c>
      <c r="T44" s="4099" t="s">
        <v>13</v>
      </c>
      <c r="U44" s="3556">
        <f t="shared" si="13"/>
        <v>100</v>
      </c>
      <c r="V44" s="4099" t="s">
        <v>13</v>
      </c>
      <c r="W44" s="3556">
        <f t="shared" si="14"/>
        <v>100</v>
      </c>
      <c r="X44" s="515"/>
      <c r="Y44" s="4835"/>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33"/>
      <c r="Q45" s="1657">
        <f t="shared" si="11"/>
        <v>111</v>
      </c>
      <c r="R45" s="4224" t="s">
        <v>13</v>
      </c>
      <c r="S45" s="3557">
        <f t="shared" si="12"/>
        <v>100</v>
      </c>
      <c r="T45" s="4224" t="s">
        <v>13</v>
      </c>
      <c r="U45" s="3557">
        <f t="shared" si="13"/>
        <v>100</v>
      </c>
      <c r="V45" s="4224" t="s">
        <v>13</v>
      </c>
      <c r="W45" s="3557">
        <f t="shared" si="14"/>
        <v>100</v>
      </c>
      <c r="X45" s="1001"/>
      <c r="Y45" s="4835"/>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34"/>
      <c r="Q46" s="1657">
        <f t="shared" si="11"/>
        <v>111</v>
      </c>
      <c r="R46" s="4224" t="s">
        <v>13</v>
      </c>
      <c r="S46" s="3557">
        <f t="shared" si="12"/>
        <v>100</v>
      </c>
      <c r="T46" s="4224" t="s">
        <v>13</v>
      </c>
      <c r="U46" s="3557">
        <f t="shared" si="13"/>
        <v>100</v>
      </c>
      <c r="V46" s="4224" t="s">
        <v>13</v>
      </c>
      <c r="W46" s="3557">
        <f t="shared" si="14"/>
        <v>100</v>
      </c>
      <c r="X46" s="1001"/>
      <c r="Y46" s="4836"/>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28" t="str">
        <f>A47</f>
        <v>成交单价（元/平方米）</v>
      </c>
      <c r="Q47" s="4828"/>
      <c r="R47" s="4829">
        <f>E47</f>
        <v>0</v>
      </c>
      <c r="S47" s="4829"/>
      <c r="T47" s="4829">
        <f>G47</f>
        <v>0</v>
      </c>
      <c r="U47" s="4829"/>
      <c r="V47" s="4829">
        <f>I47</f>
        <v>0</v>
      </c>
      <c r="W47" s="4829"/>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28" t="str">
        <f>A48</f>
        <v>比较价值（元/平方米）</v>
      </c>
      <c r="Q48" s="4828"/>
      <c r="R48" s="4829" t="e">
        <f>IF(F1="售价",ROUND(PRODUCT(R47,AA7:AA46),0),ROUND(PRODUCT(R47,AA7:AA46),1))</f>
        <v>#DIV/0!</v>
      </c>
      <c r="S48" s="4829"/>
      <c r="T48" s="4829" t="e">
        <f>IF(F1="售价",ROUND(PRODUCT(T47,AB7:AB46),0),ROUND(PRODUCT(T47,AB7:AB46),1))</f>
        <v>#DIV/0!</v>
      </c>
      <c r="U48" s="4829"/>
      <c r="V48" s="4829" t="e">
        <f>IF(F1="售价",ROUND(PRODUCT(V47,AC7:AC46),0),ROUND(PRODUCT(V47,AC7:AC46),1))</f>
        <v>#DIV/0!</v>
      </c>
      <c r="W48" s="4829"/>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25" t="str">
        <f>A49</f>
        <v>估价对象XX用房的比较价值（楼面单价，元/平方米）</v>
      </c>
      <c r="Q49" s="4826"/>
      <c r="R49" s="4827" t="e">
        <f>IF(F1="售价",ROUND(IF(D48="简单平均",AVERAGE(R48:V48),R48*F48+T48*H48+V48*J48),0),ROUND(IF(D48="简单平均",AVERAGE(R48:V48),R48*F48+T48*H48+V48*J48),1))</f>
        <v>#DIV/0!</v>
      </c>
      <c r="S49" s="4827"/>
      <c r="T49" s="4827"/>
      <c r="U49" s="4827"/>
      <c r="V49" s="4827"/>
      <c r="W49" s="4827"/>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估价对象为北京市房地产，为所有。根据《国有土地使用证》[]，估价对象（分摊）出让国有建设用地使用权面积为0平方米，建筑面积为191.15平方米。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估价对象为北京市房地产,属开发建设的商业项目，该项目尚在开发建设中。根据《国有土地使用证》[]，估价对象（分摊）出让国有建设用地使用权面积为0平方米，规划建筑面积为191.15平方米。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2026年1月25日（评估专业人员实地查勘之日）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891" t="s">
        <v>1690</v>
      </c>
      <c r="Q4" s="4892"/>
      <c r="R4" s="4895" t="s">
        <v>1686</v>
      </c>
      <c r="S4" s="4896"/>
      <c r="T4" s="4895" t="s">
        <v>1687</v>
      </c>
      <c r="U4" s="4896"/>
      <c r="V4" s="4897" t="s">
        <v>1688</v>
      </c>
      <c r="W4" s="4897"/>
      <c r="X4" s="1555"/>
      <c r="Y4" s="4903" t="s">
        <v>1690</v>
      </c>
      <c r="Z4" s="4904"/>
      <c r="AA4" s="4907" t="s">
        <v>1686</v>
      </c>
      <c r="AB4" s="4907" t="s">
        <v>1687</v>
      </c>
      <c r="AC4" s="4884" t="s">
        <v>1688</v>
      </c>
    </row>
    <row r="5" spans="1:29" ht="15">
      <c r="A5" s="245"/>
      <c r="B5" s="246"/>
      <c r="C5" s="4900" t="s">
        <v>1588</v>
      </c>
      <c r="D5" s="4901"/>
      <c r="E5" s="4908" t="s">
        <v>1589</v>
      </c>
      <c r="F5" s="4909"/>
      <c r="G5" s="4900" t="s">
        <v>1590</v>
      </c>
      <c r="H5" s="4901"/>
      <c r="I5" s="4900" t="s">
        <v>1591</v>
      </c>
      <c r="J5" s="4901"/>
      <c r="K5" s="410"/>
      <c r="L5" s="2194"/>
      <c r="M5" s="2195"/>
      <c r="N5" s="2195"/>
      <c r="O5" s="2195"/>
      <c r="P5" s="4893"/>
      <c r="Q5" s="4851"/>
      <c r="R5" s="4856"/>
      <c r="S5" s="4857"/>
      <c r="T5" s="4856"/>
      <c r="U5" s="4857"/>
      <c r="V5" s="4860"/>
      <c r="W5" s="4860"/>
      <c r="X5" s="1001"/>
      <c r="Y5" s="4871"/>
      <c r="Z5" s="4872"/>
      <c r="AA5" s="4842"/>
      <c r="AB5" s="4842"/>
      <c r="AC5" s="4885"/>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894"/>
      <c r="Q6" s="4853"/>
      <c r="R6" s="4856"/>
      <c r="S6" s="4857"/>
      <c r="T6" s="4858"/>
      <c r="U6" s="4859"/>
      <c r="V6" s="4860"/>
      <c r="W6" s="4860"/>
      <c r="X6" s="1001"/>
      <c r="Y6" s="4873"/>
      <c r="Z6" s="4874"/>
      <c r="AA6" s="4843"/>
      <c r="AB6" s="4843"/>
      <c r="AC6" s="4886"/>
    </row>
    <row r="7" spans="1:29" s="49" customFormat="1" ht="15.75" thickBot="1">
      <c r="A7" s="249" t="s">
        <v>1594</v>
      </c>
      <c r="B7" s="250"/>
      <c r="C7" s="251">
        <f>'数据-取费表'!B2</f>
        <v>46047</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2" t="s">
        <v>1595</v>
      </c>
      <c r="Q7" s="4875"/>
      <c r="R7" s="4099" t="s">
        <v>13</v>
      </c>
      <c r="S7" s="3556">
        <f t="shared" ref="S7:S15" si="0">F7</f>
        <v>0</v>
      </c>
      <c r="T7" s="4099" t="s">
        <v>13</v>
      </c>
      <c r="U7" s="3556">
        <f t="shared" ref="U7:U15" si="1">H7</f>
        <v>0</v>
      </c>
      <c r="V7" s="4099" t="s">
        <v>13</v>
      </c>
      <c r="W7" s="3556">
        <f t="shared" ref="W7:W15" si="2">J7</f>
        <v>0</v>
      </c>
      <c r="X7" s="515"/>
      <c r="Y7" s="4867" t="s">
        <v>1595</v>
      </c>
      <c r="Z7" s="4868"/>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2" t="s">
        <v>1598</v>
      </c>
      <c r="Q8" s="4866"/>
      <c r="R8" s="4099" t="s">
        <v>13</v>
      </c>
      <c r="S8" s="3556">
        <f t="shared" si="0"/>
        <v>100</v>
      </c>
      <c r="T8" s="4099" t="s">
        <v>13</v>
      </c>
      <c r="U8" s="3556">
        <f t="shared" si="1"/>
        <v>100</v>
      </c>
      <c r="V8" s="4099" t="s">
        <v>13</v>
      </c>
      <c r="W8" s="3556">
        <f t="shared" si="2"/>
        <v>100</v>
      </c>
      <c r="X8" s="515"/>
      <c r="Y8" s="4867" t="s">
        <v>1598</v>
      </c>
      <c r="Z8" s="4868"/>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39" t="s">
        <v>1601</v>
      </c>
      <c r="Q9" s="3414" t="str">
        <f t="shared" ref="Q9:Q15" si="6">B9</f>
        <v>用途</v>
      </c>
      <c r="R9" s="4099" t="s">
        <v>13</v>
      </c>
      <c r="S9" s="3556">
        <f t="shared" si="0"/>
        <v>100</v>
      </c>
      <c r="T9" s="4099" t="s">
        <v>13</v>
      </c>
      <c r="U9" s="3556">
        <f t="shared" si="1"/>
        <v>100</v>
      </c>
      <c r="V9" s="4099" t="s">
        <v>13</v>
      </c>
      <c r="W9" s="3556">
        <f t="shared" si="2"/>
        <v>100</v>
      </c>
      <c r="X9" s="515"/>
      <c r="Y9" s="4840"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39"/>
      <c r="Q10" s="3414" t="str">
        <f t="shared" si="6"/>
        <v>土地使用年限（年）</v>
      </c>
      <c r="R10" s="4099" t="s">
        <v>13</v>
      </c>
      <c r="S10" s="3556">
        <f t="shared" si="0"/>
        <v>100</v>
      </c>
      <c r="T10" s="4099" t="s">
        <v>13</v>
      </c>
      <c r="U10" s="3556">
        <f t="shared" si="1"/>
        <v>100</v>
      </c>
      <c r="V10" s="4099" t="s">
        <v>13</v>
      </c>
      <c r="W10" s="3556">
        <f t="shared" si="2"/>
        <v>100</v>
      </c>
      <c r="X10" s="515"/>
      <c r="Y10" s="4840"/>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39"/>
      <c r="Q11" s="3414" t="str">
        <f t="shared" si="6"/>
        <v>容积率</v>
      </c>
      <c r="R11" s="4099" t="s">
        <v>13</v>
      </c>
      <c r="S11" s="3556">
        <f t="shared" si="0"/>
        <v>100</v>
      </c>
      <c r="T11" s="4099" t="s">
        <v>13</v>
      </c>
      <c r="U11" s="3556">
        <f t="shared" si="1"/>
        <v>100</v>
      </c>
      <c r="V11" s="4099" t="s">
        <v>13</v>
      </c>
      <c r="W11" s="3556">
        <f t="shared" si="2"/>
        <v>100</v>
      </c>
      <c r="X11" s="515"/>
      <c r="Y11" s="4840"/>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39"/>
      <c r="Q12" s="3414">
        <f t="shared" si="6"/>
        <v>111</v>
      </c>
      <c r="R12" s="4099" t="s">
        <v>13</v>
      </c>
      <c r="S12" s="3556">
        <f t="shared" si="0"/>
        <v>100</v>
      </c>
      <c r="T12" s="4099" t="s">
        <v>13</v>
      </c>
      <c r="U12" s="3556">
        <f t="shared" si="1"/>
        <v>100</v>
      </c>
      <c r="V12" s="4099" t="s">
        <v>13</v>
      </c>
      <c r="W12" s="3556">
        <f t="shared" si="2"/>
        <v>100</v>
      </c>
      <c r="X12" s="515"/>
      <c r="Y12" s="4840"/>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39"/>
      <c r="Q13" s="3414">
        <f t="shared" si="6"/>
        <v>111</v>
      </c>
      <c r="R13" s="4099" t="s">
        <v>13</v>
      </c>
      <c r="S13" s="3556">
        <f t="shared" si="0"/>
        <v>100</v>
      </c>
      <c r="T13" s="4099" t="s">
        <v>13</v>
      </c>
      <c r="U13" s="3556">
        <f t="shared" si="1"/>
        <v>100</v>
      </c>
      <c r="V13" s="4099" t="s">
        <v>13</v>
      </c>
      <c r="W13" s="3556">
        <f t="shared" si="2"/>
        <v>100</v>
      </c>
      <c r="X13" s="515"/>
      <c r="Y13" s="4840"/>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39"/>
      <c r="Q14" s="3414">
        <f t="shared" si="6"/>
        <v>111</v>
      </c>
      <c r="R14" s="4099" t="s">
        <v>13</v>
      </c>
      <c r="S14" s="3556">
        <f t="shared" si="0"/>
        <v>100</v>
      </c>
      <c r="T14" s="4099" t="s">
        <v>13</v>
      </c>
      <c r="U14" s="3556">
        <f t="shared" si="1"/>
        <v>100</v>
      </c>
      <c r="V14" s="4099" t="s">
        <v>13</v>
      </c>
      <c r="W14" s="3556">
        <f t="shared" si="2"/>
        <v>100</v>
      </c>
      <c r="X14" s="515"/>
      <c r="Y14" s="4840"/>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37" t="s">
        <v>1606</v>
      </c>
      <c r="Q15" s="3417" t="str">
        <f t="shared" si="6"/>
        <v>办公集聚程度</v>
      </c>
      <c r="R15" s="4224" t="s">
        <v>13</v>
      </c>
      <c r="S15" s="3557">
        <f t="shared" si="0"/>
        <v>100</v>
      </c>
      <c r="T15" s="4224" t="s">
        <v>13</v>
      </c>
      <c r="U15" s="3557">
        <f t="shared" si="1"/>
        <v>100</v>
      </c>
      <c r="V15" s="4224" t="s">
        <v>13</v>
      </c>
      <c r="W15" s="3557">
        <f t="shared" si="2"/>
        <v>100</v>
      </c>
      <c r="X15" s="1001"/>
      <c r="Y15" s="4830"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38"/>
      <c r="Q16" s="3417"/>
      <c r="R16" s="4224"/>
      <c r="S16" s="3557"/>
      <c r="T16" s="4224"/>
      <c r="U16" s="3557"/>
      <c r="V16" s="4224"/>
      <c r="W16" s="3557"/>
      <c r="X16" s="1001"/>
      <c r="Y16" s="4831"/>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38"/>
      <c r="Q17" s="3417" t="str">
        <f>B17</f>
        <v>交通便捷度</v>
      </c>
      <c r="R17" s="4224" t="s">
        <v>13</v>
      </c>
      <c r="S17" s="3557">
        <f>F17</f>
        <v>100</v>
      </c>
      <c r="T17" s="4224" t="s">
        <v>13</v>
      </c>
      <c r="U17" s="3557">
        <f>H17</f>
        <v>100</v>
      </c>
      <c r="V17" s="4224" t="s">
        <v>13</v>
      </c>
      <c r="W17" s="3557">
        <f>J17</f>
        <v>100</v>
      </c>
      <c r="X17" s="1001"/>
      <c r="Y17" s="4831"/>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38"/>
      <c r="Q18" s="3417"/>
      <c r="R18" s="4224"/>
      <c r="S18" s="3557"/>
      <c r="T18" s="4224"/>
      <c r="U18" s="3557"/>
      <c r="V18" s="4224"/>
      <c r="W18" s="3557"/>
      <c r="X18" s="1001"/>
      <c r="Y18" s="4831"/>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38"/>
      <c r="Q19" s="3417" t="str">
        <f>B19</f>
        <v>公共配套设施</v>
      </c>
      <c r="R19" s="4224" t="s">
        <v>13</v>
      </c>
      <c r="S19" s="3557">
        <f>F19</f>
        <v>100</v>
      </c>
      <c r="T19" s="4224" t="s">
        <v>13</v>
      </c>
      <c r="U19" s="3557">
        <f>H19</f>
        <v>100</v>
      </c>
      <c r="V19" s="4224" t="s">
        <v>13</v>
      </c>
      <c r="W19" s="3557">
        <f>J19</f>
        <v>100</v>
      </c>
      <c r="X19" s="1001"/>
      <c r="Y19" s="4831"/>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38"/>
      <c r="Q20" s="3417"/>
      <c r="R20" s="4224"/>
      <c r="S20" s="3557"/>
      <c r="T20" s="4224"/>
      <c r="U20" s="3557"/>
      <c r="V20" s="4224"/>
      <c r="W20" s="3557"/>
      <c r="X20" s="1001"/>
      <c r="Y20" s="4831"/>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38"/>
      <c r="Q21" s="3417" t="str">
        <f>B21</f>
        <v>基础设施水平</v>
      </c>
      <c r="R21" s="4224" t="s">
        <v>13</v>
      </c>
      <c r="S21" s="3557">
        <f>F21</f>
        <v>100</v>
      </c>
      <c r="T21" s="4224" t="s">
        <v>13</v>
      </c>
      <c r="U21" s="3557">
        <f>H21</f>
        <v>100</v>
      </c>
      <c r="V21" s="4224" t="s">
        <v>13</v>
      </c>
      <c r="W21" s="3557">
        <f>J21</f>
        <v>100</v>
      </c>
      <c r="X21" s="1001"/>
      <c r="Y21" s="4831"/>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38"/>
      <c r="Q22" s="3417"/>
      <c r="R22" s="4224"/>
      <c r="S22" s="3557"/>
      <c r="T22" s="4224"/>
      <c r="U22" s="3557"/>
      <c r="V22" s="4224"/>
      <c r="W22" s="3557"/>
      <c r="X22" s="1001"/>
      <c r="Y22" s="4831"/>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38"/>
      <c r="Q23" s="3417" t="str">
        <f>B23</f>
        <v>环境质量</v>
      </c>
      <c r="R23" s="4224" t="s">
        <v>13</v>
      </c>
      <c r="S23" s="3557">
        <f>F23</f>
        <v>100</v>
      </c>
      <c r="T23" s="4224" t="s">
        <v>13</v>
      </c>
      <c r="U23" s="3557">
        <f>H23</f>
        <v>100</v>
      </c>
      <c r="V23" s="4224" t="s">
        <v>13</v>
      </c>
      <c r="W23" s="3557">
        <f>J23</f>
        <v>100</v>
      </c>
      <c r="X23" s="1001"/>
      <c r="Y23" s="4831"/>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38"/>
      <c r="Q24" s="3417"/>
      <c r="R24" s="4224"/>
      <c r="S24" s="3557"/>
      <c r="T24" s="4224"/>
      <c r="U24" s="3557"/>
      <c r="V24" s="4224"/>
      <c r="W24" s="3557"/>
      <c r="X24" s="1001"/>
      <c r="Y24" s="4831"/>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38"/>
      <c r="Q25" s="3417" t="str">
        <f>B25</f>
        <v>毗邻道路的类型与等级</v>
      </c>
      <c r="R25" s="4224" t="s">
        <v>13</v>
      </c>
      <c r="S25" s="3557">
        <f>F25</f>
        <v>100</v>
      </c>
      <c r="T25" s="4224" t="s">
        <v>13</v>
      </c>
      <c r="U25" s="3557">
        <f>H25</f>
        <v>100</v>
      </c>
      <c r="V25" s="4224" t="s">
        <v>13</v>
      </c>
      <c r="W25" s="3557">
        <f>J25</f>
        <v>100</v>
      </c>
      <c r="X25" s="1001"/>
      <c r="Y25" s="4831"/>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38"/>
      <c r="Q26" s="3417"/>
      <c r="R26" s="4224"/>
      <c r="S26" s="3557"/>
      <c r="T26" s="4224"/>
      <c r="U26" s="3557"/>
      <c r="V26" s="4224"/>
      <c r="W26" s="3557"/>
      <c r="X26" s="1001"/>
      <c r="Y26" s="4831"/>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38"/>
      <c r="Q27" s="3417" t="str">
        <f t="shared" ref="Q27:Q47" si="11">B27</f>
        <v>楼层</v>
      </c>
      <c r="R27" s="4224" t="s">
        <v>13</v>
      </c>
      <c r="S27" s="3557">
        <f>F27</f>
        <v>100</v>
      </c>
      <c r="T27" s="4224" t="s">
        <v>13</v>
      </c>
      <c r="U27" s="3557">
        <f>H27</f>
        <v>100</v>
      </c>
      <c r="V27" s="4224" t="s">
        <v>13</v>
      </c>
      <c r="W27" s="3557">
        <f>J27</f>
        <v>100</v>
      </c>
      <c r="X27" s="1001"/>
      <c r="Y27" s="4831"/>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38"/>
      <c r="Q28" s="3414" t="str">
        <f t="shared" si="11"/>
        <v>朝向</v>
      </c>
      <c r="R28" s="4099" t="s">
        <v>13</v>
      </c>
      <c r="S28" s="3556">
        <f>F28</f>
        <v>100</v>
      </c>
      <c r="T28" s="4099" t="s">
        <v>13</v>
      </c>
      <c r="U28" s="3556">
        <f>H28</f>
        <v>100</v>
      </c>
      <c r="V28" s="4099" t="s">
        <v>13</v>
      </c>
      <c r="W28" s="3556">
        <f>J28</f>
        <v>100</v>
      </c>
      <c r="X28" s="515"/>
      <c r="Y28" s="4831"/>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38"/>
      <c r="Q29" s="3417">
        <f t="shared" si="11"/>
        <v>111</v>
      </c>
      <c r="R29" s="4224" t="s">
        <v>13</v>
      </c>
      <c r="S29" s="3557">
        <f t="shared" ref="S29:S47" si="12">F29</f>
        <v>100</v>
      </c>
      <c r="T29" s="4224" t="s">
        <v>13</v>
      </c>
      <c r="U29" s="3557">
        <f t="shared" ref="U29:U47" si="13">H29</f>
        <v>100</v>
      </c>
      <c r="V29" s="4224" t="s">
        <v>13</v>
      </c>
      <c r="W29" s="3557">
        <f t="shared" ref="W29:W47" si="14">J29</f>
        <v>100</v>
      </c>
      <c r="X29" s="1001"/>
      <c r="Y29" s="4831"/>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38"/>
      <c r="Q30" s="3417">
        <f t="shared" si="11"/>
        <v>111</v>
      </c>
      <c r="R30" s="4224" t="s">
        <v>13</v>
      </c>
      <c r="S30" s="3557">
        <f t="shared" si="12"/>
        <v>100</v>
      </c>
      <c r="T30" s="4224" t="s">
        <v>13</v>
      </c>
      <c r="U30" s="3557">
        <f t="shared" si="13"/>
        <v>100</v>
      </c>
      <c r="V30" s="4224" t="s">
        <v>13</v>
      </c>
      <c r="W30" s="3557">
        <f t="shared" si="14"/>
        <v>100</v>
      </c>
      <c r="X30" s="1001"/>
      <c r="Y30" s="4831"/>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38"/>
      <c r="Q31" s="3417">
        <f t="shared" si="11"/>
        <v>111</v>
      </c>
      <c r="R31" s="4224" t="s">
        <v>13</v>
      </c>
      <c r="S31" s="3557">
        <f t="shared" si="12"/>
        <v>100</v>
      </c>
      <c r="T31" s="4224" t="s">
        <v>13</v>
      </c>
      <c r="U31" s="3557">
        <f t="shared" si="13"/>
        <v>100</v>
      </c>
      <c r="V31" s="4224" t="s">
        <v>13</v>
      </c>
      <c r="W31" s="3557">
        <f t="shared" si="14"/>
        <v>100</v>
      </c>
      <c r="X31" s="1001"/>
      <c r="Y31" s="4831"/>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38"/>
      <c r="Q32" s="3417">
        <f t="shared" si="11"/>
        <v>111</v>
      </c>
      <c r="R32" s="4224" t="s">
        <v>13</v>
      </c>
      <c r="S32" s="3557">
        <f t="shared" si="12"/>
        <v>100</v>
      </c>
      <c r="T32" s="4224" t="s">
        <v>13</v>
      </c>
      <c r="U32" s="3557">
        <f t="shared" si="13"/>
        <v>100</v>
      </c>
      <c r="V32" s="4224" t="s">
        <v>13</v>
      </c>
      <c r="W32" s="3557">
        <f t="shared" si="14"/>
        <v>100</v>
      </c>
      <c r="X32" s="1001"/>
      <c r="Y32" s="4831"/>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32" t="s">
        <v>1611</v>
      </c>
      <c r="Q33" s="3417" t="str">
        <f t="shared" si="11"/>
        <v>建筑类型</v>
      </c>
      <c r="R33" s="4224" t="s">
        <v>13</v>
      </c>
      <c r="S33" s="3557">
        <f t="shared" si="12"/>
        <v>100</v>
      </c>
      <c r="T33" s="4224" t="s">
        <v>13</v>
      </c>
      <c r="U33" s="3557">
        <f t="shared" si="13"/>
        <v>100</v>
      </c>
      <c r="V33" s="4224" t="s">
        <v>13</v>
      </c>
      <c r="W33" s="3557">
        <f t="shared" si="14"/>
        <v>100</v>
      </c>
      <c r="X33" s="1001"/>
      <c r="Y33" s="4835"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33"/>
      <c r="Q34" s="3215" t="str">
        <f t="shared" si="11"/>
        <v>项目建筑规模</v>
      </c>
      <c r="R34" s="4225" t="s">
        <v>13</v>
      </c>
      <c r="S34" s="3558" t="e">
        <f t="shared" si="12"/>
        <v>#N/A</v>
      </c>
      <c r="T34" s="4225" t="s">
        <v>13</v>
      </c>
      <c r="U34" s="3558" t="e">
        <f t="shared" si="13"/>
        <v>#N/A</v>
      </c>
      <c r="V34" s="4225" t="s">
        <v>13</v>
      </c>
      <c r="W34" s="3558" t="e">
        <f t="shared" si="14"/>
        <v>#N/A</v>
      </c>
      <c r="X34" s="518"/>
      <c r="Y34" s="4835"/>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33"/>
      <c r="Q35" s="3417" t="str">
        <f t="shared" si="11"/>
        <v>建筑结构</v>
      </c>
      <c r="R35" s="4224" t="s">
        <v>13</v>
      </c>
      <c r="S35" s="3557">
        <f t="shared" si="12"/>
        <v>100</v>
      </c>
      <c r="T35" s="4224" t="s">
        <v>13</v>
      </c>
      <c r="U35" s="3557">
        <f t="shared" si="13"/>
        <v>100</v>
      </c>
      <c r="V35" s="4224" t="s">
        <v>13</v>
      </c>
      <c r="W35" s="3557">
        <f t="shared" si="14"/>
        <v>100</v>
      </c>
      <c r="X35" s="1001"/>
      <c r="Y35" s="4835"/>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33"/>
      <c r="Q36" s="3417" t="str">
        <f t="shared" si="11"/>
        <v>公共部分装修</v>
      </c>
      <c r="R36" s="4224" t="s">
        <v>13</v>
      </c>
      <c r="S36" s="3557">
        <f t="shared" si="12"/>
        <v>100</v>
      </c>
      <c r="T36" s="4224" t="s">
        <v>13</v>
      </c>
      <c r="U36" s="3557">
        <f t="shared" si="13"/>
        <v>100</v>
      </c>
      <c r="V36" s="4224" t="s">
        <v>13</v>
      </c>
      <c r="W36" s="3557">
        <f t="shared" si="14"/>
        <v>100</v>
      </c>
      <c r="X36" s="1001"/>
      <c r="Y36" s="4835"/>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33"/>
      <c r="Q37" s="3417" t="str">
        <f t="shared" si="11"/>
        <v>成新度</v>
      </c>
      <c r="R37" s="4224" t="s">
        <v>13</v>
      </c>
      <c r="S37" s="3557" t="e">
        <f t="shared" si="12"/>
        <v>#N/A</v>
      </c>
      <c r="T37" s="4224" t="s">
        <v>13</v>
      </c>
      <c r="U37" s="3557" t="e">
        <f t="shared" si="13"/>
        <v>#N/A</v>
      </c>
      <c r="V37" s="4224" t="s">
        <v>13</v>
      </c>
      <c r="W37" s="3557" t="e">
        <f t="shared" si="14"/>
        <v>#N/A</v>
      </c>
      <c r="X37" s="1001"/>
      <c r="Y37" s="4835"/>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33"/>
      <c r="Q38" s="3414" t="str">
        <f t="shared" si="11"/>
        <v>写字楼等级</v>
      </c>
      <c r="R38" s="4099" t="s">
        <v>13</v>
      </c>
      <c r="S38" s="3556">
        <f t="shared" si="12"/>
        <v>100</v>
      </c>
      <c r="T38" s="4099" t="s">
        <v>13</v>
      </c>
      <c r="U38" s="3556">
        <f t="shared" si="13"/>
        <v>100</v>
      </c>
      <c r="V38" s="4099" t="s">
        <v>13</v>
      </c>
      <c r="W38" s="3556">
        <f t="shared" si="14"/>
        <v>100</v>
      </c>
      <c r="X38" s="515"/>
      <c r="Y38" s="4835"/>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33" t="s">
        <v>1611</v>
      </c>
      <c r="Q39" s="3417" t="str">
        <f t="shared" si="11"/>
        <v>物业管理</v>
      </c>
      <c r="R39" s="4224" t="s">
        <v>13</v>
      </c>
      <c r="S39" s="3557">
        <f t="shared" si="12"/>
        <v>100</v>
      </c>
      <c r="T39" s="4224" t="s">
        <v>13</v>
      </c>
      <c r="U39" s="3557">
        <f t="shared" si="13"/>
        <v>100</v>
      </c>
      <c r="V39" s="4224" t="s">
        <v>13</v>
      </c>
      <c r="W39" s="3557">
        <f t="shared" si="14"/>
        <v>100</v>
      </c>
      <c r="X39" s="1001"/>
      <c r="Y39" s="4835"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33"/>
      <c r="Q40" s="3417" t="str">
        <f t="shared" si="11"/>
        <v>市政基础设施</v>
      </c>
      <c r="R40" s="4224" t="s">
        <v>13</v>
      </c>
      <c r="S40" s="3557">
        <f t="shared" si="12"/>
        <v>100</v>
      </c>
      <c r="T40" s="4224" t="s">
        <v>13</v>
      </c>
      <c r="U40" s="3557">
        <f t="shared" si="13"/>
        <v>100</v>
      </c>
      <c r="V40" s="4224" t="s">
        <v>13</v>
      </c>
      <c r="W40" s="3557">
        <f t="shared" si="14"/>
        <v>100</v>
      </c>
      <c r="X40" s="1001"/>
      <c r="Y40" s="4835"/>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33"/>
      <c r="Q41" s="3417" t="str">
        <f t="shared" si="11"/>
        <v>层高</v>
      </c>
      <c r="R41" s="4224" t="s">
        <v>13</v>
      </c>
      <c r="S41" s="3557">
        <f t="shared" si="12"/>
        <v>100</v>
      </c>
      <c r="T41" s="4224" t="s">
        <v>13</v>
      </c>
      <c r="U41" s="3557">
        <f t="shared" si="13"/>
        <v>100</v>
      </c>
      <c r="V41" s="4224" t="s">
        <v>13</v>
      </c>
      <c r="W41" s="3557">
        <f t="shared" si="14"/>
        <v>100</v>
      </c>
      <c r="X41" s="1001"/>
      <c r="Y41" s="4835"/>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33"/>
      <c r="Q42" s="3215" t="str">
        <f t="shared" si="11"/>
        <v>单套建筑面积</v>
      </c>
      <c r="R42" s="4225" t="s">
        <v>13</v>
      </c>
      <c r="S42" s="3558">
        <f t="shared" si="12"/>
        <v>100</v>
      </c>
      <c r="T42" s="4225" t="s">
        <v>13</v>
      </c>
      <c r="U42" s="3558">
        <f t="shared" si="13"/>
        <v>100</v>
      </c>
      <c r="V42" s="4225" t="s">
        <v>13</v>
      </c>
      <c r="W42" s="3558">
        <f t="shared" si="14"/>
        <v>100</v>
      </c>
      <c r="X42" s="518"/>
      <c r="Y42" s="4835"/>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33"/>
      <c r="Q43" s="3417" t="str">
        <f t="shared" si="11"/>
        <v>内部装修</v>
      </c>
      <c r="R43" s="4224" t="s">
        <v>13</v>
      </c>
      <c r="S43" s="3557">
        <f t="shared" si="12"/>
        <v>100</v>
      </c>
      <c r="T43" s="4224" t="s">
        <v>13</v>
      </c>
      <c r="U43" s="3557">
        <f t="shared" si="13"/>
        <v>100</v>
      </c>
      <c r="V43" s="4224" t="s">
        <v>13</v>
      </c>
      <c r="W43" s="3557">
        <f t="shared" si="14"/>
        <v>100</v>
      </c>
      <c r="X43" s="1001"/>
      <c r="Y43" s="4835"/>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33"/>
      <c r="Q44" s="3417" t="str">
        <f t="shared" si="11"/>
        <v>内部装修维护情况</v>
      </c>
      <c r="R44" s="4224" t="s">
        <v>13</v>
      </c>
      <c r="S44" s="3557">
        <f t="shared" si="12"/>
        <v>100</v>
      </c>
      <c r="T44" s="4224" t="s">
        <v>13</v>
      </c>
      <c r="U44" s="3557">
        <f t="shared" si="13"/>
        <v>100</v>
      </c>
      <c r="V44" s="4224" t="s">
        <v>13</v>
      </c>
      <c r="W44" s="3557">
        <f t="shared" si="14"/>
        <v>100</v>
      </c>
      <c r="X44" s="1001"/>
      <c r="Y44" s="4835"/>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33"/>
      <c r="Q45" s="3414">
        <f t="shared" si="11"/>
        <v>111</v>
      </c>
      <c r="R45" s="4099" t="s">
        <v>13</v>
      </c>
      <c r="S45" s="3556">
        <f t="shared" si="12"/>
        <v>100</v>
      </c>
      <c r="T45" s="4099" t="s">
        <v>13</v>
      </c>
      <c r="U45" s="3556">
        <f t="shared" si="13"/>
        <v>100</v>
      </c>
      <c r="V45" s="4099" t="s">
        <v>13</v>
      </c>
      <c r="W45" s="3556">
        <f t="shared" si="14"/>
        <v>100</v>
      </c>
      <c r="X45" s="515"/>
      <c r="Y45" s="4835"/>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33"/>
      <c r="Q46" s="3417">
        <f t="shared" si="11"/>
        <v>111</v>
      </c>
      <c r="R46" s="4224" t="s">
        <v>13</v>
      </c>
      <c r="S46" s="3557">
        <f t="shared" si="12"/>
        <v>100</v>
      </c>
      <c r="T46" s="4224" t="s">
        <v>13</v>
      </c>
      <c r="U46" s="3557">
        <f t="shared" si="13"/>
        <v>100</v>
      </c>
      <c r="V46" s="4224" t="s">
        <v>13</v>
      </c>
      <c r="W46" s="3557">
        <f t="shared" si="14"/>
        <v>100</v>
      </c>
      <c r="X46" s="1001"/>
      <c r="Y46" s="4835"/>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34"/>
      <c r="Q47" s="3417">
        <f t="shared" si="11"/>
        <v>111</v>
      </c>
      <c r="R47" s="4224" t="s">
        <v>13</v>
      </c>
      <c r="S47" s="3557">
        <f t="shared" si="12"/>
        <v>100</v>
      </c>
      <c r="T47" s="4224" t="s">
        <v>13</v>
      </c>
      <c r="U47" s="3557">
        <f t="shared" si="13"/>
        <v>100</v>
      </c>
      <c r="V47" s="4224" t="s">
        <v>13</v>
      </c>
      <c r="W47" s="3557">
        <f t="shared" si="14"/>
        <v>100</v>
      </c>
      <c r="X47" s="1001"/>
      <c r="Y47" s="4836"/>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39" t="str">
        <f>A48</f>
        <v>成交单价（元/平方米）</v>
      </c>
      <c r="Q48" s="4828"/>
      <c r="R48" s="4829">
        <f>E48</f>
        <v>0</v>
      </c>
      <c r="S48" s="4829"/>
      <c r="T48" s="4829">
        <f>G48</f>
        <v>0</v>
      </c>
      <c r="U48" s="4829"/>
      <c r="V48" s="4829">
        <f>I48</f>
        <v>0</v>
      </c>
      <c r="W48" s="4829"/>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39" t="str">
        <f>A49</f>
        <v>比较价值（元/平方米）</v>
      </c>
      <c r="Q49" s="4828"/>
      <c r="R49" s="4829" t="e">
        <f>IF(F1="售价",ROUND(PRODUCT(R48,AA7:AA47),0),ROUND(PRODUCT(R48,AA7:AA47),1))</f>
        <v>#DIV/0!</v>
      </c>
      <c r="S49" s="4829"/>
      <c r="T49" s="4829" t="e">
        <f>IF(F1="售价",ROUND(PRODUCT(T48,AB7:AB47),0),ROUND(PRODUCT(T48,AB7:AB47),1))</f>
        <v>#DIV/0!</v>
      </c>
      <c r="U49" s="4829"/>
      <c r="V49" s="4829" t="e">
        <f>IF(F1="售价",ROUND(PRODUCT(V48,AC7:AC47),0),ROUND(PRODUCT(V48,AC7:AC47),1))</f>
        <v>#DIV/0!</v>
      </c>
      <c r="W49" s="4829"/>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881" t="str">
        <f>A50</f>
        <v>估价对象XX用房的比较价值（楼面单价，元/平方米）</v>
      </c>
      <c r="Q50" s="4882"/>
      <c r="R50" s="4883" t="e">
        <f>IF(F1="售价",ROUND(IF(D49="简单平均",AVERAGE(R49:V49),R49*F49+T49*H49+V49*J49),0),ROUND(IF(D49="简单平均",AVERAGE(R49:V49),R49*F49+T49*H49+V49*J49),1))</f>
        <v>#DIV/0!</v>
      </c>
      <c r="S50" s="4883"/>
      <c r="T50" s="4883"/>
      <c r="U50" s="4883"/>
      <c r="V50" s="4883"/>
      <c r="W50" s="4883"/>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191.15</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655"/>
      <c r="M4" s="656"/>
      <c r="N4" s="656"/>
      <c r="O4" s="656"/>
      <c r="P4" s="4848" t="s">
        <v>1690</v>
      </c>
      <c r="Q4" s="4849"/>
      <c r="R4" s="4854" t="s">
        <v>1686</v>
      </c>
      <c r="S4" s="4855"/>
      <c r="T4" s="4854" t="s">
        <v>1687</v>
      </c>
      <c r="U4" s="4855"/>
      <c r="V4" s="4860" t="s">
        <v>1688</v>
      </c>
      <c r="W4" s="486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655"/>
      <c r="M5" s="656"/>
      <c r="N5" s="656"/>
      <c r="O5" s="656"/>
      <c r="P5" s="4850"/>
      <c r="Q5" s="4851"/>
      <c r="R5" s="4856"/>
      <c r="S5" s="4857"/>
      <c r="T5" s="4856"/>
      <c r="U5" s="4857"/>
      <c r="V5" s="4860"/>
      <c r="W5" s="486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655"/>
      <c r="M6" s="656"/>
      <c r="N6" s="656"/>
      <c r="O6" s="656"/>
      <c r="P6" s="4852"/>
      <c r="Q6" s="4853"/>
      <c r="R6" s="4856"/>
      <c r="S6" s="4857"/>
      <c r="T6" s="4858"/>
      <c r="U6" s="4859"/>
      <c r="V6" s="4860"/>
      <c r="W6" s="4860"/>
      <c r="X6" s="1001"/>
      <c r="Y6" s="4873"/>
      <c r="Z6" s="4874"/>
      <c r="AA6" s="4843"/>
      <c r="AB6" s="4843"/>
      <c r="AC6" s="4843"/>
    </row>
    <row r="7" spans="1:29" s="49" customFormat="1" ht="15.75" thickBot="1">
      <c r="A7" s="249" t="s">
        <v>1594</v>
      </c>
      <c r="B7" s="250"/>
      <c r="C7" s="251">
        <f>'数据-取费表'!B2</f>
        <v>46047</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65" t="s">
        <v>1595</v>
      </c>
      <c r="Q7" s="4875"/>
      <c r="R7" s="4256" t="s">
        <v>13</v>
      </c>
      <c r="S7" s="4259">
        <f t="shared" ref="S7:S15" si="0">F7</f>
        <v>0</v>
      </c>
      <c r="T7" s="4256" t="s">
        <v>13</v>
      </c>
      <c r="U7" s="4259">
        <f t="shared" ref="U7:U15" si="1">H7</f>
        <v>0</v>
      </c>
      <c r="V7" s="4256" t="s">
        <v>13</v>
      </c>
      <c r="W7" s="4259">
        <f t="shared" ref="W7:W15"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65" t="s">
        <v>1598</v>
      </c>
      <c r="Q8" s="4866"/>
      <c r="R8" s="4256" t="s">
        <v>13</v>
      </c>
      <c r="S8" s="4259">
        <f t="shared" si="0"/>
        <v>100</v>
      </c>
      <c r="T8" s="4256" t="s">
        <v>13</v>
      </c>
      <c r="U8" s="4259">
        <f t="shared" si="1"/>
        <v>100</v>
      </c>
      <c r="V8" s="4256" t="s">
        <v>13</v>
      </c>
      <c r="W8" s="4259">
        <f t="shared" si="2"/>
        <v>100</v>
      </c>
      <c r="X8" s="515"/>
      <c r="Y8" s="4867" t="s">
        <v>1598</v>
      </c>
      <c r="Z8" s="4868"/>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28" t="s">
        <v>1601</v>
      </c>
      <c r="Q9" s="3414" t="str">
        <f t="shared" ref="Q9:Q15" si="6">B9</f>
        <v>用途</v>
      </c>
      <c r="R9" s="4256" t="s">
        <v>13</v>
      </c>
      <c r="S9" s="4259">
        <f t="shared" si="0"/>
        <v>100</v>
      </c>
      <c r="T9" s="4256" t="s">
        <v>13</v>
      </c>
      <c r="U9" s="4259">
        <f t="shared" si="1"/>
        <v>100</v>
      </c>
      <c r="V9" s="4256" t="s">
        <v>13</v>
      </c>
      <c r="W9" s="4259">
        <f t="shared" si="2"/>
        <v>100</v>
      </c>
      <c r="X9" s="515"/>
      <c r="Y9" s="4840"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28"/>
      <c r="Q10" s="3414" t="str">
        <f t="shared" si="6"/>
        <v>土地使用年限（年）</v>
      </c>
      <c r="R10" s="4256" t="s">
        <v>13</v>
      </c>
      <c r="S10" s="4259">
        <f t="shared" si="0"/>
        <v>100</v>
      </c>
      <c r="T10" s="4256" t="s">
        <v>13</v>
      </c>
      <c r="U10" s="4259">
        <f t="shared" si="1"/>
        <v>100</v>
      </c>
      <c r="V10" s="4256" t="s">
        <v>13</v>
      </c>
      <c r="W10" s="4259">
        <f t="shared" si="2"/>
        <v>100</v>
      </c>
      <c r="X10" s="515"/>
      <c r="Y10" s="4840"/>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28"/>
      <c r="Q11" s="3414" t="str">
        <f t="shared" si="6"/>
        <v>容积率</v>
      </c>
      <c r="R11" s="4256" t="s">
        <v>13</v>
      </c>
      <c r="S11" s="4259">
        <f t="shared" si="0"/>
        <v>100</v>
      </c>
      <c r="T11" s="4256" t="s">
        <v>13</v>
      </c>
      <c r="U11" s="4259">
        <f t="shared" si="1"/>
        <v>100</v>
      </c>
      <c r="V11" s="4256" t="s">
        <v>13</v>
      </c>
      <c r="W11" s="4259">
        <f t="shared" si="2"/>
        <v>100</v>
      </c>
      <c r="X11" s="515"/>
      <c r="Y11" s="4840"/>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28"/>
      <c r="Q12" s="3414">
        <f t="shared" si="6"/>
        <v>111</v>
      </c>
      <c r="R12" s="4256" t="s">
        <v>13</v>
      </c>
      <c r="S12" s="4259">
        <f t="shared" si="0"/>
        <v>100</v>
      </c>
      <c r="T12" s="4256" t="s">
        <v>13</v>
      </c>
      <c r="U12" s="4259">
        <f t="shared" si="1"/>
        <v>100</v>
      </c>
      <c r="V12" s="4256" t="s">
        <v>13</v>
      </c>
      <c r="W12" s="4259">
        <f t="shared" si="2"/>
        <v>100</v>
      </c>
      <c r="X12" s="515"/>
      <c r="Y12" s="4840"/>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28"/>
      <c r="Q13" s="3414">
        <f t="shared" si="6"/>
        <v>111</v>
      </c>
      <c r="R13" s="4256" t="s">
        <v>13</v>
      </c>
      <c r="S13" s="4259">
        <f t="shared" si="0"/>
        <v>100</v>
      </c>
      <c r="T13" s="4256" t="s">
        <v>13</v>
      </c>
      <c r="U13" s="4259">
        <f t="shared" si="1"/>
        <v>100</v>
      </c>
      <c r="V13" s="4256" t="s">
        <v>13</v>
      </c>
      <c r="W13" s="4259">
        <f t="shared" si="2"/>
        <v>100</v>
      </c>
      <c r="X13" s="515"/>
      <c r="Y13" s="4840"/>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10" t="s">
        <v>1606</v>
      </c>
      <c r="Q15" s="3417" t="str">
        <f t="shared" si="6"/>
        <v>产业集聚程度</v>
      </c>
      <c r="R15" s="4257" t="s">
        <v>13</v>
      </c>
      <c r="S15" s="4260">
        <f t="shared" si="0"/>
        <v>100</v>
      </c>
      <c r="T15" s="4257" t="s">
        <v>13</v>
      </c>
      <c r="U15" s="4260">
        <f t="shared" si="1"/>
        <v>100</v>
      </c>
      <c r="V15" s="4257" t="s">
        <v>13</v>
      </c>
      <c r="W15" s="4260">
        <f t="shared" si="2"/>
        <v>100</v>
      </c>
      <c r="X15" s="1001"/>
      <c r="Y15" s="4830"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1"/>
      <c r="Q16" s="3417"/>
      <c r="R16" s="4257"/>
      <c r="S16" s="4260"/>
      <c r="T16" s="4257"/>
      <c r="U16" s="4260"/>
      <c r="V16" s="4257"/>
      <c r="W16" s="4260"/>
      <c r="X16" s="1001"/>
      <c r="Y16" s="4831"/>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1"/>
      <c r="Q17" s="3417" t="str">
        <f>B17</f>
        <v>交通便捷度</v>
      </c>
      <c r="R17" s="4257" t="s">
        <v>13</v>
      </c>
      <c r="S17" s="4260">
        <f>F17</f>
        <v>100</v>
      </c>
      <c r="T17" s="4257" t="s">
        <v>13</v>
      </c>
      <c r="U17" s="4260">
        <f>H17</f>
        <v>100</v>
      </c>
      <c r="V17" s="4257" t="s">
        <v>13</v>
      </c>
      <c r="W17" s="4260">
        <f>J17</f>
        <v>100</v>
      </c>
      <c r="X17" s="1001"/>
      <c r="Y17" s="4831"/>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1"/>
      <c r="Q18" s="3417"/>
      <c r="R18" s="4257"/>
      <c r="S18" s="4260"/>
      <c r="T18" s="4257"/>
      <c r="U18" s="4260"/>
      <c r="V18" s="4257"/>
      <c r="W18" s="4260"/>
      <c r="X18" s="1001"/>
      <c r="Y18" s="4831"/>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1"/>
      <c r="Q19" s="3417" t="str">
        <f>B19</f>
        <v>公共配套设施</v>
      </c>
      <c r="R19" s="4257" t="s">
        <v>13</v>
      </c>
      <c r="S19" s="4260">
        <f>F19</f>
        <v>100</v>
      </c>
      <c r="T19" s="4257" t="s">
        <v>13</v>
      </c>
      <c r="U19" s="4260">
        <f>H19</f>
        <v>100</v>
      </c>
      <c r="V19" s="4257" t="s">
        <v>13</v>
      </c>
      <c r="W19" s="4260">
        <f>J19</f>
        <v>100</v>
      </c>
      <c r="X19" s="1001"/>
      <c r="Y19" s="4831"/>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1"/>
      <c r="Q20" s="3417"/>
      <c r="R20" s="4257"/>
      <c r="S20" s="4260"/>
      <c r="T20" s="4257"/>
      <c r="U20" s="4260"/>
      <c r="V20" s="4257"/>
      <c r="W20" s="4260"/>
      <c r="X20" s="1001"/>
      <c r="Y20" s="4831"/>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1"/>
      <c r="Q21" s="3417" t="str">
        <f>B21</f>
        <v>基础设施水平</v>
      </c>
      <c r="R21" s="4257" t="s">
        <v>13</v>
      </c>
      <c r="S21" s="4260">
        <f>F21</f>
        <v>100</v>
      </c>
      <c r="T21" s="4257" t="s">
        <v>13</v>
      </c>
      <c r="U21" s="4260">
        <f>H21</f>
        <v>100</v>
      </c>
      <c r="V21" s="4257" t="s">
        <v>13</v>
      </c>
      <c r="W21" s="4260">
        <f>J21</f>
        <v>100</v>
      </c>
      <c r="X21" s="1001"/>
      <c r="Y21" s="4831"/>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1"/>
      <c r="Q22" s="3417"/>
      <c r="R22" s="4257"/>
      <c r="S22" s="4260"/>
      <c r="T22" s="4257"/>
      <c r="U22" s="4260"/>
      <c r="V22" s="4257"/>
      <c r="W22" s="4260"/>
      <c r="X22" s="1001"/>
      <c r="Y22" s="4831"/>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1"/>
      <c r="Q23" s="3417" t="str">
        <f>B23</f>
        <v>环境质量</v>
      </c>
      <c r="R23" s="4257" t="s">
        <v>13</v>
      </c>
      <c r="S23" s="4260">
        <f>F23</f>
        <v>100</v>
      </c>
      <c r="T23" s="4257" t="s">
        <v>13</v>
      </c>
      <c r="U23" s="4260">
        <f>H23</f>
        <v>100</v>
      </c>
      <c r="V23" s="4257" t="s">
        <v>13</v>
      </c>
      <c r="W23" s="4260">
        <f>J23</f>
        <v>100</v>
      </c>
      <c r="X23" s="1001"/>
      <c r="Y23" s="4831"/>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1"/>
      <c r="Q24" s="3417"/>
      <c r="R24" s="4257"/>
      <c r="S24" s="4260"/>
      <c r="T24" s="4257"/>
      <c r="U24" s="4260"/>
      <c r="V24" s="4257"/>
      <c r="W24" s="4260"/>
      <c r="X24" s="1001"/>
      <c r="Y24" s="4831"/>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1"/>
      <c r="Q25" s="3417">
        <f>B25</f>
        <v>111</v>
      </c>
      <c r="R25" s="4257" t="s">
        <v>13</v>
      </c>
      <c r="S25" s="4260">
        <f>F25</f>
        <v>100</v>
      </c>
      <c r="T25" s="4257" t="s">
        <v>13</v>
      </c>
      <c r="U25" s="4260">
        <f>H25</f>
        <v>100</v>
      </c>
      <c r="V25" s="4257" t="s">
        <v>13</v>
      </c>
      <c r="W25" s="4260">
        <f>J25</f>
        <v>100</v>
      </c>
      <c r="X25" s="1001"/>
      <c r="Y25" s="4831"/>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1"/>
      <c r="Q26" s="3417">
        <f t="shared" ref="Q26:Q40" si="11">B26</f>
        <v>111</v>
      </c>
      <c r="R26" s="4257" t="s">
        <v>13</v>
      </c>
      <c r="S26" s="4260">
        <f>F26</f>
        <v>100</v>
      </c>
      <c r="T26" s="4257" t="s">
        <v>13</v>
      </c>
      <c r="U26" s="4260">
        <f>H26</f>
        <v>100</v>
      </c>
      <c r="V26" s="4257" t="s">
        <v>13</v>
      </c>
      <c r="W26" s="4260">
        <f>J26</f>
        <v>100</v>
      </c>
      <c r="X26" s="1001"/>
      <c r="Y26" s="4831"/>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1"/>
      <c r="Q27" s="3414">
        <f t="shared" si="11"/>
        <v>111</v>
      </c>
      <c r="R27" s="4256" t="s">
        <v>13</v>
      </c>
      <c r="S27" s="4259">
        <f>F27</f>
        <v>100</v>
      </c>
      <c r="T27" s="4256" t="s">
        <v>13</v>
      </c>
      <c r="U27" s="4259">
        <f>H27</f>
        <v>100</v>
      </c>
      <c r="V27" s="4256" t="s">
        <v>13</v>
      </c>
      <c r="W27" s="4259">
        <f>J27</f>
        <v>100</v>
      </c>
      <c r="X27" s="515"/>
      <c r="Y27" s="4831"/>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1"/>
      <c r="Q28" s="3417">
        <f t="shared" si="11"/>
        <v>111</v>
      </c>
      <c r="R28" s="4257" t="s">
        <v>13</v>
      </c>
      <c r="S28" s="4260">
        <f t="shared" ref="S28:S40" si="12">F28</f>
        <v>100</v>
      </c>
      <c r="T28" s="4257" t="s">
        <v>13</v>
      </c>
      <c r="U28" s="4260">
        <f t="shared" ref="U28:U40" si="13">H28</f>
        <v>100</v>
      </c>
      <c r="V28" s="4257" t="s">
        <v>13</v>
      </c>
      <c r="W28" s="4260">
        <f t="shared" ref="W28:W40" si="14">J28</f>
        <v>100</v>
      </c>
      <c r="X28" s="1001"/>
      <c r="Y28" s="4831"/>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2" t="s">
        <v>1611</v>
      </c>
      <c r="Q29" s="3417" t="str">
        <f t="shared" si="11"/>
        <v>建筑类型</v>
      </c>
      <c r="R29" s="4257" t="s">
        <v>13</v>
      </c>
      <c r="S29" s="4260">
        <f t="shared" si="12"/>
        <v>100</v>
      </c>
      <c r="T29" s="4257" t="s">
        <v>13</v>
      </c>
      <c r="U29" s="4260">
        <f t="shared" si="13"/>
        <v>100</v>
      </c>
      <c r="V29" s="4257" t="s">
        <v>13</v>
      </c>
      <c r="W29" s="4260">
        <f t="shared" si="14"/>
        <v>100</v>
      </c>
      <c r="X29" s="1001"/>
      <c r="Y29" s="4835"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3"/>
      <c r="Q30" s="3215" t="str">
        <f t="shared" si="11"/>
        <v>项目建筑规模</v>
      </c>
      <c r="R30" s="4258" t="s">
        <v>13</v>
      </c>
      <c r="S30" s="4261" t="e">
        <f t="shared" si="12"/>
        <v>#N/A</v>
      </c>
      <c r="T30" s="4258" t="s">
        <v>13</v>
      </c>
      <c r="U30" s="4261" t="e">
        <f t="shared" si="13"/>
        <v>#N/A</v>
      </c>
      <c r="V30" s="4258" t="s">
        <v>13</v>
      </c>
      <c r="W30" s="4261" t="e">
        <f t="shared" si="14"/>
        <v>#N/A</v>
      </c>
      <c r="X30" s="518"/>
      <c r="Y30" s="4835"/>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3"/>
      <c r="Q31" s="3417" t="str">
        <f t="shared" si="11"/>
        <v>建筑结构</v>
      </c>
      <c r="R31" s="4257" t="s">
        <v>13</v>
      </c>
      <c r="S31" s="4260">
        <f t="shared" si="12"/>
        <v>100</v>
      </c>
      <c r="T31" s="4257" t="s">
        <v>13</v>
      </c>
      <c r="U31" s="4260">
        <f t="shared" si="13"/>
        <v>100</v>
      </c>
      <c r="V31" s="4257" t="s">
        <v>13</v>
      </c>
      <c r="W31" s="4260">
        <f t="shared" si="14"/>
        <v>100</v>
      </c>
      <c r="X31" s="1001"/>
      <c r="Y31" s="4835"/>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3"/>
      <c r="Q32" s="3417" t="str">
        <f t="shared" si="11"/>
        <v>公共部分装修</v>
      </c>
      <c r="R32" s="4257" t="s">
        <v>13</v>
      </c>
      <c r="S32" s="4260">
        <f t="shared" si="12"/>
        <v>100</v>
      </c>
      <c r="T32" s="4257" t="s">
        <v>13</v>
      </c>
      <c r="U32" s="4260">
        <f t="shared" si="13"/>
        <v>100</v>
      </c>
      <c r="V32" s="4257" t="s">
        <v>13</v>
      </c>
      <c r="W32" s="4260">
        <f t="shared" si="14"/>
        <v>100</v>
      </c>
      <c r="X32" s="1001"/>
      <c r="Y32" s="4835"/>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3"/>
      <c r="Q33" s="3417" t="str">
        <f t="shared" si="11"/>
        <v>成新度</v>
      </c>
      <c r="R33" s="4257" t="s">
        <v>13</v>
      </c>
      <c r="S33" s="4260" t="e">
        <f t="shared" si="12"/>
        <v>#N/A</v>
      </c>
      <c r="T33" s="4257" t="s">
        <v>13</v>
      </c>
      <c r="U33" s="4260" t="e">
        <f t="shared" si="13"/>
        <v>#N/A</v>
      </c>
      <c r="V33" s="4257" t="s">
        <v>13</v>
      </c>
      <c r="W33" s="4260" t="e">
        <f t="shared" si="14"/>
        <v>#N/A</v>
      </c>
      <c r="X33" s="1001"/>
      <c r="Y33" s="4835"/>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3"/>
      <c r="Q34" s="3414" t="str">
        <f t="shared" si="11"/>
        <v>物业管理</v>
      </c>
      <c r="R34" s="4256" t="s">
        <v>13</v>
      </c>
      <c r="S34" s="4259">
        <f t="shared" si="12"/>
        <v>100</v>
      </c>
      <c r="T34" s="4256" t="s">
        <v>13</v>
      </c>
      <c r="U34" s="4259">
        <f t="shared" si="13"/>
        <v>100</v>
      </c>
      <c r="V34" s="4256" t="s">
        <v>13</v>
      </c>
      <c r="W34" s="4259">
        <f t="shared" si="14"/>
        <v>100</v>
      </c>
      <c r="X34" s="515"/>
      <c r="Y34" s="4835"/>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3" t="s">
        <v>1611</v>
      </c>
      <c r="Q35" s="3417" t="str">
        <f t="shared" si="11"/>
        <v>市政基础设施</v>
      </c>
      <c r="R35" s="4257" t="s">
        <v>13</v>
      </c>
      <c r="S35" s="4260">
        <f t="shared" si="12"/>
        <v>100</v>
      </c>
      <c r="T35" s="4257" t="s">
        <v>13</v>
      </c>
      <c r="U35" s="4260">
        <f t="shared" si="13"/>
        <v>100</v>
      </c>
      <c r="V35" s="4257" t="s">
        <v>13</v>
      </c>
      <c r="W35" s="4260">
        <f t="shared" si="14"/>
        <v>100</v>
      </c>
      <c r="X35" s="1001"/>
      <c r="Y35" s="4835"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3"/>
      <c r="Q36" s="3417" t="str">
        <f t="shared" si="11"/>
        <v>内部装修</v>
      </c>
      <c r="R36" s="4257" t="s">
        <v>13</v>
      </c>
      <c r="S36" s="4260">
        <f t="shared" si="12"/>
        <v>100</v>
      </c>
      <c r="T36" s="4257" t="s">
        <v>13</v>
      </c>
      <c r="U36" s="4260">
        <f t="shared" si="13"/>
        <v>100</v>
      </c>
      <c r="V36" s="4257" t="s">
        <v>13</v>
      </c>
      <c r="W36" s="4260">
        <f t="shared" si="14"/>
        <v>100</v>
      </c>
      <c r="X36" s="1001"/>
      <c r="Y36" s="4835"/>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3"/>
      <c r="Q37" s="3417" t="str">
        <f t="shared" si="11"/>
        <v>内部装修状况</v>
      </c>
      <c r="R37" s="4257" t="s">
        <v>13</v>
      </c>
      <c r="S37" s="4260">
        <f t="shared" si="12"/>
        <v>100</v>
      </c>
      <c r="T37" s="4257" t="s">
        <v>13</v>
      </c>
      <c r="U37" s="4260">
        <f t="shared" si="13"/>
        <v>100</v>
      </c>
      <c r="V37" s="4257" t="s">
        <v>13</v>
      </c>
      <c r="W37" s="4260">
        <f t="shared" si="14"/>
        <v>100</v>
      </c>
      <c r="X37" s="1001"/>
      <c r="Y37" s="4835"/>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3"/>
      <c r="Q38" s="3215">
        <f t="shared" si="11"/>
        <v>111</v>
      </c>
      <c r="R38" s="4258" t="s">
        <v>13</v>
      </c>
      <c r="S38" s="4261">
        <f t="shared" si="12"/>
        <v>100</v>
      </c>
      <c r="T38" s="4258" t="s">
        <v>13</v>
      </c>
      <c r="U38" s="4261">
        <f t="shared" si="13"/>
        <v>100</v>
      </c>
      <c r="V38" s="4258" t="s">
        <v>13</v>
      </c>
      <c r="W38" s="4261">
        <f t="shared" si="14"/>
        <v>100</v>
      </c>
      <c r="X38" s="518"/>
      <c r="Y38" s="4835"/>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3"/>
      <c r="Q39" s="3417">
        <f t="shared" si="11"/>
        <v>111</v>
      </c>
      <c r="R39" s="4257" t="s">
        <v>13</v>
      </c>
      <c r="S39" s="4260">
        <f t="shared" si="12"/>
        <v>100</v>
      </c>
      <c r="T39" s="4257" t="s">
        <v>13</v>
      </c>
      <c r="U39" s="4260">
        <f t="shared" si="13"/>
        <v>100</v>
      </c>
      <c r="V39" s="4257" t="s">
        <v>13</v>
      </c>
      <c r="W39" s="4260">
        <f t="shared" si="14"/>
        <v>100</v>
      </c>
      <c r="X39" s="1001"/>
      <c r="Y39" s="4835"/>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4"/>
      <c r="Q40" s="3417">
        <f t="shared" si="11"/>
        <v>111</v>
      </c>
      <c r="R40" s="4257" t="s">
        <v>13</v>
      </c>
      <c r="S40" s="4260">
        <f t="shared" si="12"/>
        <v>100</v>
      </c>
      <c r="T40" s="4257" t="s">
        <v>13</v>
      </c>
      <c r="U40" s="4260">
        <f t="shared" si="13"/>
        <v>100</v>
      </c>
      <c r="V40" s="4257" t="s">
        <v>13</v>
      </c>
      <c r="W40" s="4260">
        <f t="shared" si="14"/>
        <v>100</v>
      </c>
      <c r="X40" s="1001"/>
      <c r="Y40" s="4836"/>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28" t="str">
        <f>A41</f>
        <v>成交单价（元/平方米）</v>
      </c>
      <c r="Q41" s="4828"/>
      <c r="R41" s="4829">
        <f>E41</f>
        <v>0</v>
      </c>
      <c r="S41" s="4829"/>
      <c r="T41" s="4829">
        <f>G41</f>
        <v>0</v>
      </c>
      <c r="U41" s="4829"/>
      <c r="V41" s="4829">
        <f>I41</f>
        <v>0</v>
      </c>
      <c r="W41" s="4829"/>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28" t="str">
        <f>A42</f>
        <v>比较价值（元/平方米）</v>
      </c>
      <c r="Q42" s="4828"/>
      <c r="R42" s="4829" t="e">
        <f>IF(F1="售价",ROUND(PRODUCT(R41,AA7:AA40),0),ROUND(PRODUCT(R41,AA7:AA40),1))</f>
        <v>#DIV/0!</v>
      </c>
      <c r="S42" s="4829"/>
      <c r="T42" s="4829" t="e">
        <f>IF(F1="售价",ROUND(PRODUCT(T41,AB7:AB40),0),ROUND(PRODUCT(T41,AB7:AB40),1))</f>
        <v>#DIV/0!</v>
      </c>
      <c r="U42" s="4829"/>
      <c r="V42" s="4829" t="e">
        <f>IF(F1="售价",ROUND(PRODUCT(V41,AC7:AC40),0),ROUND(PRODUCT(V41,AC7:AC40),1))</f>
        <v>#DIV/0!</v>
      </c>
      <c r="W42" s="4829"/>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25" t="str">
        <f>A43</f>
        <v>估价对象XX用房的比较价值（楼面单价，元/平方米）</v>
      </c>
      <c r="Q43" s="4826"/>
      <c r="R43" s="4827" t="e">
        <f>IF(F1="售价",ROUND(IF(D42="简单平均",AVERAGE(R42:V42),R42*F42+T42*H42+V42*J42),0),ROUND(IF(D42="简单平均",AVERAGE(R42:V42),R42*F42+T42*H42+V42*J42),1))</f>
        <v>#DIV/0!</v>
      </c>
      <c r="S43" s="4827"/>
      <c r="T43" s="4827"/>
      <c r="U43" s="4827"/>
      <c r="V43" s="4827"/>
      <c r="W43" s="4827"/>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31"/>
      <c r="Q15" s="998"/>
      <c r="R15" s="4265"/>
      <c r="S15" s="4268"/>
      <c r="T15" s="4265"/>
      <c r="U15" s="4268"/>
      <c r="V15" s="4265"/>
      <c r="W15" s="4268"/>
      <c r="X15" s="1001"/>
      <c r="Y15" s="4831"/>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31"/>
      <c r="Q17" s="998"/>
      <c r="R17" s="4265"/>
      <c r="S17" s="4268"/>
      <c r="T17" s="4265"/>
      <c r="U17" s="4268"/>
      <c r="V17" s="4265"/>
      <c r="W17" s="4268"/>
      <c r="X17" s="1001"/>
      <c r="Y17" s="4831"/>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31"/>
      <c r="Q19" s="998"/>
      <c r="R19" s="4265"/>
      <c r="S19" s="4268"/>
      <c r="T19" s="4265"/>
      <c r="U19" s="4268"/>
      <c r="V19" s="4265"/>
      <c r="W19" s="4268"/>
      <c r="X19" s="1001"/>
      <c r="Y19" s="4831"/>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31"/>
      <c r="Q21" s="998"/>
      <c r="R21" s="4265"/>
      <c r="S21" s="4268"/>
      <c r="T21" s="4265"/>
      <c r="U21" s="4268"/>
      <c r="V21" s="4265"/>
      <c r="W21" s="4268"/>
      <c r="X21" s="1001"/>
      <c r="Y21" s="4831"/>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31"/>
      <c r="Q24" s="998">
        <f t="shared" ref="Q24:Q36"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0"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35"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35"/>
      <c r="Q27" s="517" t="str">
        <f t="shared" si="11"/>
        <v>项目停车位配比</v>
      </c>
      <c r="R27" s="4266" t="s">
        <v>13</v>
      </c>
      <c r="S27" s="4269">
        <f t="shared" si="12"/>
        <v>100</v>
      </c>
      <c r="T27" s="4266" t="s">
        <v>13</v>
      </c>
      <c r="U27" s="4269">
        <f t="shared" si="13"/>
        <v>100</v>
      </c>
      <c r="V27" s="4266" t="s">
        <v>13</v>
      </c>
      <c r="W27" s="4269">
        <f t="shared" si="14"/>
        <v>100</v>
      </c>
      <c r="X27" s="518"/>
      <c r="Y27" s="4835"/>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35"/>
      <c r="Q28" s="998" t="str">
        <f t="shared" si="11"/>
        <v>公共部分装修</v>
      </c>
      <c r="R28" s="4265" t="s">
        <v>13</v>
      </c>
      <c r="S28" s="4268">
        <f t="shared" si="12"/>
        <v>100</v>
      </c>
      <c r="T28" s="4265" t="s">
        <v>13</v>
      </c>
      <c r="U28" s="4268">
        <f t="shared" si="13"/>
        <v>100</v>
      </c>
      <c r="V28" s="4265" t="s">
        <v>13</v>
      </c>
      <c r="W28" s="4268">
        <f t="shared" si="14"/>
        <v>100</v>
      </c>
      <c r="X28" s="1001"/>
      <c r="Y28" s="4835"/>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35"/>
      <c r="Q29" s="998" t="str">
        <f t="shared" si="11"/>
        <v>成新率</v>
      </c>
      <c r="R29" s="4265" t="s">
        <v>13</v>
      </c>
      <c r="S29" s="4268" t="e">
        <f t="shared" si="12"/>
        <v>#N/A</v>
      </c>
      <c r="T29" s="4265" t="s">
        <v>13</v>
      </c>
      <c r="U29" s="4268" t="e">
        <f t="shared" si="13"/>
        <v>#N/A</v>
      </c>
      <c r="V29" s="4265" t="s">
        <v>13</v>
      </c>
      <c r="W29" s="4268" t="e">
        <f t="shared" si="14"/>
        <v>#N/A</v>
      </c>
      <c r="X29" s="1001"/>
      <c r="Y29" s="4835"/>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35"/>
      <c r="Q30" s="998" t="str">
        <f t="shared" si="11"/>
        <v>物业等级</v>
      </c>
      <c r="R30" s="4265" t="s">
        <v>13</v>
      </c>
      <c r="S30" s="4268">
        <f t="shared" si="12"/>
        <v>100</v>
      </c>
      <c r="T30" s="4265" t="s">
        <v>13</v>
      </c>
      <c r="U30" s="4268">
        <f t="shared" si="13"/>
        <v>100</v>
      </c>
      <c r="V30" s="4265" t="s">
        <v>13</v>
      </c>
      <c r="W30" s="4268">
        <f t="shared" si="14"/>
        <v>100</v>
      </c>
      <c r="X30" s="1001"/>
      <c r="Y30" s="4835"/>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35"/>
      <c r="Q31" s="990" t="str">
        <f t="shared" si="11"/>
        <v>停车位面积</v>
      </c>
      <c r="R31" s="4264" t="s">
        <v>13</v>
      </c>
      <c r="S31" s="4267" t="e">
        <f t="shared" si="12"/>
        <v>#N/A</v>
      </c>
      <c r="T31" s="4264" t="s">
        <v>13</v>
      </c>
      <c r="U31" s="4267" t="e">
        <f t="shared" si="13"/>
        <v>#N/A</v>
      </c>
      <c r="V31" s="4264" t="s">
        <v>13</v>
      </c>
      <c r="W31" s="4267" t="e">
        <f t="shared" si="14"/>
        <v>#N/A</v>
      </c>
      <c r="X31" s="515"/>
      <c r="Y31" s="4835"/>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35" t="s">
        <v>1611</v>
      </c>
      <c r="Q32" s="998" t="str">
        <f t="shared" si="11"/>
        <v>车位类型</v>
      </c>
      <c r="R32" s="4265" t="s">
        <v>13</v>
      </c>
      <c r="S32" s="4268">
        <f t="shared" si="12"/>
        <v>100</v>
      </c>
      <c r="T32" s="4265" t="s">
        <v>13</v>
      </c>
      <c r="U32" s="4268">
        <f t="shared" si="13"/>
        <v>100</v>
      </c>
      <c r="V32" s="4265" t="s">
        <v>13</v>
      </c>
      <c r="W32" s="4268">
        <f t="shared" si="14"/>
        <v>100</v>
      </c>
      <c r="X32" s="1001"/>
      <c r="Y32" s="4835"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35"/>
      <c r="Q33" s="998" t="str">
        <f t="shared" si="11"/>
        <v>是否直接入户</v>
      </c>
      <c r="R33" s="4265" t="s">
        <v>13</v>
      </c>
      <c r="S33" s="4268">
        <f t="shared" si="12"/>
        <v>100</v>
      </c>
      <c r="T33" s="4265" t="s">
        <v>13</v>
      </c>
      <c r="U33" s="4268">
        <f t="shared" si="13"/>
        <v>100</v>
      </c>
      <c r="V33" s="4265" t="s">
        <v>13</v>
      </c>
      <c r="W33" s="4268">
        <f t="shared" si="14"/>
        <v>100</v>
      </c>
      <c r="X33" s="1001"/>
      <c r="Y33" s="4835"/>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35"/>
      <c r="Q35" s="517">
        <f t="shared" si="11"/>
        <v>111</v>
      </c>
      <c r="R35" s="4266" t="s">
        <v>13</v>
      </c>
      <c r="S35" s="4269">
        <f t="shared" si="12"/>
        <v>100</v>
      </c>
      <c r="T35" s="4266" t="s">
        <v>13</v>
      </c>
      <c r="U35" s="4269">
        <f t="shared" si="13"/>
        <v>100</v>
      </c>
      <c r="V35" s="4266" t="s">
        <v>13</v>
      </c>
      <c r="W35" s="4269">
        <f t="shared" si="14"/>
        <v>100</v>
      </c>
      <c r="X35" s="518"/>
      <c r="Y35" s="4835"/>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35"/>
      <c r="Q36" s="998">
        <f t="shared" si="11"/>
        <v>111</v>
      </c>
      <c r="R36" s="4265" t="s">
        <v>13</v>
      </c>
      <c r="S36" s="4268">
        <f t="shared" si="12"/>
        <v>100</v>
      </c>
      <c r="T36" s="4265" t="s">
        <v>13</v>
      </c>
      <c r="U36" s="4268">
        <f t="shared" si="13"/>
        <v>100</v>
      </c>
      <c r="V36" s="4265" t="s">
        <v>13</v>
      </c>
      <c r="W36" s="4268">
        <f t="shared" si="14"/>
        <v>100</v>
      </c>
      <c r="X36" s="1001"/>
      <c r="Y36" s="4835"/>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5" t="str">
        <f>A37</f>
        <v>成交单价</v>
      </c>
      <c r="Q37" s="4915"/>
      <c r="R37" s="4916">
        <f>E37</f>
        <v>0</v>
      </c>
      <c r="S37" s="4916"/>
      <c r="T37" s="4916">
        <f>G37</f>
        <v>0</v>
      </c>
      <c r="U37" s="4916"/>
      <c r="V37" s="4916">
        <f>I37</f>
        <v>0</v>
      </c>
      <c r="W37" s="4916"/>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5" t="str">
        <f>A38</f>
        <v>比较价值（元/平方米）</v>
      </c>
      <c r="Q38" s="4915"/>
      <c r="R38" s="4916" t="e">
        <f>IF(F1="售价",ROUND(PRODUCT(R37,AA7:AA36),0),ROUND(PRODUCT(R37,AA7:AA36),1))</f>
        <v>#DIV/0!</v>
      </c>
      <c r="S38" s="4916"/>
      <c r="T38" s="4916" t="e">
        <f>IF(F1="售价",ROUND(PRODUCT(T37,AB7:AB36),0),ROUND(PRODUCT(T37,AB7:AB36),1))</f>
        <v>#DIV/0!</v>
      </c>
      <c r="U38" s="4916"/>
      <c r="V38" s="4916" t="e">
        <f>IF(F1="售价",ROUND(PRODUCT(V37,AC7:AC36),0),ROUND(PRODUCT(V37,AC7:AC36),1))</f>
        <v>#DIV/0!</v>
      </c>
      <c r="W38" s="4916"/>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17" t="str">
        <f>A39</f>
        <v>估价对象XX用房的比较价值（楼面单价，元/平方米）</v>
      </c>
      <c r="Q39" s="4918"/>
      <c r="R39" s="4919" t="e">
        <f>IF(F1="售价",ROUND(IF(D38="简单平均",AVERAGE(R38:W38),R38*F38+T38*H38+V38*J38),0),ROUND(IF(D38="简单平均",AVERAGE(R38:V38),R38*F38+T38*H38+V38*J38),1))</f>
        <v>#DIV/0!</v>
      </c>
      <c r="S39" s="4919"/>
      <c r="T39" s="4919"/>
      <c r="U39" s="4919"/>
      <c r="V39" s="4919"/>
      <c r="W39" s="4919"/>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87" t="s">
        <v>1685</v>
      </c>
      <c r="D4" s="4888"/>
      <c r="E4" s="4889" t="s">
        <v>1686</v>
      </c>
      <c r="F4" s="4890"/>
      <c r="G4" s="4887" t="s">
        <v>1687</v>
      </c>
      <c r="H4" s="4888"/>
      <c r="I4" s="4887" t="s">
        <v>1688</v>
      </c>
      <c r="J4" s="4888"/>
      <c r="K4" s="410" t="s">
        <v>1689</v>
      </c>
      <c r="L4" s="2194"/>
      <c r="M4" s="2195"/>
      <c r="N4" s="2195"/>
      <c r="O4" s="2195"/>
      <c r="P4" s="4921" t="s">
        <v>1690</v>
      </c>
      <c r="Q4" s="4922"/>
      <c r="R4" s="4869" t="s">
        <v>1686</v>
      </c>
      <c r="S4" s="4870"/>
      <c r="T4" s="4869" t="s">
        <v>1687</v>
      </c>
      <c r="U4" s="4870"/>
      <c r="V4" s="4880" t="s">
        <v>1688</v>
      </c>
      <c r="W4" s="4880"/>
      <c r="X4" s="1001"/>
      <c r="Y4" s="4869" t="s">
        <v>1690</v>
      </c>
      <c r="Z4" s="4870"/>
      <c r="AA4" s="4841" t="s">
        <v>1686</v>
      </c>
      <c r="AB4" s="4842" t="s">
        <v>1687</v>
      </c>
      <c r="AC4" s="4841" t="s">
        <v>1688</v>
      </c>
    </row>
    <row r="5" spans="1:29" ht="15">
      <c r="A5" s="245"/>
      <c r="B5" s="246"/>
      <c r="C5" s="4900" t="s">
        <v>1588</v>
      </c>
      <c r="D5" s="4901"/>
      <c r="E5" s="4908" t="s">
        <v>1589</v>
      </c>
      <c r="F5" s="4909"/>
      <c r="G5" s="4900" t="s">
        <v>1590</v>
      </c>
      <c r="H5" s="4901"/>
      <c r="I5" s="4900" t="s">
        <v>1591</v>
      </c>
      <c r="J5" s="4901"/>
      <c r="K5" s="410"/>
      <c r="L5" s="2194"/>
      <c r="M5" s="2195"/>
      <c r="N5" s="2195"/>
      <c r="O5" s="2195"/>
      <c r="P5" s="4923"/>
      <c r="Q5" s="4924"/>
      <c r="R5" s="4871"/>
      <c r="S5" s="4872"/>
      <c r="T5" s="4871"/>
      <c r="U5" s="4872"/>
      <c r="V5" s="4880"/>
      <c r="W5" s="4880"/>
      <c r="X5" s="1001"/>
      <c r="Y5" s="4871"/>
      <c r="Z5" s="4872"/>
      <c r="AA5" s="4842"/>
      <c r="AB5" s="4842"/>
      <c r="AC5" s="4842"/>
    </row>
    <row r="6" spans="1:29" ht="15.75" thickBot="1">
      <c r="A6" s="247"/>
      <c r="B6" s="248"/>
      <c r="C6" s="4898" t="s">
        <v>1592</v>
      </c>
      <c r="D6" s="4899"/>
      <c r="E6" s="4905" t="s">
        <v>1592</v>
      </c>
      <c r="F6" s="4906"/>
      <c r="G6" s="4898" t="s">
        <v>1592</v>
      </c>
      <c r="H6" s="4899"/>
      <c r="I6" s="4898" t="s">
        <v>1592</v>
      </c>
      <c r="J6" s="4899"/>
      <c r="K6" s="410" t="s">
        <v>1593</v>
      </c>
      <c r="L6" s="2194"/>
      <c r="M6" s="2195"/>
      <c r="N6" s="2195"/>
      <c r="O6" s="2195"/>
      <c r="P6" s="4925"/>
      <c r="Q6" s="4926"/>
      <c r="R6" s="4871"/>
      <c r="S6" s="4872"/>
      <c r="T6" s="4873"/>
      <c r="U6" s="4874"/>
      <c r="V6" s="4880"/>
      <c r="W6" s="4880"/>
      <c r="X6" s="1001"/>
      <c r="Y6" s="4873"/>
      <c r="Z6" s="4874"/>
      <c r="AA6" s="4843"/>
      <c r="AB6" s="4843"/>
      <c r="AC6" s="4843"/>
    </row>
    <row r="7" spans="1:29" s="49" customFormat="1" ht="15.75" thickBot="1">
      <c r="A7" s="249" t="s">
        <v>1594</v>
      </c>
      <c r="B7" s="250"/>
      <c r="C7" s="251">
        <f>'数据-取费表'!B2</f>
        <v>46047</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67" t="s">
        <v>1595</v>
      </c>
      <c r="Q7" s="4927"/>
      <c r="R7" s="4264" t="s">
        <v>13</v>
      </c>
      <c r="S7" s="4267">
        <f t="shared" ref="S7:S14" si="0">F7</f>
        <v>0</v>
      </c>
      <c r="T7" s="4264" t="s">
        <v>13</v>
      </c>
      <c r="U7" s="4267">
        <f t="shared" ref="U7:U14" si="1">H7</f>
        <v>0</v>
      </c>
      <c r="V7" s="4264" t="s">
        <v>13</v>
      </c>
      <c r="W7" s="4267">
        <f t="shared" ref="W7:W14" si="2">J7</f>
        <v>0</v>
      </c>
      <c r="X7" s="515"/>
      <c r="Y7" s="4867" t="s">
        <v>1595</v>
      </c>
      <c r="Z7" s="4868"/>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67" t="s">
        <v>1598</v>
      </c>
      <c r="Q8" s="4868"/>
      <c r="R8" s="4264" t="s">
        <v>13</v>
      </c>
      <c r="S8" s="4267">
        <f t="shared" si="0"/>
        <v>100</v>
      </c>
      <c r="T8" s="4264" t="s">
        <v>13</v>
      </c>
      <c r="U8" s="4267">
        <f t="shared" si="1"/>
        <v>100</v>
      </c>
      <c r="V8" s="4264" t="s">
        <v>13</v>
      </c>
      <c r="W8" s="4267">
        <f t="shared" si="2"/>
        <v>100</v>
      </c>
      <c r="X8" s="515"/>
      <c r="Y8" s="4867" t="s">
        <v>1598</v>
      </c>
      <c r="Z8" s="4868"/>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5" t="s">
        <v>1601</v>
      </c>
      <c r="Q9" s="990" t="str">
        <f t="shared" ref="Q9:Q14" si="6">B9</f>
        <v>用途</v>
      </c>
      <c r="R9" s="4264" t="s">
        <v>13</v>
      </c>
      <c r="S9" s="4267">
        <f t="shared" si="0"/>
        <v>100</v>
      </c>
      <c r="T9" s="4264" t="s">
        <v>13</v>
      </c>
      <c r="U9" s="4267">
        <f t="shared" si="1"/>
        <v>100</v>
      </c>
      <c r="V9" s="4264" t="s">
        <v>13</v>
      </c>
      <c r="W9" s="4267">
        <f t="shared" si="2"/>
        <v>100</v>
      </c>
      <c r="X9" s="515"/>
      <c r="Y9" s="4840"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5"/>
      <c r="Q10" s="990" t="str">
        <f t="shared" si="6"/>
        <v>土地使用年限（年）</v>
      </c>
      <c r="R10" s="4264" t="s">
        <v>13</v>
      </c>
      <c r="S10" s="4267">
        <f t="shared" si="0"/>
        <v>100</v>
      </c>
      <c r="T10" s="4264" t="s">
        <v>13</v>
      </c>
      <c r="U10" s="4267">
        <f t="shared" si="1"/>
        <v>100</v>
      </c>
      <c r="V10" s="4264" t="s">
        <v>13</v>
      </c>
      <c r="W10" s="4267">
        <f t="shared" si="2"/>
        <v>100</v>
      </c>
      <c r="X10" s="515"/>
      <c r="Y10" s="4840"/>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5"/>
      <c r="Q11" s="990">
        <f t="shared" si="6"/>
        <v>111</v>
      </c>
      <c r="R11" s="4264" t="s">
        <v>13</v>
      </c>
      <c r="S11" s="4267">
        <f t="shared" si="0"/>
        <v>100</v>
      </c>
      <c r="T11" s="4264" t="s">
        <v>13</v>
      </c>
      <c r="U11" s="4267">
        <f t="shared" si="1"/>
        <v>100</v>
      </c>
      <c r="V11" s="4264" t="s">
        <v>13</v>
      </c>
      <c r="W11" s="4267">
        <f t="shared" si="2"/>
        <v>100</v>
      </c>
      <c r="X11" s="515"/>
      <c r="Y11" s="4840"/>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5"/>
      <c r="Q12" s="990">
        <f t="shared" si="6"/>
        <v>111</v>
      </c>
      <c r="R12" s="4264" t="s">
        <v>13</v>
      </c>
      <c r="S12" s="4267">
        <f t="shared" si="0"/>
        <v>100</v>
      </c>
      <c r="T12" s="4264" t="s">
        <v>13</v>
      </c>
      <c r="U12" s="4267">
        <f t="shared" si="1"/>
        <v>100</v>
      </c>
      <c r="V12" s="4264" t="s">
        <v>13</v>
      </c>
      <c r="W12" s="4267">
        <f t="shared" si="2"/>
        <v>100</v>
      </c>
      <c r="X12" s="515"/>
      <c r="Y12" s="4840"/>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5"/>
      <c r="Q13" s="990">
        <f t="shared" si="6"/>
        <v>111</v>
      </c>
      <c r="R13" s="4264" t="s">
        <v>13</v>
      </c>
      <c r="S13" s="4267">
        <f t="shared" si="0"/>
        <v>100</v>
      </c>
      <c r="T13" s="4264" t="s">
        <v>13</v>
      </c>
      <c r="U13" s="4267">
        <f t="shared" si="1"/>
        <v>100</v>
      </c>
      <c r="V13" s="4264" t="s">
        <v>13</v>
      </c>
      <c r="W13" s="4267">
        <f t="shared" si="2"/>
        <v>100</v>
      </c>
      <c r="X13" s="515"/>
      <c r="Y13" s="4840"/>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30" t="s">
        <v>1606</v>
      </c>
      <c r="Q14" s="998" t="str">
        <f t="shared" si="6"/>
        <v>交通便捷度</v>
      </c>
      <c r="R14" s="4265" t="s">
        <v>13</v>
      </c>
      <c r="S14" s="4268">
        <f t="shared" si="0"/>
        <v>100</v>
      </c>
      <c r="T14" s="4265" t="s">
        <v>13</v>
      </c>
      <c r="U14" s="4268">
        <f t="shared" si="1"/>
        <v>100</v>
      </c>
      <c r="V14" s="4265" t="s">
        <v>13</v>
      </c>
      <c r="W14" s="4268">
        <f t="shared" si="2"/>
        <v>100</v>
      </c>
      <c r="X14" s="1001"/>
      <c r="Y14" s="4830"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31"/>
      <c r="Q15" s="998"/>
      <c r="R15" s="4265"/>
      <c r="S15" s="4268"/>
      <c r="T15" s="4265"/>
      <c r="U15" s="4268"/>
      <c r="V15" s="4265"/>
      <c r="W15" s="4268"/>
      <c r="X15" s="1001"/>
      <c r="Y15" s="4831"/>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31"/>
      <c r="Q16" s="998" t="str">
        <f>B16</f>
        <v>公共配套设施</v>
      </c>
      <c r="R16" s="4265" t="s">
        <v>13</v>
      </c>
      <c r="S16" s="4268">
        <f>F16</f>
        <v>100</v>
      </c>
      <c r="T16" s="4265" t="s">
        <v>13</v>
      </c>
      <c r="U16" s="4268">
        <f>H16</f>
        <v>100</v>
      </c>
      <c r="V16" s="4265" t="s">
        <v>13</v>
      </c>
      <c r="W16" s="4268">
        <f>J16</f>
        <v>100</v>
      </c>
      <c r="X16" s="1001"/>
      <c r="Y16" s="4831"/>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31"/>
      <c r="Q17" s="998"/>
      <c r="R17" s="4265"/>
      <c r="S17" s="4268"/>
      <c r="T17" s="4265"/>
      <c r="U17" s="4268"/>
      <c r="V17" s="4265"/>
      <c r="W17" s="4268"/>
      <c r="X17" s="1001"/>
      <c r="Y17" s="4831"/>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31"/>
      <c r="Q18" s="998" t="str">
        <f>B18</f>
        <v>基础设施水平</v>
      </c>
      <c r="R18" s="4265" t="s">
        <v>13</v>
      </c>
      <c r="S18" s="4268">
        <f>F18</f>
        <v>100</v>
      </c>
      <c r="T18" s="4265" t="s">
        <v>13</v>
      </c>
      <c r="U18" s="4268">
        <f>H18</f>
        <v>100</v>
      </c>
      <c r="V18" s="4265" t="s">
        <v>13</v>
      </c>
      <c r="W18" s="4268">
        <f>J18</f>
        <v>100</v>
      </c>
      <c r="X18" s="1001"/>
      <c r="Y18" s="4831"/>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31"/>
      <c r="Q19" s="998"/>
      <c r="R19" s="4265"/>
      <c r="S19" s="4268"/>
      <c r="T19" s="4265"/>
      <c r="U19" s="4268"/>
      <c r="V19" s="4265"/>
      <c r="W19" s="4268"/>
      <c r="X19" s="1001"/>
      <c r="Y19" s="4831"/>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31"/>
      <c r="Q20" s="998" t="str">
        <f>B20</f>
        <v>自然及人文环境</v>
      </c>
      <c r="R20" s="4265" t="s">
        <v>13</v>
      </c>
      <c r="S20" s="4268">
        <f>F20</f>
        <v>100</v>
      </c>
      <c r="T20" s="4265" t="s">
        <v>13</v>
      </c>
      <c r="U20" s="4268">
        <f>H20</f>
        <v>100</v>
      </c>
      <c r="V20" s="4265" t="s">
        <v>13</v>
      </c>
      <c r="W20" s="4268">
        <f>J20</f>
        <v>100</v>
      </c>
      <c r="X20" s="1001"/>
      <c r="Y20" s="4831"/>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31"/>
      <c r="Q21" s="998"/>
      <c r="R21" s="4265"/>
      <c r="S21" s="4268"/>
      <c r="T21" s="4265"/>
      <c r="U21" s="4268"/>
      <c r="V21" s="4265"/>
      <c r="W21" s="4268"/>
      <c r="X21" s="1001"/>
      <c r="Y21" s="4831"/>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31"/>
      <c r="Q22" s="998" t="str">
        <f>B22</f>
        <v>楼层</v>
      </c>
      <c r="R22" s="4265" t="s">
        <v>13</v>
      </c>
      <c r="S22" s="4268">
        <f>F22</f>
        <v>100</v>
      </c>
      <c r="T22" s="4265" t="s">
        <v>13</v>
      </c>
      <c r="U22" s="4268">
        <f>H22</f>
        <v>100</v>
      </c>
      <c r="V22" s="4265" t="s">
        <v>13</v>
      </c>
      <c r="W22" s="4268">
        <f>J22</f>
        <v>100</v>
      </c>
      <c r="X22" s="1001"/>
      <c r="Y22" s="4831"/>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31"/>
      <c r="Q23" s="998">
        <f>B23</f>
        <v>111</v>
      </c>
      <c r="R23" s="4265" t="s">
        <v>13</v>
      </c>
      <c r="S23" s="4268">
        <f>F23</f>
        <v>100</v>
      </c>
      <c r="T23" s="4265" t="s">
        <v>13</v>
      </c>
      <c r="U23" s="4268">
        <f>H23</f>
        <v>100</v>
      </c>
      <c r="V23" s="4265" t="s">
        <v>13</v>
      </c>
      <c r="W23" s="4268">
        <f>J23</f>
        <v>100</v>
      </c>
      <c r="X23" s="1001"/>
      <c r="Y23" s="4831"/>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31"/>
      <c r="Q24" s="998">
        <f t="shared" ref="Q24:Q34" si="11">B24</f>
        <v>111</v>
      </c>
      <c r="R24" s="4265" t="s">
        <v>13</v>
      </c>
      <c r="S24" s="4268">
        <f>F24</f>
        <v>100</v>
      </c>
      <c r="T24" s="4265" t="s">
        <v>13</v>
      </c>
      <c r="U24" s="4268">
        <f>H24</f>
        <v>100</v>
      </c>
      <c r="V24" s="4265" t="s">
        <v>13</v>
      </c>
      <c r="W24" s="4268">
        <f>J24</f>
        <v>100</v>
      </c>
      <c r="X24" s="1001"/>
      <c r="Y24" s="4831"/>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31"/>
      <c r="Q25" s="990">
        <f t="shared" si="11"/>
        <v>111</v>
      </c>
      <c r="R25" s="4264" t="s">
        <v>13</v>
      </c>
      <c r="S25" s="4267">
        <f>F25</f>
        <v>100</v>
      </c>
      <c r="T25" s="4264" t="s">
        <v>13</v>
      </c>
      <c r="U25" s="4267">
        <f>H25</f>
        <v>100</v>
      </c>
      <c r="V25" s="4264" t="s">
        <v>13</v>
      </c>
      <c r="W25" s="4267">
        <f>J25</f>
        <v>100</v>
      </c>
      <c r="X25" s="515"/>
      <c r="Y25" s="4831"/>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0"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35"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35"/>
      <c r="Q27" s="517" t="str">
        <f t="shared" si="11"/>
        <v>成新率</v>
      </c>
      <c r="R27" s="4266" t="s">
        <v>13</v>
      </c>
      <c r="S27" s="4269" t="e">
        <f t="shared" si="12"/>
        <v>#N/A</v>
      </c>
      <c r="T27" s="4266" t="s">
        <v>13</v>
      </c>
      <c r="U27" s="4269" t="e">
        <f t="shared" si="13"/>
        <v>#N/A</v>
      </c>
      <c r="V27" s="4266" t="s">
        <v>13</v>
      </c>
      <c r="W27" s="4269" t="e">
        <f t="shared" si="14"/>
        <v>#N/A</v>
      </c>
      <c r="X27" s="518"/>
      <c r="Y27" s="4835"/>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35"/>
      <c r="Q28" s="998" t="str">
        <f t="shared" si="11"/>
        <v>物业等级</v>
      </c>
      <c r="R28" s="4265" t="s">
        <v>13</v>
      </c>
      <c r="S28" s="4268">
        <f t="shared" si="12"/>
        <v>100</v>
      </c>
      <c r="T28" s="4265" t="s">
        <v>13</v>
      </c>
      <c r="U28" s="4268">
        <f t="shared" si="13"/>
        <v>100</v>
      </c>
      <c r="V28" s="4265" t="s">
        <v>13</v>
      </c>
      <c r="W28" s="4268">
        <f t="shared" si="14"/>
        <v>100</v>
      </c>
      <c r="X28" s="1001"/>
      <c r="Y28" s="4835"/>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35"/>
      <c r="Q29" s="998" t="str">
        <f t="shared" si="11"/>
        <v>有无电梯</v>
      </c>
      <c r="R29" s="4265" t="s">
        <v>13</v>
      </c>
      <c r="S29" s="4268">
        <f t="shared" si="12"/>
        <v>100</v>
      </c>
      <c r="T29" s="4265" t="s">
        <v>13</v>
      </c>
      <c r="U29" s="4268">
        <f t="shared" si="13"/>
        <v>100</v>
      </c>
      <c r="V29" s="4265" t="s">
        <v>13</v>
      </c>
      <c r="W29" s="4268">
        <f t="shared" si="14"/>
        <v>100</v>
      </c>
      <c r="X29" s="1001"/>
      <c r="Y29" s="4835"/>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35"/>
      <c r="Q30" s="998" t="str">
        <f t="shared" si="11"/>
        <v>建筑面积</v>
      </c>
      <c r="R30" s="4265" t="s">
        <v>13</v>
      </c>
      <c r="S30" s="4268" t="e">
        <f t="shared" si="12"/>
        <v>#N/A</v>
      </c>
      <c r="T30" s="4265" t="s">
        <v>13</v>
      </c>
      <c r="U30" s="4268" t="e">
        <f t="shared" si="13"/>
        <v>#N/A</v>
      </c>
      <c r="V30" s="4265" t="s">
        <v>13</v>
      </c>
      <c r="W30" s="4268" t="e">
        <f t="shared" si="14"/>
        <v>#N/A</v>
      </c>
      <c r="X30" s="1001"/>
      <c r="Y30" s="4835"/>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35"/>
      <c r="Q31" s="990" t="str">
        <f t="shared" si="11"/>
        <v>是否封闭</v>
      </c>
      <c r="R31" s="4264" t="s">
        <v>13</v>
      </c>
      <c r="S31" s="4267">
        <f t="shared" si="12"/>
        <v>100</v>
      </c>
      <c r="T31" s="4264" t="s">
        <v>13</v>
      </c>
      <c r="U31" s="4267">
        <f t="shared" si="13"/>
        <v>100</v>
      </c>
      <c r="V31" s="4264" t="s">
        <v>13</v>
      </c>
      <c r="W31" s="4267">
        <f t="shared" si="14"/>
        <v>100</v>
      </c>
      <c r="X31" s="515"/>
      <c r="Y31" s="4835"/>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35" t="s">
        <v>1611</v>
      </c>
      <c r="Q32" s="998">
        <f t="shared" si="11"/>
        <v>111</v>
      </c>
      <c r="R32" s="4265" t="s">
        <v>13</v>
      </c>
      <c r="S32" s="4268">
        <f t="shared" si="12"/>
        <v>100</v>
      </c>
      <c r="T32" s="4265" t="s">
        <v>13</v>
      </c>
      <c r="U32" s="4268">
        <f t="shared" si="13"/>
        <v>100</v>
      </c>
      <c r="V32" s="4265" t="s">
        <v>13</v>
      </c>
      <c r="W32" s="4268">
        <f t="shared" si="14"/>
        <v>100</v>
      </c>
      <c r="X32" s="1001"/>
      <c r="Y32" s="4835"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35"/>
      <c r="Q33" s="998">
        <f t="shared" si="11"/>
        <v>111</v>
      </c>
      <c r="R33" s="4265" t="s">
        <v>13</v>
      </c>
      <c r="S33" s="4268">
        <f t="shared" si="12"/>
        <v>100</v>
      </c>
      <c r="T33" s="4265" t="s">
        <v>13</v>
      </c>
      <c r="U33" s="4268">
        <f t="shared" si="13"/>
        <v>100</v>
      </c>
      <c r="V33" s="4265" t="s">
        <v>13</v>
      </c>
      <c r="W33" s="4268">
        <f t="shared" si="14"/>
        <v>100</v>
      </c>
      <c r="X33" s="1001"/>
      <c r="Y33" s="4835"/>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35"/>
      <c r="Q34" s="998">
        <f t="shared" si="11"/>
        <v>111</v>
      </c>
      <c r="R34" s="4265" t="s">
        <v>13</v>
      </c>
      <c r="S34" s="4268">
        <f t="shared" si="12"/>
        <v>100</v>
      </c>
      <c r="T34" s="4265" t="s">
        <v>13</v>
      </c>
      <c r="U34" s="4268">
        <f t="shared" si="13"/>
        <v>100</v>
      </c>
      <c r="V34" s="4265" t="s">
        <v>13</v>
      </c>
      <c r="W34" s="4268">
        <f t="shared" si="14"/>
        <v>100</v>
      </c>
      <c r="X34" s="1001"/>
      <c r="Y34" s="4835"/>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5" t="str">
        <f>A35</f>
        <v>成交单价（元/平方米）</v>
      </c>
      <c r="Q35" s="4915"/>
      <c r="R35" s="4916">
        <f>E35</f>
        <v>0</v>
      </c>
      <c r="S35" s="4916"/>
      <c r="T35" s="4916">
        <f>G35</f>
        <v>0</v>
      </c>
      <c r="U35" s="4916"/>
      <c r="V35" s="4916">
        <f>I35</f>
        <v>0</v>
      </c>
      <c r="W35" s="4916"/>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5" t="str">
        <f>A36</f>
        <v>比较价值（元/平方米）</v>
      </c>
      <c r="Q36" s="4915"/>
      <c r="R36" s="4916" t="e">
        <f>IF(F1="售价",ROUND(PRODUCT(R35,AA7:AA34),0),ROUND(PRODUCT(R35,AA7:AA34),1))</f>
        <v>#DIV/0!</v>
      </c>
      <c r="S36" s="4916"/>
      <c r="T36" s="4916" t="e">
        <f>IF(F1="售价",ROUND(PRODUCT(T35,AB7:AB34),0),ROUND(PRODUCT(T35,AB7:AB34),1))</f>
        <v>#DIV/0!</v>
      </c>
      <c r="U36" s="4916"/>
      <c r="V36" s="4916" t="e">
        <f>IF(F1="售价",ROUND(PRODUCT(V35,AC7:AC34),0),ROUND(PRODUCT(V35,AC7:AC34),1))</f>
        <v>#DIV/0!</v>
      </c>
      <c r="W36" s="4916"/>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17" t="str">
        <f>A37</f>
        <v>估价对象XX用房的比较价值（楼面单价，元/平方米）</v>
      </c>
      <c r="Q37" s="4918"/>
      <c r="R37" s="4919" t="e">
        <f>IF(F1="售价",ROUND(IF(D36="简单平均",AVERAGE(R36:W36),R36*F36+T36*H36+V36*J36),0),ROUND(IF(D36="简单平均",AVERAGE(R36:V36),R36*F36+T36*H36+V36*J36),1))</f>
        <v>#DIV/0!</v>
      </c>
      <c r="S37" s="4919"/>
      <c r="T37" s="4919"/>
      <c r="U37" s="4919"/>
      <c r="V37" s="4919"/>
      <c r="W37" s="4919"/>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4" t="s">
        <v>1685</v>
      </c>
      <c r="D6" s="4845"/>
      <c r="E6" s="4846" t="s">
        <v>1686</v>
      </c>
      <c r="F6" s="4847"/>
      <c r="G6" s="4844" t="s">
        <v>1687</v>
      </c>
      <c r="H6" s="4845"/>
      <c r="I6" s="4844" t="s">
        <v>1688</v>
      </c>
      <c r="J6" s="4845"/>
      <c r="K6" s="3214"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30" ht="15">
      <c r="A7" s="245"/>
      <c r="B7" s="246"/>
      <c r="C7" s="4863" t="s">
        <v>1588</v>
      </c>
      <c r="D7" s="4864"/>
      <c r="E7" s="4878" t="s">
        <v>1589</v>
      </c>
      <c r="F7" s="4879"/>
      <c r="G7" s="4863" t="s">
        <v>1590</v>
      </c>
      <c r="H7" s="4864"/>
      <c r="I7" s="4863" t="s">
        <v>1591</v>
      </c>
      <c r="J7" s="4864"/>
      <c r="K7" s="3214"/>
      <c r="L7" s="2194"/>
      <c r="M7" s="2195"/>
      <c r="N7" s="2195"/>
      <c r="O7" s="2195"/>
      <c r="P7" s="4850"/>
      <c r="Q7" s="4851"/>
      <c r="R7" s="4856"/>
      <c r="S7" s="4857"/>
      <c r="T7" s="4856"/>
      <c r="U7" s="4857"/>
      <c r="V7" s="4860"/>
      <c r="W7" s="4860"/>
      <c r="X7" s="1001"/>
      <c r="Y7" s="4871"/>
      <c r="Z7" s="4872"/>
      <c r="AA7" s="4842"/>
      <c r="AB7" s="4842"/>
      <c r="AC7" s="4842"/>
    </row>
    <row r="8" spans="1:30" ht="15.75" thickBot="1">
      <c r="A8" s="247"/>
      <c r="B8" s="248"/>
      <c r="C8" s="4861" t="s">
        <v>1592</v>
      </c>
      <c r="D8" s="4862"/>
      <c r="E8" s="4876" t="s">
        <v>1592</v>
      </c>
      <c r="F8" s="4877"/>
      <c r="G8" s="4861" t="s">
        <v>1592</v>
      </c>
      <c r="H8" s="4862"/>
      <c r="I8" s="4861" t="s">
        <v>1592</v>
      </c>
      <c r="J8" s="4862"/>
      <c r="K8" s="3214" t="s">
        <v>1593</v>
      </c>
      <c r="L8" s="2194"/>
      <c r="M8" s="2195"/>
      <c r="N8" s="2195"/>
      <c r="O8" s="2195"/>
      <c r="P8" s="4852"/>
      <c r="Q8" s="4853"/>
      <c r="R8" s="4856"/>
      <c r="S8" s="4857"/>
      <c r="T8" s="4858"/>
      <c r="U8" s="4859"/>
      <c r="V8" s="4860"/>
      <c r="W8" s="4860"/>
      <c r="X8" s="1001"/>
      <c r="Y8" s="4873"/>
      <c r="Z8" s="4874"/>
      <c r="AA8" s="4843"/>
      <c r="AB8" s="4843"/>
      <c r="AC8" s="4843"/>
    </row>
    <row r="9" spans="1:30" s="49" customFormat="1" ht="15.75" thickBot="1">
      <c r="A9" s="3489" t="s">
        <v>1594</v>
      </c>
      <c r="B9" s="3490"/>
      <c r="C9" s="3161">
        <f>'数据-取费表'!B2</f>
        <v>46047</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65" t="s">
        <v>1598</v>
      </c>
      <c r="Q10" s="4866"/>
      <c r="R10" s="4256" t="s">
        <v>13</v>
      </c>
      <c r="S10" s="4259">
        <f t="shared" si="0"/>
        <v>100</v>
      </c>
      <c r="T10" s="4256" t="s">
        <v>13</v>
      </c>
      <c r="U10" s="4259">
        <f t="shared" si="1"/>
        <v>100</v>
      </c>
      <c r="V10" s="4256" t="s">
        <v>13</v>
      </c>
      <c r="W10" s="4259">
        <f t="shared" si="2"/>
        <v>100</v>
      </c>
      <c r="X10" s="515"/>
      <c r="Y10" s="4867" t="s">
        <v>1598</v>
      </c>
      <c r="Z10" s="4868"/>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142</v>
      </c>
      <c r="G12" s="3223"/>
      <c r="H12" s="4220">
        <f>ROUND(100/'数据-取费表'!G16,1)</f>
        <v>142</v>
      </c>
      <c r="I12" s="3223"/>
      <c r="J12" s="4220">
        <f>ROUND(100/'数据-取费表'!G16,1)</f>
        <v>142</v>
      </c>
      <c r="K12" s="3525"/>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28"/>
      <c r="Q14" s="3414" t="str">
        <f t="shared" si="6"/>
        <v>配建</v>
      </c>
      <c r="R14" s="4256" t="s">
        <v>13</v>
      </c>
      <c r="S14" s="4259">
        <f t="shared" si="0"/>
        <v>100</v>
      </c>
      <c r="T14" s="4256" t="s">
        <v>13</v>
      </c>
      <c r="U14" s="4259">
        <f t="shared" si="1"/>
        <v>100</v>
      </c>
      <c r="V14" s="4256" t="s">
        <v>13</v>
      </c>
      <c r="W14" s="4259">
        <f t="shared" si="2"/>
        <v>100</v>
      </c>
      <c r="X14" s="515"/>
      <c r="Y14" s="4840"/>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10" t="s">
        <v>1606</v>
      </c>
      <c r="Q17" s="3417" t="str">
        <f t="shared" si="6"/>
        <v>居住社区成熟度</v>
      </c>
      <c r="R17" s="4257" t="s">
        <v>13</v>
      </c>
      <c r="S17" s="4260">
        <f t="shared" si="0"/>
        <v>100</v>
      </c>
      <c r="T17" s="4257" t="s">
        <v>13</v>
      </c>
      <c r="U17" s="4260">
        <f t="shared" si="1"/>
        <v>100</v>
      </c>
      <c r="V17" s="4257" t="s">
        <v>13</v>
      </c>
      <c r="W17" s="4260">
        <f t="shared" si="2"/>
        <v>100</v>
      </c>
      <c r="X17" s="1001"/>
      <c r="Y17" s="4830"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1"/>
      <c r="Q18" s="3417"/>
      <c r="R18" s="4257"/>
      <c r="S18" s="4260"/>
      <c r="T18" s="4257"/>
      <c r="U18" s="4260"/>
      <c r="V18" s="4257"/>
      <c r="W18" s="4260"/>
      <c r="X18" s="1001"/>
      <c r="Y18" s="4831"/>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1"/>
      <c r="Q19" s="3417" t="str">
        <f>B19</f>
        <v>商业繁华度</v>
      </c>
      <c r="R19" s="4257" t="s">
        <v>13</v>
      </c>
      <c r="S19" s="4260">
        <f>F19</f>
        <v>100</v>
      </c>
      <c r="T19" s="4257" t="s">
        <v>13</v>
      </c>
      <c r="U19" s="4260">
        <f>H19</f>
        <v>100</v>
      </c>
      <c r="V19" s="4257" t="s">
        <v>13</v>
      </c>
      <c r="W19" s="4260">
        <f>J19</f>
        <v>100</v>
      </c>
      <c r="X19" s="1001"/>
      <c r="Y19" s="4831"/>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1"/>
      <c r="Q20" s="3417"/>
      <c r="R20" s="4257"/>
      <c r="S20" s="4260"/>
      <c r="T20" s="4257"/>
      <c r="U20" s="4260"/>
      <c r="V20" s="4257"/>
      <c r="W20" s="4260"/>
      <c r="X20" s="1001"/>
      <c r="Y20" s="4831"/>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1"/>
      <c r="Q21" s="3417" t="str">
        <f>B21</f>
        <v>办公集聚程度</v>
      </c>
      <c r="R21" s="4257" t="s">
        <v>13</v>
      </c>
      <c r="S21" s="4260">
        <f>F21</f>
        <v>100</v>
      </c>
      <c r="T21" s="4257" t="s">
        <v>13</v>
      </c>
      <c r="U21" s="4260">
        <f>H21</f>
        <v>100</v>
      </c>
      <c r="V21" s="4257" t="s">
        <v>13</v>
      </c>
      <c r="W21" s="4260">
        <f>J21</f>
        <v>100</v>
      </c>
      <c r="X21" s="1001"/>
      <c r="Y21" s="4831"/>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1"/>
      <c r="Q22" s="3417"/>
      <c r="R22" s="4257"/>
      <c r="S22" s="4260"/>
      <c r="T22" s="4257"/>
      <c r="U22" s="4260"/>
      <c r="V22" s="4257"/>
      <c r="W22" s="4260"/>
      <c r="X22" s="1001"/>
      <c r="Y22" s="4831"/>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1"/>
      <c r="Q23" s="3417" t="str">
        <f>B23</f>
        <v>交通便捷度</v>
      </c>
      <c r="R23" s="4257" t="s">
        <v>13</v>
      </c>
      <c r="S23" s="4260">
        <f>F23</f>
        <v>100</v>
      </c>
      <c r="T23" s="4257" t="s">
        <v>13</v>
      </c>
      <c r="U23" s="4260">
        <f>H23</f>
        <v>100</v>
      </c>
      <c r="V23" s="4257" t="s">
        <v>13</v>
      </c>
      <c r="W23" s="4260">
        <f>J23</f>
        <v>100</v>
      </c>
      <c r="X23" s="1001"/>
      <c r="Y23" s="4831"/>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1"/>
      <c r="Q24" s="3417"/>
      <c r="R24" s="4257"/>
      <c r="S24" s="4260"/>
      <c r="T24" s="4257"/>
      <c r="U24" s="4260"/>
      <c r="V24" s="4257"/>
      <c r="W24" s="4260"/>
      <c r="X24" s="1001"/>
      <c r="Y24" s="4831"/>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1"/>
      <c r="Q25" s="3417" t="str">
        <f t="shared" ref="Q25:Q39" si="8">B25</f>
        <v>区域土地利用方向</v>
      </c>
      <c r="R25" s="4257" t="s">
        <v>13</v>
      </c>
      <c r="S25" s="4260">
        <f>F25</f>
        <v>100</v>
      </c>
      <c r="T25" s="4257" t="s">
        <v>13</v>
      </c>
      <c r="U25" s="4260">
        <f>H25</f>
        <v>100</v>
      </c>
      <c r="V25" s="4257" t="s">
        <v>13</v>
      </c>
      <c r="W25" s="4260">
        <f>J25</f>
        <v>100</v>
      </c>
      <c r="X25" s="1001"/>
      <c r="Y25" s="4831"/>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1"/>
      <c r="Q26" s="3417"/>
      <c r="R26" s="4257"/>
      <c r="S26" s="4260"/>
      <c r="T26" s="4257"/>
      <c r="U26" s="4260"/>
      <c r="V26" s="4257"/>
      <c r="W26" s="4260"/>
      <c r="X26" s="1001"/>
      <c r="Y26" s="4831"/>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1"/>
      <c r="Q27" s="3417" t="str">
        <f t="shared" si="8"/>
        <v>自然及人文环境状况</v>
      </c>
      <c r="R27" s="4257" t="s">
        <v>13</v>
      </c>
      <c r="S27" s="4260">
        <f>F27</f>
        <v>100</v>
      </c>
      <c r="T27" s="4257" t="s">
        <v>13</v>
      </c>
      <c r="U27" s="4260">
        <f>H27</f>
        <v>100</v>
      </c>
      <c r="V27" s="4257" t="s">
        <v>13</v>
      </c>
      <c r="W27" s="4260">
        <f>J27</f>
        <v>100</v>
      </c>
      <c r="X27" s="1001"/>
      <c r="Y27" s="4831"/>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1"/>
      <c r="Q28" s="3417"/>
      <c r="R28" s="4257"/>
      <c r="S28" s="4260"/>
      <c r="T28" s="4257"/>
      <c r="U28" s="4260"/>
      <c r="V28" s="4257"/>
      <c r="W28" s="4260"/>
      <c r="X28" s="1001"/>
      <c r="Y28" s="4831"/>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1"/>
      <c r="Q29" s="3414" t="str">
        <f t="shared" si="8"/>
        <v>公共配套设施</v>
      </c>
      <c r="R29" s="4256" t="s">
        <v>13</v>
      </c>
      <c r="S29" s="4259">
        <f>F29</f>
        <v>100</v>
      </c>
      <c r="T29" s="4256" t="s">
        <v>13</v>
      </c>
      <c r="U29" s="4259">
        <f>H29</f>
        <v>100</v>
      </c>
      <c r="V29" s="4256" t="s">
        <v>13</v>
      </c>
      <c r="W29" s="4259">
        <f>J29</f>
        <v>100</v>
      </c>
      <c r="X29" s="515"/>
      <c r="Y29" s="4831"/>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1"/>
      <c r="Q30" s="3414"/>
      <c r="R30" s="4256"/>
      <c r="S30" s="4259"/>
      <c r="T30" s="4256"/>
      <c r="U30" s="4259"/>
      <c r="V30" s="4256"/>
      <c r="W30" s="4259"/>
      <c r="X30" s="515"/>
      <c r="Y30" s="4831"/>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1"/>
      <c r="Q31" s="3414" t="str">
        <f t="shared" ref="Q31" si="9">B31</f>
        <v>基础设施水平</v>
      </c>
      <c r="R31" s="4256" t="s">
        <v>13</v>
      </c>
      <c r="S31" s="4259">
        <f>F31</f>
        <v>100</v>
      </c>
      <c r="T31" s="4256" t="s">
        <v>13</v>
      </c>
      <c r="U31" s="4259">
        <f>H31</f>
        <v>100</v>
      </c>
      <c r="V31" s="4256" t="s">
        <v>13</v>
      </c>
      <c r="W31" s="4259">
        <f>J31</f>
        <v>100</v>
      </c>
      <c r="X31" s="515"/>
      <c r="Y31" s="4831"/>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1"/>
      <c r="Q32" s="3414"/>
      <c r="R32" s="4256"/>
      <c r="S32" s="4259"/>
      <c r="T32" s="4256"/>
      <c r="U32" s="4259"/>
      <c r="V32" s="4256"/>
      <c r="W32" s="4259"/>
      <c r="X32" s="515"/>
      <c r="Y32" s="4831"/>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1"/>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31"/>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1"/>
      <c r="Q34" s="3417" t="str">
        <f t="shared" si="8"/>
        <v>毗邻道路的类型与等级</v>
      </c>
      <c r="R34" s="4257" t="s">
        <v>13</v>
      </c>
      <c r="S34" s="4260">
        <f t="shared" si="10"/>
        <v>100</v>
      </c>
      <c r="T34" s="4257" t="s">
        <v>13</v>
      </c>
      <c r="U34" s="4260">
        <f t="shared" si="11"/>
        <v>100</v>
      </c>
      <c r="V34" s="4257" t="s">
        <v>13</v>
      </c>
      <c r="W34" s="4260">
        <f t="shared" si="12"/>
        <v>100</v>
      </c>
      <c r="X34" s="1001"/>
      <c r="Y34" s="4831"/>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1"/>
      <c r="Q35" s="3417"/>
      <c r="R35" s="4257"/>
      <c r="S35" s="4260"/>
      <c r="T35" s="4257"/>
      <c r="U35" s="4260"/>
      <c r="V35" s="4257"/>
      <c r="W35" s="4260"/>
      <c r="X35" s="1001"/>
      <c r="Y35" s="4831"/>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1"/>
      <c r="Q36" s="3417" t="str">
        <f t="shared" si="8"/>
        <v>土地级别</v>
      </c>
      <c r="R36" s="4257" t="s">
        <v>13</v>
      </c>
      <c r="S36" s="4260">
        <f t="shared" si="10"/>
        <v>100</v>
      </c>
      <c r="T36" s="4257" t="s">
        <v>13</v>
      </c>
      <c r="U36" s="4260">
        <f t="shared" si="11"/>
        <v>100</v>
      </c>
      <c r="V36" s="4257" t="s">
        <v>13</v>
      </c>
      <c r="W36" s="4260">
        <f t="shared" si="12"/>
        <v>100</v>
      </c>
      <c r="X36" s="1001"/>
      <c r="Y36" s="4831"/>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1"/>
      <c r="Q37" s="3417">
        <f t="shared" si="8"/>
        <v>111</v>
      </c>
      <c r="R37" s="4257" t="s">
        <v>13</v>
      </c>
      <c r="S37" s="4260">
        <f t="shared" si="10"/>
        <v>100</v>
      </c>
      <c r="T37" s="4257" t="s">
        <v>13</v>
      </c>
      <c r="U37" s="4260">
        <f t="shared" si="11"/>
        <v>100</v>
      </c>
      <c r="V37" s="4257" t="s">
        <v>13</v>
      </c>
      <c r="W37" s="4260">
        <f t="shared" si="12"/>
        <v>100</v>
      </c>
      <c r="X37" s="1001"/>
      <c r="Y37" s="4831"/>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2" t="s">
        <v>1611</v>
      </c>
      <c r="Q38" s="3417">
        <f t="shared" si="8"/>
        <v>111</v>
      </c>
      <c r="R38" s="4257" t="s">
        <v>13</v>
      </c>
      <c r="S38" s="4260">
        <f t="shared" si="10"/>
        <v>100</v>
      </c>
      <c r="T38" s="4257" t="s">
        <v>13</v>
      </c>
      <c r="U38" s="4260">
        <f t="shared" si="11"/>
        <v>100</v>
      </c>
      <c r="V38" s="4257" t="s">
        <v>13</v>
      </c>
      <c r="W38" s="4260">
        <f t="shared" si="12"/>
        <v>100</v>
      </c>
      <c r="X38" s="1001"/>
      <c r="Y38" s="4835"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3"/>
      <c r="Q39" s="3417">
        <f t="shared" si="8"/>
        <v>111</v>
      </c>
      <c r="R39" s="4258" t="s">
        <v>13</v>
      </c>
      <c r="S39" s="4261">
        <f t="shared" si="10"/>
        <v>100</v>
      </c>
      <c r="T39" s="4258" t="s">
        <v>13</v>
      </c>
      <c r="U39" s="4261">
        <f t="shared" si="11"/>
        <v>100</v>
      </c>
      <c r="V39" s="4258" t="s">
        <v>13</v>
      </c>
      <c r="W39" s="4261">
        <f t="shared" si="12"/>
        <v>100</v>
      </c>
      <c r="X39" s="518"/>
      <c r="Y39" s="4835"/>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3"/>
      <c r="Q40" s="3417" t="str">
        <f>B40</f>
        <v>宗地面积</v>
      </c>
      <c r="R40" s="4257" t="s">
        <v>13</v>
      </c>
      <c r="S40" s="4260" t="e">
        <f t="shared" si="10"/>
        <v>#N/A</v>
      </c>
      <c r="T40" s="4257" t="s">
        <v>13</v>
      </c>
      <c r="U40" s="4260" t="e">
        <f t="shared" si="11"/>
        <v>#N/A</v>
      </c>
      <c r="V40" s="4257" t="s">
        <v>13</v>
      </c>
      <c r="W40" s="4260" t="e">
        <f t="shared" si="12"/>
        <v>#N/A</v>
      </c>
      <c r="X40" s="1001"/>
      <c r="Y40" s="4835"/>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3"/>
      <c r="Q41" s="3417" t="str">
        <f t="shared" ref="Q41:Q47" si="14">B41</f>
        <v>宗地形状</v>
      </c>
      <c r="R41" s="4257" t="s">
        <v>13</v>
      </c>
      <c r="S41" s="4260">
        <f t="shared" si="10"/>
        <v>100</v>
      </c>
      <c r="T41" s="4257" t="s">
        <v>13</v>
      </c>
      <c r="U41" s="4260">
        <f t="shared" si="11"/>
        <v>100</v>
      </c>
      <c r="V41" s="4257" t="s">
        <v>13</v>
      </c>
      <c r="W41" s="4260">
        <f t="shared" si="12"/>
        <v>100</v>
      </c>
      <c r="X41" s="1001"/>
      <c r="Y41" s="4835"/>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3"/>
      <c r="Q42" s="3417" t="str">
        <f t="shared" si="14"/>
        <v>临街宽度及深度</v>
      </c>
      <c r="R42" s="4257" t="s">
        <v>13</v>
      </c>
      <c r="S42" s="4260">
        <f t="shared" si="10"/>
        <v>100</v>
      </c>
      <c r="T42" s="4257" t="s">
        <v>13</v>
      </c>
      <c r="U42" s="4260">
        <f t="shared" si="11"/>
        <v>100</v>
      </c>
      <c r="V42" s="4257" t="s">
        <v>13</v>
      </c>
      <c r="W42" s="4260">
        <f t="shared" si="12"/>
        <v>100</v>
      </c>
      <c r="X42" s="1001"/>
      <c r="Y42" s="4835"/>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3"/>
      <c r="Q43" s="3417" t="str">
        <f t="shared" si="14"/>
        <v>宗地开发程度</v>
      </c>
      <c r="R43" s="4256" t="s">
        <v>13</v>
      </c>
      <c r="S43" s="4259">
        <f t="shared" si="10"/>
        <v>100</v>
      </c>
      <c r="T43" s="4256" t="s">
        <v>13</v>
      </c>
      <c r="U43" s="4259">
        <f t="shared" si="11"/>
        <v>100</v>
      </c>
      <c r="V43" s="4256" t="s">
        <v>13</v>
      </c>
      <c r="W43" s="4259">
        <f t="shared" si="12"/>
        <v>100</v>
      </c>
      <c r="X43" s="515"/>
      <c r="Y43" s="4835"/>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3" t="s">
        <v>1611</v>
      </c>
      <c r="Q44" s="3417" t="str">
        <f t="shared" si="14"/>
        <v>工程地质条件</v>
      </c>
      <c r="R44" s="4257" t="s">
        <v>13</v>
      </c>
      <c r="S44" s="4260">
        <f t="shared" si="10"/>
        <v>100</v>
      </c>
      <c r="T44" s="4257" t="s">
        <v>13</v>
      </c>
      <c r="U44" s="4260">
        <f t="shared" si="11"/>
        <v>100</v>
      </c>
      <c r="V44" s="4257" t="s">
        <v>13</v>
      </c>
      <c r="W44" s="4260">
        <f t="shared" si="12"/>
        <v>100</v>
      </c>
      <c r="X44" s="1001"/>
      <c r="Y44" s="4835"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3"/>
      <c r="Q45" s="3417">
        <f t="shared" si="14"/>
        <v>111</v>
      </c>
      <c r="R45" s="4257" t="s">
        <v>13</v>
      </c>
      <c r="S45" s="4260">
        <f t="shared" si="10"/>
        <v>100</v>
      </c>
      <c r="T45" s="4257" t="s">
        <v>13</v>
      </c>
      <c r="U45" s="4260">
        <f t="shared" si="11"/>
        <v>100</v>
      </c>
      <c r="V45" s="4257" t="s">
        <v>13</v>
      </c>
      <c r="W45" s="4260">
        <f t="shared" si="12"/>
        <v>100</v>
      </c>
      <c r="X45" s="1001"/>
      <c r="Y45" s="4835"/>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3"/>
      <c r="Q46" s="3417">
        <f t="shared" si="14"/>
        <v>111</v>
      </c>
      <c r="R46" s="4257" t="s">
        <v>13</v>
      </c>
      <c r="S46" s="4260">
        <f t="shared" si="10"/>
        <v>100</v>
      </c>
      <c r="T46" s="4257" t="s">
        <v>13</v>
      </c>
      <c r="U46" s="4260">
        <f t="shared" si="11"/>
        <v>100</v>
      </c>
      <c r="V46" s="4257" t="s">
        <v>13</v>
      </c>
      <c r="W46" s="4260">
        <f t="shared" si="12"/>
        <v>100</v>
      </c>
      <c r="X46" s="1001"/>
      <c r="Y46" s="4835"/>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3"/>
      <c r="Q47" s="3417">
        <f t="shared" si="14"/>
        <v>111</v>
      </c>
      <c r="R47" s="4258" t="s">
        <v>13</v>
      </c>
      <c r="S47" s="4261">
        <f t="shared" si="10"/>
        <v>100</v>
      </c>
      <c r="T47" s="4258" t="s">
        <v>13</v>
      </c>
      <c r="U47" s="4261">
        <f t="shared" si="11"/>
        <v>100</v>
      </c>
      <c r="V47" s="4258" t="s">
        <v>13</v>
      </c>
      <c r="W47" s="4261">
        <f t="shared" si="12"/>
        <v>100</v>
      </c>
      <c r="X47" s="518"/>
      <c r="Y47" s="4835"/>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28" t="str">
        <f>A48</f>
        <v>成交单价</v>
      </c>
      <c r="Q48" s="4828"/>
      <c r="R48" s="4829">
        <f>E48</f>
        <v>0</v>
      </c>
      <c r="S48" s="4829"/>
      <c r="T48" s="4829">
        <f>G48</f>
        <v>0</v>
      </c>
      <c r="U48" s="4829"/>
      <c r="V48" s="4829">
        <f>I48</f>
        <v>0</v>
      </c>
      <c r="W48" s="4829"/>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28" t="str">
        <f>A49</f>
        <v>比较价值（元/平方米）</v>
      </c>
      <c r="Q49" s="4828"/>
      <c r="R49" s="4829" t="e">
        <f>ROUND(PRODUCT(R48,AA9:AA47),0)</f>
        <v>#DIV/0!</v>
      </c>
      <c r="S49" s="4829"/>
      <c r="T49" s="4829" t="e">
        <f>ROUND(PRODUCT(T48,AB9:AB47),0)</f>
        <v>#DIV/0!</v>
      </c>
      <c r="U49" s="4829"/>
      <c r="V49" s="4829" t="e">
        <f>ROUND(PRODUCT(V48,AC9:AC47),0)</f>
        <v>#DIV/0!</v>
      </c>
      <c r="W49" s="4829"/>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25" t="str">
        <f>A50</f>
        <v>估价对象XX用房的比较价值（楼面单价，元/平方米）</v>
      </c>
      <c r="Q50" s="4826"/>
      <c r="R50" s="4827" t="e">
        <f>ROUND(IF(D49="简单平均",AVERAGE(R49:W49),R49*F49+T49*H49+V49*J49),0)</f>
        <v>#DIV/0!</v>
      </c>
      <c r="S50" s="4827"/>
      <c r="T50" s="4827"/>
      <c r="U50" s="4827"/>
      <c r="V50" s="4827"/>
      <c r="W50" s="4827"/>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87" t="s">
        <v>1802</v>
      </c>
      <c r="H57" s="4928"/>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191.15</v>
      </c>
      <c r="F58" s="3486" t="e">
        <f t="shared" ref="F58:F66" si="15">ROUND(B58*E58/10000,0)</f>
        <v>#DIV/0!</v>
      </c>
      <c r="G58" s="4929"/>
      <c r="H58" s="4915"/>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0.5</v>
      </c>
      <c r="D59" s="3466">
        <v>0.25</v>
      </c>
      <c r="E59" s="3468"/>
      <c r="F59" s="3486" t="e">
        <f t="shared" si="15"/>
        <v>#DIV/0!</v>
      </c>
      <c r="G59" s="2421" t="s">
        <v>1807</v>
      </c>
      <c r="H59" s="637" t="str">
        <f>项目基本情况!B37</f>
        <v>八级</v>
      </c>
      <c r="I59" s="3481">
        <f>SUMIF(修正!A59:A70,H59,修正!B59:B70)</f>
        <v>0.5</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0.2</v>
      </c>
      <c r="D60" s="3466">
        <v>0.25</v>
      </c>
      <c r="E60" s="3468"/>
      <c r="F60" s="3486" t="e">
        <f t="shared" si="15"/>
        <v>#DIV/0!</v>
      </c>
      <c r="G60" s="2422"/>
      <c r="H60" s="637" t="str">
        <f>项目基本情况!B37</f>
        <v>八级</v>
      </c>
      <c r="I60" s="3481">
        <f>SUMIF(修正!A59:A70,H60,修正!C59:C70)</f>
        <v>0.2</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v>
      </c>
      <c r="D61" s="3466">
        <v>0.25</v>
      </c>
      <c r="E61" s="3468"/>
      <c r="F61" s="3486" t="e">
        <f t="shared" si="15"/>
        <v>#DIV/0!</v>
      </c>
      <c r="G61" s="2422"/>
      <c r="H61" s="637" t="str">
        <f>项目基本情况!B37</f>
        <v>八级</v>
      </c>
      <c r="I61" s="3481">
        <f>SUMIF(修正!A59:A70,H61,修正!D59:D70)</f>
        <v>0.2</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v>
      </c>
      <c r="D65" s="3466">
        <v>0.25</v>
      </c>
      <c r="E65" s="3469">
        <f>'数据-汇总表'!E14</f>
        <v>0</v>
      </c>
      <c r="F65" s="3486" t="e">
        <f t="shared" si="15"/>
        <v>#DIV/0!</v>
      </c>
      <c r="G65" s="3478" t="s">
        <v>1807</v>
      </c>
      <c r="H65" s="637" t="str">
        <f>项目基本情况!B37</f>
        <v>八级</v>
      </c>
      <c r="I65" s="3481">
        <f>SUMIF(修正!A59:A70,H65,修正!G59:G70)</f>
        <v>0.1</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191.15</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4" t="s">
        <v>1685</v>
      </c>
      <c r="D6" s="4845"/>
      <c r="E6" s="4846" t="s">
        <v>1686</v>
      </c>
      <c r="F6" s="4847"/>
      <c r="G6" s="4844" t="s">
        <v>1687</v>
      </c>
      <c r="H6" s="4845"/>
      <c r="I6" s="4844" t="s">
        <v>1688</v>
      </c>
      <c r="J6" s="4845"/>
      <c r="K6" s="410" t="s">
        <v>1689</v>
      </c>
      <c r="L6" s="2194"/>
      <c r="M6" s="2195"/>
      <c r="N6" s="2195"/>
      <c r="O6" s="2195"/>
      <c r="P6" s="4848" t="s">
        <v>1690</v>
      </c>
      <c r="Q6" s="4849"/>
      <c r="R6" s="4854" t="s">
        <v>1686</v>
      </c>
      <c r="S6" s="4855"/>
      <c r="T6" s="4854" t="s">
        <v>1687</v>
      </c>
      <c r="U6" s="4855"/>
      <c r="V6" s="4860" t="s">
        <v>1688</v>
      </c>
      <c r="W6" s="4860"/>
      <c r="X6" s="1001"/>
      <c r="Y6" s="4869" t="s">
        <v>1690</v>
      </c>
      <c r="Z6" s="4870"/>
      <c r="AA6" s="4841" t="s">
        <v>1686</v>
      </c>
      <c r="AB6" s="4842" t="s">
        <v>1687</v>
      </c>
      <c r="AC6" s="4841" t="s">
        <v>1688</v>
      </c>
    </row>
    <row r="7" spans="1:29" ht="15">
      <c r="A7" s="3497"/>
      <c r="B7" s="3562"/>
      <c r="C7" s="4863" t="s">
        <v>1588</v>
      </c>
      <c r="D7" s="4864"/>
      <c r="E7" s="4878" t="s">
        <v>1589</v>
      </c>
      <c r="F7" s="4879"/>
      <c r="G7" s="4863" t="s">
        <v>1590</v>
      </c>
      <c r="H7" s="4864"/>
      <c r="I7" s="4863" t="s">
        <v>1591</v>
      </c>
      <c r="J7" s="4864"/>
      <c r="K7" s="410"/>
      <c r="L7" s="2194"/>
      <c r="M7" s="2195"/>
      <c r="N7" s="2195"/>
      <c r="O7" s="2195"/>
      <c r="P7" s="4850"/>
      <c r="Q7" s="4851"/>
      <c r="R7" s="4856"/>
      <c r="S7" s="4857"/>
      <c r="T7" s="4856"/>
      <c r="U7" s="4857"/>
      <c r="V7" s="4860"/>
      <c r="W7" s="4860"/>
      <c r="X7" s="1001"/>
      <c r="Y7" s="4871"/>
      <c r="Z7" s="4872"/>
      <c r="AA7" s="4842"/>
      <c r="AB7" s="4842"/>
      <c r="AC7" s="4842"/>
    </row>
    <row r="8" spans="1:29" ht="15.75" thickBot="1">
      <c r="A8" s="3563"/>
      <c r="B8" s="3564"/>
      <c r="C8" s="4930" t="s">
        <v>1834</v>
      </c>
      <c r="D8" s="4931"/>
      <c r="E8" s="4932" t="s">
        <v>1834</v>
      </c>
      <c r="F8" s="4933"/>
      <c r="G8" s="4930" t="s">
        <v>1834</v>
      </c>
      <c r="H8" s="4931"/>
      <c r="I8" s="4930" t="s">
        <v>1834</v>
      </c>
      <c r="J8" s="4931"/>
      <c r="K8" s="410" t="s">
        <v>1593</v>
      </c>
      <c r="L8" s="2194"/>
      <c r="M8" s="2195"/>
      <c r="N8" s="2195"/>
      <c r="O8" s="2195"/>
      <c r="P8" s="4852"/>
      <c r="Q8" s="4853"/>
      <c r="R8" s="4856"/>
      <c r="S8" s="4857"/>
      <c r="T8" s="4858"/>
      <c r="U8" s="4859"/>
      <c r="V8" s="4860"/>
      <c r="W8" s="4860"/>
      <c r="X8" s="1001"/>
      <c r="Y8" s="4873"/>
      <c r="Z8" s="4874"/>
      <c r="AA8" s="4843"/>
      <c r="AB8" s="4843"/>
      <c r="AC8" s="4843"/>
    </row>
    <row r="9" spans="1:29" s="49" customFormat="1" ht="15.75" thickBot="1">
      <c r="A9" s="3489" t="s">
        <v>1594</v>
      </c>
      <c r="B9" s="3490"/>
      <c r="C9" s="3161">
        <f>'数据-取费表'!B2</f>
        <v>46047</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65" t="s">
        <v>1595</v>
      </c>
      <c r="Q9" s="4875"/>
      <c r="R9" s="4256" t="s">
        <v>13</v>
      </c>
      <c r="S9" s="4259">
        <f t="shared" ref="S9:S17" si="0">F9</f>
        <v>0</v>
      </c>
      <c r="T9" s="4256" t="s">
        <v>13</v>
      </c>
      <c r="U9" s="4259">
        <f t="shared" ref="U9:U17" si="1">H9</f>
        <v>0</v>
      </c>
      <c r="V9" s="4256" t="s">
        <v>13</v>
      </c>
      <c r="W9" s="4259">
        <f t="shared" ref="W9:W17" si="2">J9</f>
        <v>0</v>
      </c>
      <c r="X9" s="515"/>
      <c r="Y9" s="4867" t="s">
        <v>1595</v>
      </c>
      <c r="Z9" s="4868"/>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65" t="s">
        <v>1598</v>
      </c>
      <c r="Q10" s="4866"/>
      <c r="R10" s="4256" t="s">
        <v>13</v>
      </c>
      <c r="S10" s="4259">
        <f t="shared" si="0"/>
        <v>0</v>
      </c>
      <c r="T10" s="4256" t="s">
        <v>13</v>
      </c>
      <c r="U10" s="4259">
        <f t="shared" si="1"/>
        <v>0</v>
      </c>
      <c r="V10" s="4256" t="s">
        <v>13</v>
      </c>
      <c r="W10" s="4259">
        <f t="shared" si="2"/>
        <v>0</v>
      </c>
      <c r="X10" s="515"/>
      <c r="Y10" s="4867" t="s">
        <v>1598</v>
      </c>
      <c r="Z10" s="4868"/>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28" t="s">
        <v>1601</v>
      </c>
      <c r="Q11" s="3414" t="str">
        <f t="shared" ref="Q11:Q17" si="6">B11</f>
        <v>用途</v>
      </c>
      <c r="R11" s="4256" t="s">
        <v>13</v>
      </c>
      <c r="S11" s="4259">
        <f t="shared" si="0"/>
        <v>100</v>
      </c>
      <c r="T11" s="4256" t="s">
        <v>13</v>
      </c>
      <c r="U11" s="4259">
        <f t="shared" si="1"/>
        <v>100</v>
      </c>
      <c r="V11" s="4256" t="s">
        <v>13</v>
      </c>
      <c r="W11" s="4259">
        <f t="shared" si="2"/>
        <v>100</v>
      </c>
      <c r="X11" s="515"/>
      <c r="Y11" s="4840"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142</v>
      </c>
      <c r="G12" s="3166"/>
      <c r="H12" s="4220">
        <f>ROUND(100/'数据-取费表'!G16,1)</f>
        <v>142</v>
      </c>
      <c r="I12" s="3166"/>
      <c r="J12" s="4220">
        <f>ROUND(100/'数据-取费表'!G16,1)</f>
        <v>142</v>
      </c>
      <c r="K12" s="461"/>
      <c r="L12" s="2198"/>
      <c r="M12" s="2199"/>
      <c r="N12" s="2199"/>
      <c r="O12" s="2252"/>
      <c r="P12" s="4828"/>
      <c r="Q12" s="3414" t="str">
        <f t="shared" si="6"/>
        <v>土地使用年限（年）</v>
      </c>
      <c r="R12" s="4256" t="s">
        <v>13</v>
      </c>
      <c r="S12" s="4259">
        <f t="shared" si="0"/>
        <v>142</v>
      </c>
      <c r="T12" s="4256" t="s">
        <v>13</v>
      </c>
      <c r="U12" s="4259">
        <f t="shared" si="1"/>
        <v>142</v>
      </c>
      <c r="V12" s="4256" t="s">
        <v>13</v>
      </c>
      <c r="W12" s="4259">
        <f t="shared" si="2"/>
        <v>142</v>
      </c>
      <c r="X12" s="515"/>
      <c r="Y12" s="4840"/>
      <c r="Z12" s="28" t="str">
        <f t="shared" si="7"/>
        <v>土地使用年限（年）</v>
      </c>
      <c r="AA12" s="516">
        <f t="shared" si="3"/>
        <v>0.70422535211267601</v>
      </c>
      <c r="AB12" s="516">
        <f t="shared" si="4"/>
        <v>0.70422535211267601</v>
      </c>
      <c r="AC12" s="516">
        <f t="shared" si="5"/>
        <v>0.70422535211267601</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28"/>
      <c r="Q13" s="3414" t="str">
        <f t="shared" si="6"/>
        <v>容积率</v>
      </c>
      <c r="R13" s="4256" t="s">
        <v>13</v>
      </c>
      <c r="S13" s="4259" t="e">
        <f t="shared" si="0"/>
        <v>#N/A</v>
      </c>
      <c r="T13" s="4256" t="s">
        <v>13</v>
      </c>
      <c r="U13" s="4259" t="e">
        <f t="shared" si="1"/>
        <v>#N/A</v>
      </c>
      <c r="V13" s="4256" t="s">
        <v>13</v>
      </c>
      <c r="W13" s="4259" t="e">
        <f t="shared" si="2"/>
        <v>#N/A</v>
      </c>
      <c r="X13" s="515"/>
      <c r="Y13" s="4840"/>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28"/>
      <c r="Q14" s="3414">
        <f t="shared" si="6"/>
        <v>111</v>
      </c>
      <c r="R14" s="4256" t="s">
        <v>13</v>
      </c>
      <c r="S14" s="4259">
        <f t="shared" si="0"/>
        <v>100</v>
      </c>
      <c r="T14" s="4256" t="s">
        <v>13</v>
      </c>
      <c r="U14" s="4259">
        <f t="shared" si="1"/>
        <v>100</v>
      </c>
      <c r="V14" s="4256" t="s">
        <v>13</v>
      </c>
      <c r="W14" s="4259">
        <f t="shared" si="2"/>
        <v>100</v>
      </c>
      <c r="X14" s="515"/>
      <c r="Y14" s="4840"/>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28"/>
      <c r="Q15" s="3414">
        <f t="shared" si="6"/>
        <v>111</v>
      </c>
      <c r="R15" s="4256" t="s">
        <v>13</v>
      </c>
      <c r="S15" s="4259">
        <f t="shared" si="0"/>
        <v>100</v>
      </c>
      <c r="T15" s="4256" t="s">
        <v>13</v>
      </c>
      <c r="U15" s="4259">
        <f t="shared" si="1"/>
        <v>100</v>
      </c>
      <c r="V15" s="4256" t="s">
        <v>13</v>
      </c>
      <c r="W15" s="4259">
        <f t="shared" si="2"/>
        <v>100</v>
      </c>
      <c r="X15" s="515"/>
      <c r="Y15" s="4840"/>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28"/>
      <c r="Q16" s="3414">
        <f t="shared" si="6"/>
        <v>111</v>
      </c>
      <c r="R16" s="4256" t="s">
        <v>13</v>
      </c>
      <c r="S16" s="4259">
        <f t="shared" si="0"/>
        <v>100</v>
      </c>
      <c r="T16" s="4256" t="s">
        <v>13</v>
      </c>
      <c r="U16" s="4259">
        <f t="shared" si="1"/>
        <v>100</v>
      </c>
      <c r="V16" s="4256" t="s">
        <v>13</v>
      </c>
      <c r="W16" s="4259">
        <f t="shared" si="2"/>
        <v>100</v>
      </c>
      <c r="X16" s="515"/>
      <c r="Y16" s="4840"/>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10" t="s">
        <v>1606</v>
      </c>
      <c r="Q17" s="3417" t="str">
        <f t="shared" si="6"/>
        <v>产业集聚程度</v>
      </c>
      <c r="R17" s="4257" t="s">
        <v>13</v>
      </c>
      <c r="S17" s="4260">
        <f t="shared" si="0"/>
        <v>100</v>
      </c>
      <c r="T17" s="4257" t="s">
        <v>13</v>
      </c>
      <c r="U17" s="4260">
        <f t="shared" si="1"/>
        <v>100</v>
      </c>
      <c r="V17" s="4257" t="s">
        <v>13</v>
      </c>
      <c r="W17" s="4260">
        <f t="shared" si="2"/>
        <v>100</v>
      </c>
      <c r="X17" s="1001"/>
      <c r="Y17" s="4830"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1"/>
      <c r="Q18" s="3417"/>
      <c r="R18" s="4257"/>
      <c r="S18" s="4260"/>
      <c r="T18" s="4257"/>
      <c r="U18" s="4260"/>
      <c r="V18" s="4257"/>
      <c r="W18" s="4260"/>
      <c r="X18" s="1001"/>
      <c r="Y18" s="4831"/>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1"/>
      <c r="Q19" s="3417" t="str">
        <f>B19</f>
        <v>交通便捷度</v>
      </c>
      <c r="R19" s="4257" t="s">
        <v>13</v>
      </c>
      <c r="S19" s="4260">
        <f>F19</f>
        <v>100</v>
      </c>
      <c r="T19" s="4257" t="s">
        <v>13</v>
      </c>
      <c r="U19" s="4260">
        <f>H19</f>
        <v>100</v>
      </c>
      <c r="V19" s="4257" t="s">
        <v>13</v>
      </c>
      <c r="W19" s="4260">
        <f>J19</f>
        <v>100</v>
      </c>
      <c r="X19" s="1001"/>
      <c r="Y19" s="4831"/>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1"/>
      <c r="Q20" s="3417"/>
      <c r="R20" s="4257"/>
      <c r="S20" s="4260"/>
      <c r="T20" s="4257"/>
      <c r="U20" s="4260"/>
      <c r="V20" s="4257"/>
      <c r="W20" s="4260"/>
      <c r="X20" s="1001"/>
      <c r="Y20" s="4831"/>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1"/>
      <c r="Q21" s="3417" t="str">
        <f t="shared" ref="Q21:Q35" si="8">B21</f>
        <v>区域土地利用方向</v>
      </c>
      <c r="R21" s="4257" t="s">
        <v>13</v>
      </c>
      <c r="S21" s="4260">
        <f>F21</f>
        <v>100</v>
      </c>
      <c r="T21" s="4257" t="s">
        <v>13</v>
      </c>
      <c r="U21" s="4260">
        <f>H21</f>
        <v>100</v>
      </c>
      <c r="V21" s="4257" t="s">
        <v>13</v>
      </c>
      <c r="W21" s="4260">
        <f>J21</f>
        <v>100</v>
      </c>
      <c r="X21" s="1001"/>
      <c r="Y21" s="4831"/>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1"/>
      <c r="Q22" s="3417"/>
      <c r="R22" s="4257"/>
      <c r="S22" s="4260"/>
      <c r="T22" s="4257"/>
      <c r="U22" s="4260"/>
      <c r="V22" s="4257"/>
      <c r="W22" s="4260"/>
      <c r="X22" s="1001"/>
      <c r="Y22" s="4831"/>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1"/>
      <c r="Q23" s="3417" t="str">
        <f t="shared" si="8"/>
        <v>环境状况</v>
      </c>
      <c r="R23" s="4257" t="s">
        <v>13</v>
      </c>
      <c r="S23" s="4260">
        <f>F23</f>
        <v>100</v>
      </c>
      <c r="T23" s="4257" t="s">
        <v>13</v>
      </c>
      <c r="U23" s="4260">
        <f>H23</f>
        <v>100</v>
      </c>
      <c r="V23" s="4257" t="s">
        <v>13</v>
      </c>
      <c r="W23" s="4260">
        <f>J23</f>
        <v>100</v>
      </c>
      <c r="X23" s="1001"/>
      <c r="Y23" s="4831"/>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1"/>
      <c r="Q24" s="3417"/>
      <c r="R24" s="4257"/>
      <c r="S24" s="4260"/>
      <c r="T24" s="4257"/>
      <c r="U24" s="4260"/>
      <c r="V24" s="4257"/>
      <c r="W24" s="4260"/>
      <c r="X24" s="1001"/>
      <c r="Y24" s="4831"/>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1"/>
      <c r="Q25" s="3414" t="str">
        <f t="shared" si="8"/>
        <v>公共配套设施</v>
      </c>
      <c r="R25" s="4256" t="s">
        <v>13</v>
      </c>
      <c r="S25" s="4259">
        <f>F25</f>
        <v>100</v>
      </c>
      <c r="T25" s="4256" t="s">
        <v>13</v>
      </c>
      <c r="U25" s="4259">
        <f>H25</f>
        <v>100</v>
      </c>
      <c r="V25" s="4256" t="s">
        <v>13</v>
      </c>
      <c r="W25" s="4259">
        <f>J25</f>
        <v>100</v>
      </c>
      <c r="X25" s="515"/>
      <c r="Y25" s="4831"/>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1"/>
      <c r="Q26" s="3414"/>
      <c r="R26" s="4256"/>
      <c r="S26" s="4259"/>
      <c r="T26" s="4256"/>
      <c r="U26" s="4259"/>
      <c r="V26" s="4256"/>
      <c r="W26" s="4259"/>
      <c r="X26" s="515"/>
      <c r="Y26" s="4831"/>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1"/>
      <c r="Q27" s="3414" t="str">
        <f t="shared" ref="Q27" si="9">B27</f>
        <v>基础设施水平</v>
      </c>
      <c r="R27" s="4256" t="s">
        <v>13</v>
      </c>
      <c r="S27" s="4259">
        <f>F27</f>
        <v>100</v>
      </c>
      <c r="T27" s="4256" t="s">
        <v>13</v>
      </c>
      <c r="U27" s="4259">
        <f>H27</f>
        <v>100</v>
      </c>
      <c r="V27" s="4256" t="s">
        <v>13</v>
      </c>
      <c r="W27" s="4259">
        <f>J27</f>
        <v>100</v>
      </c>
      <c r="X27" s="515"/>
      <c r="Y27" s="4831"/>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1"/>
      <c r="Q28" s="3414"/>
      <c r="R28" s="4256"/>
      <c r="S28" s="4259"/>
      <c r="T28" s="4256"/>
      <c r="U28" s="4259"/>
      <c r="V28" s="4256"/>
      <c r="W28" s="4259"/>
      <c r="X28" s="515"/>
      <c r="Y28" s="4831"/>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1"/>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31"/>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1"/>
      <c r="Q30" s="3417" t="str">
        <f t="shared" si="8"/>
        <v>毗邻道路的类型与等级</v>
      </c>
      <c r="R30" s="4257" t="s">
        <v>13</v>
      </c>
      <c r="S30" s="4260">
        <f t="shared" si="10"/>
        <v>100</v>
      </c>
      <c r="T30" s="4257" t="s">
        <v>13</v>
      </c>
      <c r="U30" s="4260">
        <f t="shared" si="11"/>
        <v>100</v>
      </c>
      <c r="V30" s="4257" t="s">
        <v>13</v>
      </c>
      <c r="W30" s="4260">
        <f t="shared" si="12"/>
        <v>100</v>
      </c>
      <c r="X30" s="1001"/>
      <c r="Y30" s="4831"/>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1"/>
      <c r="Q31" s="3417"/>
      <c r="R31" s="4257"/>
      <c r="S31" s="4260"/>
      <c r="T31" s="4257"/>
      <c r="U31" s="4260"/>
      <c r="V31" s="4257"/>
      <c r="W31" s="4260"/>
      <c r="X31" s="1001"/>
      <c r="Y31" s="4831"/>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1"/>
      <c r="Q32" s="3417" t="str">
        <f t="shared" si="8"/>
        <v>土地级别</v>
      </c>
      <c r="R32" s="4257" t="s">
        <v>13</v>
      </c>
      <c r="S32" s="4260">
        <f t="shared" si="10"/>
        <v>100</v>
      </c>
      <c r="T32" s="4257" t="s">
        <v>13</v>
      </c>
      <c r="U32" s="4260">
        <f t="shared" si="11"/>
        <v>100</v>
      </c>
      <c r="V32" s="4257" t="s">
        <v>13</v>
      </c>
      <c r="W32" s="4260">
        <f t="shared" si="12"/>
        <v>100</v>
      </c>
      <c r="X32" s="1001"/>
      <c r="Y32" s="4831"/>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1"/>
      <c r="Q33" s="3417">
        <f t="shared" si="8"/>
        <v>111</v>
      </c>
      <c r="R33" s="4257" t="s">
        <v>13</v>
      </c>
      <c r="S33" s="4260">
        <f t="shared" si="10"/>
        <v>100</v>
      </c>
      <c r="T33" s="4257" t="s">
        <v>13</v>
      </c>
      <c r="U33" s="4260">
        <f t="shared" si="11"/>
        <v>100</v>
      </c>
      <c r="V33" s="4257" t="s">
        <v>13</v>
      </c>
      <c r="W33" s="4260">
        <f t="shared" si="12"/>
        <v>100</v>
      </c>
      <c r="X33" s="1001"/>
      <c r="Y33" s="4831"/>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2" t="s">
        <v>1611</v>
      </c>
      <c r="Q34" s="3417">
        <f t="shared" si="8"/>
        <v>111</v>
      </c>
      <c r="R34" s="4257" t="s">
        <v>13</v>
      </c>
      <c r="S34" s="4260">
        <f t="shared" si="10"/>
        <v>100</v>
      </c>
      <c r="T34" s="4257" t="s">
        <v>13</v>
      </c>
      <c r="U34" s="4260">
        <f t="shared" si="11"/>
        <v>100</v>
      </c>
      <c r="V34" s="4257" t="s">
        <v>13</v>
      </c>
      <c r="W34" s="4260">
        <f t="shared" si="12"/>
        <v>100</v>
      </c>
      <c r="X34" s="1001"/>
      <c r="Y34" s="4835"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3"/>
      <c r="Q35" s="3417">
        <f t="shared" si="8"/>
        <v>111</v>
      </c>
      <c r="R35" s="4258" t="s">
        <v>13</v>
      </c>
      <c r="S35" s="4261">
        <f t="shared" si="10"/>
        <v>100</v>
      </c>
      <c r="T35" s="4258" t="s">
        <v>13</v>
      </c>
      <c r="U35" s="4261">
        <f t="shared" si="11"/>
        <v>100</v>
      </c>
      <c r="V35" s="4258" t="s">
        <v>13</v>
      </c>
      <c r="W35" s="4261">
        <f t="shared" si="12"/>
        <v>100</v>
      </c>
      <c r="X35" s="518"/>
      <c r="Y35" s="4835"/>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3"/>
      <c r="Q36" s="3417" t="str">
        <f>B36</f>
        <v>宗地面积</v>
      </c>
      <c r="R36" s="4257" t="s">
        <v>13</v>
      </c>
      <c r="S36" s="4260" t="e">
        <f t="shared" si="10"/>
        <v>#N/A</v>
      </c>
      <c r="T36" s="4257" t="s">
        <v>13</v>
      </c>
      <c r="U36" s="4260" t="e">
        <f t="shared" si="11"/>
        <v>#N/A</v>
      </c>
      <c r="V36" s="4257" t="s">
        <v>13</v>
      </c>
      <c r="W36" s="4260" t="e">
        <f t="shared" si="12"/>
        <v>#N/A</v>
      </c>
      <c r="X36" s="1001"/>
      <c r="Y36" s="4835"/>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3"/>
      <c r="Q37" s="3417" t="str">
        <f t="shared" ref="Q37:Q42" si="14">B37</f>
        <v>宗地形状</v>
      </c>
      <c r="R37" s="4257" t="s">
        <v>13</v>
      </c>
      <c r="S37" s="4260">
        <f t="shared" si="10"/>
        <v>100</v>
      </c>
      <c r="T37" s="4257" t="s">
        <v>13</v>
      </c>
      <c r="U37" s="4260">
        <f t="shared" si="11"/>
        <v>100</v>
      </c>
      <c r="V37" s="4257" t="s">
        <v>13</v>
      </c>
      <c r="W37" s="4260">
        <f t="shared" si="12"/>
        <v>100</v>
      </c>
      <c r="X37" s="1001"/>
      <c r="Y37" s="4835"/>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3"/>
      <c r="Q38" s="3417" t="str">
        <f t="shared" si="14"/>
        <v>宗地开发程度</v>
      </c>
      <c r="R38" s="4256" t="s">
        <v>13</v>
      </c>
      <c r="S38" s="4259">
        <f t="shared" si="10"/>
        <v>100</v>
      </c>
      <c r="T38" s="4256" t="s">
        <v>13</v>
      </c>
      <c r="U38" s="4259">
        <f t="shared" si="11"/>
        <v>100</v>
      </c>
      <c r="V38" s="4256" t="s">
        <v>13</v>
      </c>
      <c r="W38" s="4259">
        <f t="shared" si="12"/>
        <v>100</v>
      </c>
      <c r="X38" s="515"/>
      <c r="Y38" s="4835"/>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3" t="s">
        <v>1611</v>
      </c>
      <c r="Q39" s="3417" t="str">
        <f t="shared" si="14"/>
        <v>工程地质条件</v>
      </c>
      <c r="R39" s="4257" t="s">
        <v>13</v>
      </c>
      <c r="S39" s="4260">
        <f t="shared" si="10"/>
        <v>100</v>
      </c>
      <c r="T39" s="4257" t="s">
        <v>13</v>
      </c>
      <c r="U39" s="4260">
        <f t="shared" si="11"/>
        <v>100</v>
      </c>
      <c r="V39" s="4257" t="s">
        <v>13</v>
      </c>
      <c r="W39" s="4260">
        <f t="shared" si="12"/>
        <v>100</v>
      </c>
      <c r="X39" s="1001"/>
      <c r="Y39" s="4835"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3"/>
      <c r="Q40" s="3417">
        <f t="shared" si="14"/>
        <v>111</v>
      </c>
      <c r="R40" s="4257" t="s">
        <v>13</v>
      </c>
      <c r="S40" s="4260">
        <f t="shared" si="10"/>
        <v>100</v>
      </c>
      <c r="T40" s="4257" t="s">
        <v>13</v>
      </c>
      <c r="U40" s="4260">
        <f t="shared" si="11"/>
        <v>100</v>
      </c>
      <c r="V40" s="4257" t="s">
        <v>13</v>
      </c>
      <c r="W40" s="4260">
        <f t="shared" si="12"/>
        <v>100</v>
      </c>
      <c r="X40" s="1001"/>
      <c r="Y40" s="4835"/>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3"/>
      <c r="Q41" s="3417">
        <f t="shared" si="14"/>
        <v>111</v>
      </c>
      <c r="R41" s="4257" t="s">
        <v>13</v>
      </c>
      <c r="S41" s="4260">
        <f t="shared" si="10"/>
        <v>100</v>
      </c>
      <c r="T41" s="4257" t="s">
        <v>13</v>
      </c>
      <c r="U41" s="4260">
        <f t="shared" si="11"/>
        <v>100</v>
      </c>
      <c r="V41" s="4257" t="s">
        <v>13</v>
      </c>
      <c r="W41" s="4260">
        <f t="shared" si="12"/>
        <v>100</v>
      </c>
      <c r="X41" s="1001"/>
      <c r="Y41" s="4835"/>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3"/>
      <c r="Q42" s="3417">
        <f t="shared" si="14"/>
        <v>111</v>
      </c>
      <c r="R42" s="4258" t="s">
        <v>13</v>
      </c>
      <c r="S42" s="4261">
        <f t="shared" si="10"/>
        <v>100</v>
      </c>
      <c r="T42" s="4258" t="s">
        <v>13</v>
      </c>
      <c r="U42" s="4261">
        <f t="shared" si="11"/>
        <v>100</v>
      </c>
      <c r="V42" s="4258" t="s">
        <v>13</v>
      </c>
      <c r="W42" s="4261">
        <f t="shared" si="12"/>
        <v>100</v>
      </c>
      <c r="X42" s="518"/>
      <c r="Y42" s="4835"/>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28" t="str">
        <f>A43</f>
        <v>成交单价</v>
      </c>
      <c r="Q43" s="4828"/>
      <c r="R43" s="4829">
        <f>E43</f>
        <v>0</v>
      </c>
      <c r="S43" s="4829"/>
      <c r="T43" s="4829">
        <f>G43</f>
        <v>0</v>
      </c>
      <c r="U43" s="4829"/>
      <c r="V43" s="4829">
        <f>I43</f>
        <v>0</v>
      </c>
      <c r="W43" s="4829"/>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28" t="str">
        <f>A44</f>
        <v>比较价值（元/平方米）</v>
      </c>
      <c r="Q44" s="4828"/>
      <c r="R44" s="4829" t="e">
        <f>ROUND(PRODUCT(R43,AA9:AA42),0)</f>
        <v>#DIV/0!</v>
      </c>
      <c r="S44" s="4829"/>
      <c r="T44" s="4829" t="e">
        <f>ROUND(PRODUCT(T43,AB9:AB42),0)</f>
        <v>#DIV/0!</v>
      </c>
      <c r="U44" s="4829"/>
      <c r="V44" s="4829" t="e">
        <f>ROUND(PRODUCT(V43,AC9:AC42),0)</f>
        <v>#DIV/0!</v>
      </c>
      <c r="W44" s="4829"/>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25" t="str">
        <f>A45</f>
        <v>估价对象XX用房的比较价值（楼面单价，元/平方米）</v>
      </c>
      <c r="Q45" s="4826"/>
      <c r="R45" s="4827" t="e">
        <f>ROUND(IF(D44="简单平均",AVERAGE(R44:W44),R44*F44+T44*H44+V44*J44),0)</f>
        <v>#DIV/0!</v>
      </c>
      <c r="S45" s="4827"/>
      <c r="T45" s="4827"/>
      <c r="U45" s="4827"/>
      <c r="V45" s="4827"/>
      <c r="W45" s="4827"/>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87" t="s">
        <v>1802</v>
      </c>
      <c r="H52" s="4928"/>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191.15</v>
      </c>
      <c r="F53" s="3467" t="e">
        <f t="shared" ref="F53:F62" si="15">ROUND(B53*E53/10000,0)</f>
        <v>#DIV/0!</v>
      </c>
      <c r="G53" s="4929"/>
      <c r="H53" s="4915"/>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0.5</v>
      </c>
      <c r="D54" s="3466">
        <v>0.25</v>
      </c>
      <c r="E54" s="3468"/>
      <c r="F54" s="3467" t="e">
        <f t="shared" si="15"/>
        <v>#DIV/0!</v>
      </c>
      <c r="G54" s="3475" t="s">
        <v>1807</v>
      </c>
      <c r="H54" s="3472" t="str">
        <f>项目基本情况!B37</f>
        <v>八级</v>
      </c>
      <c r="I54" s="3068">
        <f>SUMIF(修正!A59:A70,H54,修正!B59:B70)</f>
        <v>0.5</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0.2</v>
      </c>
      <c r="D55" s="3466">
        <v>0.25</v>
      </c>
      <c r="E55" s="3468"/>
      <c r="F55" s="3467" t="e">
        <f t="shared" si="15"/>
        <v>#DIV/0!</v>
      </c>
      <c r="G55" s="3476"/>
      <c r="H55" s="3472" t="str">
        <f>项目基本情况!B37</f>
        <v>八级</v>
      </c>
      <c r="I55" s="3068">
        <f>SUMIF(修正!A59:A70,H55,修正!C59:C70)</f>
        <v>0.2</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v>
      </c>
      <c r="D56" s="3466">
        <v>0.25</v>
      </c>
      <c r="E56" s="3468"/>
      <c r="F56" s="3467" t="e">
        <f t="shared" si="15"/>
        <v>#DIV/0!</v>
      </c>
      <c r="G56" s="3476"/>
      <c r="H56" s="3472" t="str">
        <f>项目基本情况!B37</f>
        <v>八级</v>
      </c>
      <c r="I56" s="3068">
        <f>SUMIF(修正!A59:A70,H56,修正!D59:D70)</f>
        <v>0.2</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v>
      </c>
      <c r="D61" s="3466">
        <v>0.25</v>
      </c>
      <c r="E61" s="3469">
        <f>'数据-汇总表'!E14</f>
        <v>0</v>
      </c>
      <c r="F61" s="3467" t="e">
        <f t="shared" si="15"/>
        <v>#DIV/0!</v>
      </c>
      <c r="G61" s="3478" t="s">
        <v>1807</v>
      </c>
      <c r="H61" s="3472" t="str">
        <f>项目基本情况!B37</f>
        <v>八级</v>
      </c>
      <c r="I61" s="3068">
        <f>SUMIF(修正!A59:A70,H61,修正!G59:G70)</f>
        <v>0.1</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0" sqref="G3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45404</v>
      </c>
      <c r="C2" s="176" t="s">
        <v>1537</v>
      </c>
      <c r="D2" s="3748"/>
      <c r="E2" s="2273"/>
      <c r="G2" s="2273"/>
      <c r="H2" s="2273"/>
      <c r="I2" s="2273"/>
      <c r="J2" s="2273"/>
      <c r="K2" s="2273"/>
    </row>
    <row r="3" spans="1:33" ht="18" customHeight="1">
      <c r="A3" s="103" t="s">
        <v>1436</v>
      </c>
      <c r="B3" s="2840">
        <f ca="1">ROUND(B2*10000/IF(C1="",'数据-汇总表'!E3,INDIRECT("'数据-取费表'!K"&amp;$K$1)),0)</f>
        <v>2375307</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4" t="s">
        <v>3390</v>
      </c>
      <c r="D6" s="4934"/>
      <c r="E6" s="4934"/>
      <c r="F6" s="4934"/>
      <c r="G6" s="4934"/>
      <c r="H6" s="4934"/>
      <c r="I6" s="4934"/>
      <c r="J6" s="4934"/>
      <c r="K6" s="4935"/>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8" t="s">
        <v>3403</v>
      </c>
      <c r="B11" s="4939"/>
      <c r="C11" s="4939"/>
      <c r="D11" s="4939"/>
      <c r="E11" s="4939"/>
      <c r="F11" s="4939"/>
      <c r="G11" s="4939"/>
      <c r="H11" s="4939"/>
      <c r="I11" s="4939"/>
      <c r="J11" s="4939"/>
      <c r="K11" s="4940"/>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-38226</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0.06</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-38226</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-38226</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4</v>
      </c>
      <c r="D22" s="3036">
        <f ca="1">IF(C1="",'数据-汇总表'!E6,IF(INDIRECT("'数据-取费表'!c"&amp;$K$1)="住宅",INDIRECT("'数据-取费表'!s"&amp;$K$1),INDIRECT("'数据-取费表'!k"&amp;$K$1)+INDIRECT("'数据-取费表'!s"&amp;$K$1)))</f>
        <v>191.15</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191.15</v>
      </c>
      <c r="E23" s="3033">
        <f>'数据-取费表'!B35</f>
        <v>360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191.15</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5.0000000000000001E-3</v>
      </c>
      <c r="G25" s="2984"/>
      <c r="H25" s="2984"/>
      <c r="I25" s="2984"/>
      <c r="J25" s="2984"/>
      <c r="K25" s="3015"/>
    </row>
    <row r="26" spans="1:33" s="583" customFormat="1" ht="13.5" customHeight="1">
      <c r="A26" s="2981" t="s">
        <v>3395</v>
      </c>
      <c r="B26" s="3024" t="s">
        <v>3409</v>
      </c>
      <c r="C26" s="2996">
        <f ca="1">ROUND(C16*F26,0)</f>
        <v>0</v>
      </c>
      <c r="D26" s="584"/>
      <c r="E26" s="588"/>
      <c r="F26" s="3000">
        <f>'数据-取费表'!B37</f>
        <v>5.0000000000000001E-3</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-765</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0.01</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6" t="s">
        <v>3402</v>
      </c>
      <c r="H32" s="4936"/>
      <c r="I32" s="4936"/>
      <c r="J32" s="4936"/>
      <c r="K32" s="4937"/>
    </row>
    <row r="33" spans="1:11" s="181" customFormat="1" ht="13.5" customHeight="1">
      <c r="A33" s="2808">
        <v>8</v>
      </c>
      <c r="B33" s="2986" t="s">
        <v>1562</v>
      </c>
      <c r="C33" s="3035" t="str">
        <f ca="1">C35&amp;"+"&amp;C34&amp;"V"</f>
        <v>-7798+0V</v>
      </c>
      <c r="D33" s="177"/>
      <c r="E33" s="178"/>
      <c r="F33" s="3003">
        <f ca="1">IF(C1="",'数据-取费表'!Q16,INDIRECT("'数据-取费表'!q"&amp;$K$1))</f>
        <v>0.2</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-7798</v>
      </c>
      <c r="D35" s="179"/>
      <c r="E35" s="584"/>
      <c r="F35" s="3002"/>
      <c r="G35" s="217"/>
      <c r="H35" s="217"/>
      <c r="I35" s="217"/>
      <c r="J35" s="217"/>
      <c r="K35" s="3010"/>
    </row>
    <row r="36" spans="1:11" s="580" customFormat="1" ht="15">
      <c r="A36" s="2808">
        <v>9</v>
      </c>
      <c r="B36" s="3007" t="s">
        <v>3401</v>
      </c>
      <c r="C36" s="2991">
        <f ca="1">ROUND((C13-C15-C27-C28-C31-C35-C32)/(1+F14+C30+C34),0)</f>
        <v>45404</v>
      </c>
      <c r="D36" s="3008"/>
      <c r="E36" s="3008"/>
      <c r="F36" s="177"/>
      <c r="G36" s="3045" t="s">
        <v>3413</v>
      </c>
      <c r="H36" s="3008"/>
      <c r="I36" s="3008"/>
      <c r="J36" s="3008"/>
      <c r="K36" s="3009"/>
    </row>
    <row r="37" spans="1:11" s="3134" customFormat="1" ht="15.75" thickBot="1">
      <c r="A37" s="3021">
        <v>10</v>
      </c>
      <c r="B37" s="3022" t="s">
        <v>3495</v>
      </c>
      <c r="C37" s="3131">
        <f ca="1">ROUND(C36*(1+F37),0)</f>
        <v>49490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-38226</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-38226</v>
      </c>
      <c r="D53" s="690"/>
      <c r="E53" s="690"/>
      <c r="F53" s="690"/>
      <c r="G53" s="690"/>
    </row>
    <row r="54" spans="1:7" s="3629" customFormat="1">
      <c r="A54" s="3832" t="s">
        <v>3399</v>
      </c>
      <c r="B54" s="3833" t="s">
        <v>3525</v>
      </c>
      <c r="C54" s="3834">
        <f ca="1">C20</f>
        <v>-38226</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-765</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-7798+0V</v>
      </c>
      <c r="D64" s="690"/>
      <c r="E64" s="690"/>
      <c r="F64" s="690"/>
      <c r="G64" s="690"/>
    </row>
    <row r="65" spans="1:7" s="3629" customFormat="1">
      <c r="A65" s="690">
        <v>5</v>
      </c>
      <c r="B65" s="3025" t="s">
        <v>3515</v>
      </c>
      <c r="C65" s="2995">
        <f ca="1">C36</f>
        <v>45404</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0</v>
      </c>
      <c r="C2" s="1729" t="s">
        <v>1989</v>
      </c>
      <c r="D2" s="1729" t="s">
        <v>1990</v>
      </c>
      <c r="E2" s="3277">
        <f ca="1">SUMIF(E6:E13,"&lt;&gt;#ref!",E6:E13)</f>
        <v>191.15</v>
      </c>
      <c r="F2" s="2271"/>
      <c r="G2" s="2271"/>
      <c r="H2" s="2271"/>
      <c r="I2" s="2271"/>
      <c r="J2" s="2271"/>
      <c r="K2" s="2271"/>
      <c r="L2" s="2271"/>
      <c r="M2" s="2271"/>
      <c r="N2" s="2271"/>
      <c r="O2" s="2271"/>
      <c r="P2" s="2271"/>
    </row>
    <row r="3" spans="1:16" ht="15.75">
      <c r="A3" s="1729" t="s">
        <v>1991</v>
      </c>
      <c r="B3" s="3276">
        <f ca="1">ROUND(B2*10000/E2,0)</f>
        <v>0</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0</v>
      </c>
      <c r="C6" s="1729" t="s">
        <v>1989</v>
      </c>
      <c r="D6" s="2271"/>
      <c r="E6" s="3277">
        <f ca="1">SUMIF(INDIRECT("'"&amp;A6&amp;"'"&amp;"!C:C"),"建筑面积",INDIRECT("'"&amp;A6&amp;"'"&amp;"!D:D"))</f>
        <v>191.15</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G50" sqref="G50:G58"/>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191.15</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0</v>
      </c>
      <c r="C2" s="1586" t="s">
        <v>1850</v>
      </c>
      <c r="D2" s="1587" t="s">
        <v>1851</v>
      </c>
      <c r="E2" s="2778" t="s">
        <v>660</v>
      </c>
      <c r="F2" s="1587" t="s">
        <v>1852</v>
      </c>
      <c r="G2" s="1588" t="str">
        <f>IF(E2="商业",项目基本情况!B37,IF(E2="办公",项目基本情况!C37,IF(E2="住宅",项目基本情况!D37,IF(E2="工业",项目基本情况!E37,项目基本情况!F37))))</f>
        <v>八级</v>
      </c>
      <c r="H2" s="1587" t="s">
        <v>1853</v>
      </c>
      <c r="I2" s="1588" t="str">
        <f>IF(E2="商业",项目基本情况!B38,IF(E2="办公",项目基本情况!C38,IF(E2="住宅",项目基本情况!D38,IF(E2="工业",项目基本情况!E38,项目基本情况!F38))))</f>
        <v>Ⅷ-延1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1.5418000000000001</v>
      </c>
      <c r="T2" s="2717">
        <f t="shared" ref="T2:T16" si="0">ROUND($C$5*$C$22*$C$23*$C$24*S2*$C$28,0)</f>
        <v>5374</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0</v>
      </c>
      <c r="C3" s="1586" t="s">
        <v>1856</v>
      </c>
      <c r="D3" s="1587" t="s">
        <v>1857</v>
      </c>
      <c r="E3" s="2776" t="s">
        <v>2347</v>
      </c>
      <c r="F3" s="1591" t="s">
        <v>3927</v>
      </c>
      <c r="G3" s="3278">
        <f>IF(F3="宗地容积率",'数据-汇总表'!I4,IF(F3="估价对象容积率",'数据-汇总表'!I6,'数据-汇总表'!I7))</f>
        <v>0</v>
      </c>
      <c r="H3" s="72" t="s">
        <v>1858</v>
      </c>
      <c r="I3" s="565">
        <v>1</v>
      </c>
      <c r="J3" s="1589" t="s">
        <v>1859</v>
      </c>
      <c r="K3" s="823"/>
      <c r="L3" s="1590" t="s">
        <v>1860</v>
      </c>
      <c r="M3" s="615">
        <f>SUMPRODUCT((区片价!B30:B54=I2)*(区片价!C3:G3=E2)*(区片价!C30:G54))</f>
        <v>0</v>
      </c>
      <c r="N3" s="617">
        <f>SUMPRODUCT((因素修正幅度!B30:B54=I2)*(因素修正幅度!C3:G3=E2)*(因素修正幅度!C30:G54))</f>
        <v>0</v>
      </c>
      <c r="O3" s="823"/>
      <c r="P3" s="823"/>
      <c r="Q3" s="823"/>
      <c r="R3" s="887">
        <v>2</v>
      </c>
      <c r="S3" s="2717">
        <f>ROUND(SUMPRODUCT((B106:B110=R3)*(C105:N105=G2)*(C106:N110)),4)</f>
        <v>1.1883999999999999</v>
      </c>
      <c r="T3" s="2717">
        <f t="shared" si="0"/>
        <v>4142</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0.96940000000000004</v>
      </c>
      <c r="T4" s="2717">
        <f t="shared" si="0"/>
        <v>3379</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5860</v>
      </c>
      <c r="D5" s="3280">
        <f>ROUND(C6*C17+C20,0)</f>
        <v>5860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0.82299999999999995</v>
      </c>
      <c r="T5" s="2717">
        <f t="shared" si="0"/>
        <v>2869</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5860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0.74980000000000002</v>
      </c>
      <c r="T6" s="2717">
        <f t="shared" si="0"/>
        <v>2613</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八级</v>
      </c>
      <c r="Y7" s="889" t="s">
        <v>1871</v>
      </c>
      <c r="Z7" s="890">
        <f>G3</f>
        <v>0</v>
      </c>
      <c r="AA7" s="891"/>
      <c r="AB7" s="891"/>
      <c r="AC7" s="892"/>
      <c r="AD7" s="893"/>
      <c r="AE7" s="893"/>
      <c r="AF7" s="893"/>
      <c r="AG7" s="893"/>
      <c r="AH7" s="893"/>
      <c r="AI7" s="893"/>
      <c r="AJ7" s="894"/>
    </row>
    <row r="8" spans="1:36" ht="25.5">
      <c r="A8" s="2663"/>
      <c r="B8" s="72" t="s">
        <v>1872</v>
      </c>
      <c r="C8" s="1613" t="s">
        <v>3928</v>
      </c>
      <c r="D8" s="551" t="s">
        <v>110</v>
      </c>
      <c r="E8" s="552" t="e">
        <f>ROUND(C11/E7,4)</f>
        <v>#DIV/0!</v>
      </c>
      <c r="F8" s="1614" t="s">
        <v>1873</v>
      </c>
      <c r="G8" s="1615"/>
      <c r="H8" s="1615"/>
      <c r="I8" s="1615"/>
      <c r="J8" s="1616"/>
      <c r="K8" s="823"/>
      <c r="L8" s="1590" t="s">
        <v>1874</v>
      </c>
      <c r="M8" s="615">
        <f>SUMPRODUCT((区片价!B234:B276=I2)*(区片价!C3:G3=E2)*(区片价!C234:G276))</f>
        <v>5860</v>
      </c>
      <c r="N8" s="617">
        <f>SUMPRODUCT((因素修正幅度!B234:B276=I2)*(因素修正幅度!C3:G3=E2)*(因素修正幅度!C234:G276))</f>
        <v>0.1</v>
      </c>
      <c r="O8" s="823"/>
      <c r="P8" s="823"/>
      <c r="Q8" s="823"/>
      <c r="R8" s="887">
        <v>7</v>
      </c>
      <c r="S8" s="888"/>
      <c r="T8" s="2717">
        <f t="shared" si="0"/>
        <v>0</v>
      </c>
      <c r="U8" s="888"/>
      <c r="V8" s="2717">
        <f t="shared" si="1"/>
        <v>0</v>
      </c>
      <c r="W8" s="4945" t="s">
        <v>1875</v>
      </c>
      <c r="X8" s="494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7"/>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7"/>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8" t="s">
        <v>3152</v>
      </c>
      <c r="B20" s="70" t="s">
        <v>1909</v>
      </c>
      <c r="C20" s="3289">
        <f>ROUND(IF(F21="与级别开发程度一致",0,(G21-E21)/C21),0)</f>
        <v>0</v>
      </c>
      <c r="D20" s="2699" t="s">
        <v>1913</v>
      </c>
      <c r="E20" s="2700"/>
      <c r="F20" s="4954" t="s">
        <v>1910</v>
      </c>
      <c r="G20" s="4955"/>
      <c r="H20" s="2686" t="s">
        <v>3924</v>
      </c>
      <c r="I20" s="2686" t="s">
        <v>3925</v>
      </c>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9"/>
      <c r="B21" s="1747" t="s">
        <v>1912</v>
      </c>
      <c r="C21" s="3290">
        <f>IF(E3="M4科研用地",SUMPRODUCT((修正!A2:A7=E3)*(修正!B1:M1=G2)*(修正!B2:M7)),SUMPRODUCT((修正!A2:A7=E2)*(修正!B1:M1=G2)*(修正!B2:M7)))</f>
        <v>2</v>
      </c>
      <c r="D21" s="87" t="str">
        <f>IF(OR(G2="八级",G2="九级",G2="十级",G2="十一级",G2="十二级"),"五通一平","七通一平")</f>
        <v>五通一平</v>
      </c>
      <c r="E21" s="1739">
        <f>SUMPRODUCT((修正!B1:M1=G2)*(修正!B17:M17))</f>
        <v>185</v>
      </c>
      <c r="F21" s="1740" t="s">
        <v>3929</v>
      </c>
      <c r="G21" s="1741">
        <f>SUM(H21:O21)</f>
        <v>110</v>
      </c>
      <c r="H21" s="1748">
        <f>SUMPRODUCT((七通一平=H20)*(修正!B1:M1=G2)*(修正!B8:M16))</f>
        <v>60</v>
      </c>
      <c r="I21" s="1748">
        <f>SUMPRODUCT((七通一平=I20)*(修正!B1:M1=G2)*(修正!B8:M16))</f>
        <v>50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641" t="s">
        <v>1917</v>
      </c>
      <c r="E23" s="556">
        <v>44197</v>
      </c>
      <c r="F23" s="1641" t="s">
        <v>1918</v>
      </c>
      <c r="G23" s="557">
        <f>'数据-取费表'!B2</f>
        <v>46047</v>
      </c>
      <c r="H23" s="2701" t="s">
        <v>3930</v>
      </c>
      <c r="I23" s="2702" t="str">
        <f>IF(H23="季度增幅（自定义）",SUMIF(N25:N28,E2,O25:O28),"")</f>
        <v/>
      </c>
      <c r="J23" s="2794" t="s">
        <v>3931</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0.72340000000000004</v>
      </c>
      <c r="D24" s="1647" t="s">
        <v>1922</v>
      </c>
      <c r="E24" s="982">
        <f>存贷款利率!E28/100</f>
        <v>4.3499999999999997E-2</v>
      </c>
      <c r="F24" s="1647" t="s">
        <v>1914</v>
      </c>
      <c r="G24" s="561">
        <f>SUMIF(M30:Q30,E2,M33:Q33)</f>
        <v>5.5E-2</v>
      </c>
      <c r="H24" s="1647" t="s">
        <v>1923</v>
      </c>
      <c r="I24" s="562">
        <f>SUMIF('数据-取费表'!C6:C15,E2,'数据-取费表'!F6:F15)/COUNTIF('数据-取费表'!C6:C15,E2)</f>
        <v>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3932</v>
      </c>
      <c r="C25" s="564">
        <f>IF(B25="容积率修正",IF(G3&lt;10,D26,J26),C27)</f>
        <v>1.5418000000000001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0</v>
      </c>
      <c r="E26" s="3293">
        <f>ROUNDDOWN(G3,1)</f>
        <v>0</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93">
        <f>ROUNDUP(G3,1)</f>
        <v>0</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1.5418000000000001</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1.024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0</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5374</v>
      </c>
      <c r="D33" s="3301">
        <f>'数据-汇总表'!F19</f>
        <v>191.15</v>
      </c>
      <c r="E33" s="3303">
        <f>ROUND(C33*D33/10000,0)</f>
        <v>103</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t="e">
        <f>ROUND(IF(E2="工业",C33*M42,IF(B25="楼层修正",SUM(V2:V16)*M41*10000/D34,C33*M41)),0)</f>
        <v>#DIV/0!</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2"/>
      <c r="B37" s="1697" t="s">
        <v>1951</v>
      </c>
      <c r="C37" s="3298">
        <f>ROUND(D5*C22*C23*C24*C28*F37,0)</f>
        <v>1743</v>
      </c>
      <c r="D37" s="3301"/>
      <c r="E37" s="3300">
        <f>ROUND(C37*D37/10000,0)</f>
        <v>0</v>
      </c>
      <c r="F37" s="3265">
        <f>SUMIF(修正!A59:A70,G2,修正!B59:B70)</f>
        <v>0.5</v>
      </c>
      <c r="G37" s="3300">
        <f>ROUND(IF(E2="工业",C37*$M$42,C37*$M$41),0)</f>
        <v>436</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3"/>
      <c r="B38" s="1628" t="s">
        <v>1952</v>
      </c>
      <c r="C38" s="3298">
        <f>ROUND(D5*C22*C23*C24*C28*F38,0)</f>
        <v>697</v>
      </c>
      <c r="D38" s="3301"/>
      <c r="E38" s="3300">
        <f t="shared" ref="E38:E42" si="4">ROUND(C38*D38/10000,0)</f>
        <v>0</v>
      </c>
      <c r="F38" s="3265">
        <f>SUMIF(修正!A59:A70,G2,修正!C59:C70)</f>
        <v>0.2</v>
      </c>
      <c r="G38" s="3300">
        <f>ROUND(IF(E2="工业",C38*$M$42,C38*$M$41),0)</f>
        <v>174</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3"/>
      <c r="B39" s="1628" t="s">
        <v>3155</v>
      </c>
      <c r="C39" s="3298">
        <f>ROUND(D5*C22*C23*C24*C28*F39,0)</f>
        <v>697</v>
      </c>
      <c r="D39" s="3301"/>
      <c r="E39" s="3300">
        <f t="shared" si="4"/>
        <v>0</v>
      </c>
      <c r="F39" s="3265">
        <f>SUMIF(修正!A59:A70,G2,修正!D59:D70)</f>
        <v>0.2</v>
      </c>
      <c r="G39" s="3300">
        <f>ROUND(IF(E2="工业",C39*$M$42,C39*$M$41),0)</f>
        <v>174</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697</v>
      </c>
      <c r="D40" s="3301"/>
      <c r="E40" s="3300">
        <f t="shared" si="4"/>
        <v>0</v>
      </c>
      <c r="F40" s="3296">
        <f>SUMIF(修正!A59:A70,G2,修正!E59:E70)</f>
        <v>0.2</v>
      </c>
      <c r="G40" s="3300">
        <f>ROUND(IF(E2="工业",C40*$M$42,C40*$M$41),0)</f>
        <v>174</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1.024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2.4E-2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3933</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3933</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3934</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50" t="s">
        <v>3190</v>
      </c>
      <c r="B103" s="4950"/>
      <c r="C103" s="4950"/>
      <c r="D103" s="4950"/>
      <c r="E103" s="4950"/>
      <c r="F103" s="4950"/>
      <c r="G103" s="4950"/>
      <c r="H103" s="4950"/>
      <c r="I103" s="4950"/>
      <c r="J103" s="4950"/>
      <c r="K103" s="2746"/>
      <c r="L103" s="2746"/>
      <c r="M103" s="2746"/>
      <c r="N103" s="2746"/>
    </row>
    <row r="104" spans="1:14">
      <c r="A104" s="4951" t="s">
        <v>3191</v>
      </c>
      <c r="B104" s="4951" t="s">
        <v>3192</v>
      </c>
      <c r="C104" s="2747" t="s">
        <v>3193</v>
      </c>
      <c r="D104" s="2748"/>
      <c r="E104" s="2748"/>
      <c r="F104" s="2748"/>
      <c r="G104" s="2748"/>
      <c r="H104" s="2748"/>
      <c r="I104" s="2748"/>
      <c r="J104" s="2749"/>
      <c r="K104" s="2750"/>
      <c r="L104" s="2750"/>
      <c r="M104" s="2750"/>
      <c r="N104" s="2750"/>
    </row>
    <row r="105" spans="1:14">
      <c r="A105" s="4951"/>
      <c r="B105" s="4951"/>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1"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2"/>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2"/>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2"/>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2"/>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2"/>
      <c r="B111" s="2751" t="s">
        <v>3164</v>
      </c>
      <c r="C111" s="2752">
        <f>$I$3</f>
        <v>1</v>
      </c>
      <c r="D111" s="2752">
        <f t="shared" ref="D111:M111" si="33">$I$3</f>
        <v>1</v>
      </c>
      <c r="E111" s="2752">
        <f t="shared" si="33"/>
        <v>1</v>
      </c>
      <c r="F111" s="2752">
        <f t="shared" si="33"/>
        <v>1</v>
      </c>
      <c r="G111" s="2752">
        <f t="shared" si="33"/>
        <v>1</v>
      </c>
      <c r="H111" s="2752">
        <f t="shared" si="33"/>
        <v>1</v>
      </c>
      <c r="I111" s="2752">
        <f t="shared" si="33"/>
        <v>1</v>
      </c>
      <c r="J111" s="2752">
        <f t="shared" si="33"/>
        <v>1</v>
      </c>
      <c r="K111" s="2752">
        <f t="shared" si="33"/>
        <v>1</v>
      </c>
      <c r="L111" s="2752">
        <f t="shared" si="33"/>
        <v>1</v>
      </c>
      <c r="M111" s="2752">
        <f t="shared" si="33"/>
        <v>1</v>
      </c>
      <c r="N111" s="2752">
        <f>$I$3</f>
        <v>1</v>
      </c>
    </row>
    <row r="112" spans="1:14">
      <c r="A112" s="4943"/>
      <c r="B112" s="2751">
        <v>6</v>
      </c>
      <c r="C112" s="2744">
        <f>(-0.5556*(C111^2)-0.2719*C111+8944)*(10^(-4))</f>
        <v>0.89431725000000006</v>
      </c>
      <c r="D112" s="2744">
        <f>(-0.5556*(D111^2)-0.2719*D111+8944)*(10^(-4))</f>
        <v>0.89431725000000006</v>
      </c>
      <c r="E112" s="2744">
        <f>(-0.7912*(E111^2)-11.3794*E111+8482)*(10^(-4))</f>
        <v>0.84698294000000007</v>
      </c>
      <c r="F112" s="2744">
        <f t="shared" ref="F112:I112" si="34">(-0.7912*(F111^2)-11.3794*F111+8482)*(10^(-4))</f>
        <v>0.84698294000000007</v>
      </c>
      <c r="G112" s="2744">
        <f t="shared" si="34"/>
        <v>0.84698294000000007</v>
      </c>
      <c r="H112" s="2744">
        <f t="shared" si="34"/>
        <v>0.84698294000000007</v>
      </c>
      <c r="I112" s="2744">
        <f t="shared" si="34"/>
        <v>0.84698294000000007</v>
      </c>
      <c r="J112" s="2744">
        <f>(-0.989*(J111^2)-63.78*J111+7771)*(10^(-4))</f>
        <v>0.77062310000000001</v>
      </c>
      <c r="K112" s="2744">
        <f t="shared" ref="K112:N112" si="35">(-0.989*(K111^2)-63.78*K111+7771)*(10^(-4))</f>
        <v>0.77062310000000001</v>
      </c>
      <c r="L112" s="2744">
        <f t="shared" si="35"/>
        <v>0.77062310000000001</v>
      </c>
      <c r="M112" s="2744">
        <f t="shared" si="35"/>
        <v>0.77062310000000001</v>
      </c>
      <c r="N112" s="2744">
        <f t="shared" si="35"/>
        <v>0.77062310000000001</v>
      </c>
    </row>
    <row r="113" spans="1:14">
      <c r="A113" s="4944" t="s">
        <v>3207</v>
      </c>
      <c r="B113" s="4944"/>
      <c r="C113" s="4944"/>
      <c r="D113" s="4944"/>
      <c r="E113" s="4944"/>
      <c r="F113" s="4944"/>
      <c r="G113" s="4944"/>
      <c r="H113" s="4944"/>
      <c r="I113" s="4944"/>
      <c r="J113" s="4944"/>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0</v>
      </c>
      <c r="C116" s="2756" t="s">
        <v>3209</v>
      </c>
      <c r="D116" s="2757">
        <f>SUMPRODUCT((A118:A122=F116)*(B117:M117=H116)*B118:M122)</f>
        <v>0.84860000000000002</v>
      </c>
      <c r="E116" s="1587" t="s">
        <v>3210</v>
      </c>
      <c r="F116" s="2758" t="str">
        <f>E2</f>
        <v>商业</v>
      </c>
      <c r="G116" s="1587" t="s">
        <v>3211</v>
      </c>
      <c r="H116" s="2758" t="str">
        <f>G2</f>
        <v>八级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0.99680000000000002</v>
      </c>
      <c r="C118" s="2744">
        <f>B118</f>
        <v>0.99680000000000002</v>
      </c>
      <c r="D118" s="2744">
        <f>ROUND(0.949-0.014*B116,4)</f>
        <v>0.94899999999999995</v>
      </c>
      <c r="E118" s="2744">
        <f>D118</f>
        <v>0.94899999999999995</v>
      </c>
      <c r="F118" s="2744">
        <f>E118</f>
        <v>0.94899999999999995</v>
      </c>
      <c r="G118" s="2744">
        <f>F118</f>
        <v>0.94899999999999995</v>
      </c>
      <c r="H118" s="2744">
        <f>G118</f>
        <v>0.94899999999999995</v>
      </c>
      <c r="I118" s="2744">
        <f>ROUND(0.8486-0.018*B116,4)</f>
        <v>0.84860000000000002</v>
      </c>
      <c r="J118" s="2744">
        <f t="shared" ref="J118:M122" si="36">I118</f>
        <v>0.84860000000000002</v>
      </c>
      <c r="K118" s="2744">
        <f t="shared" si="36"/>
        <v>0.84860000000000002</v>
      </c>
      <c r="L118" s="2744">
        <f t="shared" si="36"/>
        <v>0.84860000000000002</v>
      </c>
      <c r="M118" s="2767">
        <f t="shared" si="36"/>
        <v>0.84860000000000002</v>
      </c>
      <c r="N118" s="2754"/>
    </row>
    <row r="119" spans="1:14">
      <c r="A119" s="2766" t="s">
        <v>3225</v>
      </c>
      <c r="B119" s="2744">
        <f>ROUND(0.993-0.0112*B116,4)</f>
        <v>0.99299999999999999</v>
      </c>
      <c r="C119" s="2744">
        <f>B119</f>
        <v>0.99299999999999999</v>
      </c>
      <c r="D119" s="2744">
        <f>ROUND(0.9415-0.0142*B116,4)</f>
        <v>0.9415</v>
      </c>
      <c r="E119" s="2744">
        <f t="shared" ref="E119:H120" si="37">D119</f>
        <v>0.9415</v>
      </c>
      <c r="F119" s="2744">
        <f t="shared" si="37"/>
        <v>0.9415</v>
      </c>
      <c r="G119" s="2744">
        <f t="shared" si="37"/>
        <v>0.9415</v>
      </c>
      <c r="H119" s="2744">
        <f t="shared" si="37"/>
        <v>0.9415</v>
      </c>
      <c r="I119" s="2744">
        <f>ROUND(0.838-0.0182*B116,4)</f>
        <v>0.83799999999999997</v>
      </c>
      <c r="J119" s="2744">
        <f t="shared" si="36"/>
        <v>0.83799999999999997</v>
      </c>
      <c r="K119" s="2744">
        <f t="shared" si="36"/>
        <v>0.83799999999999997</v>
      </c>
      <c r="L119" s="2744">
        <f t="shared" si="36"/>
        <v>0.83799999999999997</v>
      </c>
      <c r="M119" s="2767">
        <f t="shared" si="36"/>
        <v>0.83799999999999997</v>
      </c>
      <c r="N119" s="2754"/>
    </row>
    <row r="120" spans="1:14">
      <c r="A120" s="2766" t="s">
        <v>3226</v>
      </c>
      <c r="B120" s="2744">
        <f>ROUND(0.9448-0.0115*B116,4)</f>
        <v>0.94479999999999997</v>
      </c>
      <c r="C120" s="2744">
        <f>B120</f>
        <v>0.94479999999999997</v>
      </c>
      <c r="D120" s="2744">
        <f>ROUND(0.937-0.0145*B116,4)</f>
        <v>0.93700000000000006</v>
      </c>
      <c r="E120" s="2744">
        <f t="shared" si="37"/>
        <v>0.93700000000000006</v>
      </c>
      <c r="F120" s="2744">
        <f t="shared" si="37"/>
        <v>0.93700000000000006</v>
      </c>
      <c r="G120" s="2744">
        <f t="shared" si="37"/>
        <v>0.93700000000000006</v>
      </c>
      <c r="H120" s="2744">
        <f t="shared" si="37"/>
        <v>0.93700000000000006</v>
      </c>
      <c r="I120" s="2744">
        <f>ROUND(0.7965-0.0185*B116,4)</f>
        <v>0.79649999999999999</v>
      </c>
      <c r="J120" s="2744">
        <f t="shared" si="36"/>
        <v>0.79649999999999999</v>
      </c>
      <c r="K120" s="2744">
        <f t="shared" si="36"/>
        <v>0.79649999999999999</v>
      </c>
      <c r="L120" s="2744">
        <f t="shared" si="36"/>
        <v>0.79649999999999999</v>
      </c>
      <c r="M120" s="2767">
        <f t="shared" si="36"/>
        <v>0.79649999999999999</v>
      </c>
      <c r="N120" s="2754"/>
    </row>
    <row r="121" spans="1:14" ht="13.5" thickBot="1">
      <c r="A121" s="2768" t="s">
        <v>3227</v>
      </c>
      <c r="B121" s="2769">
        <f>ROUND(0.7836-0.012*B116,4)</f>
        <v>0.78359999999999996</v>
      </c>
      <c r="C121" s="2769">
        <f>B121</f>
        <v>0.78359999999999996</v>
      </c>
      <c r="D121" s="2769">
        <f>ROUND(0.753-0.015*B116,4)</f>
        <v>0.753</v>
      </c>
      <c r="E121" s="2769">
        <f>D121</f>
        <v>0.753</v>
      </c>
      <c r="F121" s="2769">
        <f>E121</f>
        <v>0.753</v>
      </c>
      <c r="G121" s="2769">
        <f>ROUND(0.6612-0.018*B116,4)</f>
        <v>0.66120000000000001</v>
      </c>
      <c r="H121" s="2769">
        <f>G121</f>
        <v>0.66120000000000001</v>
      </c>
      <c r="I121" s="2769">
        <f>ROUND(0.5905-0.019*B116,4)</f>
        <v>0.59050000000000002</v>
      </c>
      <c r="J121" s="2769">
        <f t="shared" si="36"/>
        <v>0.59050000000000002</v>
      </c>
      <c r="K121" s="2769">
        <f t="shared" si="36"/>
        <v>0.59050000000000002</v>
      </c>
      <c r="L121" s="2769">
        <f t="shared" si="36"/>
        <v>0.59050000000000002</v>
      </c>
      <c r="M121" s="2770">
        <f t="shared" si="36"/>
        <v>0.59050000000000002</v>
      </c>
      <c r="N121" s="2754"/>
    </row>
    <row r="122" spans="1:14">
      <c r="A122" s="2771" t="s">
        <v>2510</v>
      </c>
      <c r="B122" s="2744">
        <f>ROUND(0.9404-0.0106*B116,4)</f>
        <v>0.94040000000000001</v>
      </c>
      <c r="C122" s="2744">
        <f>B122</f>
        <v>0.94040000000000001</v>
      </c>
      <c r="D122" s="2744">
        <f>ROUND(0.8955-0.0135*B116,4)</f>
        <v>0.89549999999999996</v>
      </c>
      <c r="E122" s="2744">
        <f t="shared" ref="E122:H122" si="38">D122</f>
        <v>0.89549999999999996</v>
      </c>
      <c r="F122" s="2744">
        <f t="shared" si="38"/>
        <v>0.89549999999999996</v>
      </c>
      <c r="G122" s="2744">
        <f t="shared" si="38"/>
        <v>0.89549999999999996</v>
      </c>
      <c r="H122" s="2744">
        <f t="shared" si="38"/>
        <v>0.89549999999999996</v>
      </c>
      <c r="I122" s="2744">
        <f>ROUND(0.7632-0.0166*B116,4)</f>
        <v>0.76319999999999999</v>
      </c>
      <c r="J122" s="2744">
        <f t="shared" si="36"/>
        <v>0.76319999999999999</v>
      </c>
      <c r="K122" s="2744">
        <f t="shared" si="36"/>
        <v>0.76319999999999999</v>
      </c>
      <c r="L122" s="2744">
        <f t="shared" si="36"/>
        <v>0.76319999999999999</v>
      </c>
      <c r="M122" s="2767">
        <f t="shared" si="36"/>
        <v>0.76319999999999999</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-88</v>
      </c>
      <c r="C2" s="176" t="s">
        <v>1537</v>
      </c>
      <c r="D2" s="176"/>
      <c r="E2" s="2273"/>
      <c r="F2" s="2273"/>
      <c r="G2" s="2273"/>
      <c r="H2" s="2273"/>
      <c r="I2" s="2273"/>
      <c r="J2" s="2273"/>
      <c r="K2" s="2273"/>
    </row>
    <row r="3" spans="1:33" ht="18" customHeight="1">
      <c r="A3" s="103" t="s">
        <v>1436</v>
      </c>
      <c r="B3" s="2840">
        <f ca="1">ROUND(B2*10000/IF(C1="",'数据-汇总表'!E3,INDIRECT("'数据-取费表'!K"&amp;$K$1)),0)</f>
        <v>-4604</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4" t="s">
        <v>3390</v>
      </c>
      <c r="D6" s="4934"/>
      <c r="E6" s="4934"/>
      <c r="F6" s="4934"/>
      <c r="G6" s="4934"/>
      <c r="H6" s="4934"/>
      <c r="I6" s="4934"/>
      <c r="J6" s="4934"/>
      <c r="K6" s="4935"/>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6" t="s">
        <v>3543</v>
      </c>
      <c r="B11" s="4957"/>
      <c r="C11" s="4957"/>
      <c r="D11" s="4957"/>
      <c r="E11" s="4957"/>
      <c r="F11" s="4957"/>
      <c r="G11" s="4957"/>
      <c r="H11" s="4957"/>
      <c r="I11" s="4957"/>
      <c r="J11" s="4957"/>
      <c r="K11" s="4958"/>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88</v>
      </c>
      <c r="D15" s="589"/>
      <c r="E15" s="178"/>
      <c r="F15" s="3647"/>
      <c r="G15" s="3774" t="s">
        <v>3562</v>
      </c>
      <c r="H15" s="585"/>
      <c r="I15" s="585"/>
      <c r="J15" s="585"/>
      <c r="K15" s="586"/>
    </row>
    <row r="16" spans="1:33" s="582" customFormat="1" ht="13.5" customHeight="1">
      <c r="A16" s="3788" t="s">
        <v>3612</v>
      </c>
      <c r="B16" s="3651" t="s">
        <v>3545</v>
      </c>
      <c r="C16" s="3652">
        <f ca="1">SUM(C17:C22)</f>
        <v>90</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78</v>
      </c>
      <c r="D17" s="3654"/>
      <c r="E17" s="3655"/>
      <c r="F17" s="3667"/>
      <c r="G17" s="3775"/>
      <c r="H17" s="3772"/>
      <c r="I17" s="3772"/>
      <c r="J17" s="3772"/>
      <c r="K17" s="3787"/>
    </row>
    <row r="18" spans="1:33" s="582" customFormat="1" ht="13.5" customHeight="1">
      <c r="A18" s="3789" t="s">
        <v>3551</v>
      </c>
      <c r="B18" s="3638" t="s">
        <v>3552</v>
      </c>
      <c r="C18" s="2817">
        <f ca="1">ROUND(C17*F18,0)</f>
        <v>5</v>
      </c>
      <c r="D18" s="3651"/>
      <c r="E18" s="3651"/>
      <c r="F18" s="3668">
        <f>'数据-取费表'!B33</f>
        <v>0.06</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7</v>
      </c>
      <c r="D20" s="3649">
        <f ca="1">IF(C1="",'数据-汇总表'!E3,INDIRECT("'数据-取费表'!K"&amp;$K$1)+INDIRECT("'数据-取费表'!S"&amp;$K$1))</f>
        <v>191.15</v>
      </c>
      <c r="E20" s="3650">
        <f>'数据-取费表'!B35</f>
        <v>360</v>
      </c>
      <c r="F20" s="3649"/>
      <c r="G20" s="2813"/>
      <c r="H20" s="3772"/>
      <c r="I20" s="3772"/>
      <c r="J20" s="585"/>
      <c r="K20" s="586"/>
    </row>
    <row r="21" spans="1:33" s="582" customFormat="1" ht="13.5" customHeight="1">
      <c r="A21" s="3789" t="s">
        <v>3566</v>
      </c>
      <c r="B21" s="3640" t="s">
        <v>3523</v>
      </c>
      <c r="C21" s="2817">
        <f ca="1">ROUND(C17*F21,0)</f>
        <v>0</v>
      </c>
      <c r="D21" s="3656"/>
      <c r="E21" s="3656"/>
      <c r="F21" s="3668">
        <f>'数据-取费表'!B36</f>
        <v>5.0000000000000001E-3</v>
      </c>
      <c r="G21" s="2813"/>
      <c r="H21" s="3627"/>
      <c r="I21" s="3627"/>
      <c r="J21" s="3627"/>
      <c r="K21" s="3790"/>
    </row>
    <row r="22" spans="1:33" s="582" customFormat="1" ht="13.5" customHeight="1">
      <c r="A22" s="3789" t="s">
        <v>3567</v>
      </c>
      <c r="B22" s="3640" t="s">
        <v>3574</v>
      </c>
      <c r="C22" s="2817">
        <f ca="1">ROUND(C17*F22,0)</f>
        <v>0</v>
      </c>
      <c r="D22" s="3656"/>
      <c r="E22" s="3656"/>
      <c r="F22" s="3668">
        <f>'数据-取费表'!B37</f>
        <v>5.0000000000000001E-3</v>
      </c>
      <c r="G22" s="2813"/>
      <c r="H22" s="3627"/>
      <c r="I22" s="3627"/>
      <c r="J22" s="3627"/>
      <c r="K22" s="3790"/>
    </row>
    <row r="23" spans="1:33" s="583" customFormat="1" ht="13.5" customHeight="1">
      <c r="A23" s="3788" t="s">
        <v>3613</v>
      </c>
      <c r="B23" s="3651" t="s">
        <v>3509</v>
      </c>
      <c r="C23" s="2822">
        <f ca="1">ROUND(C16*F23,0)</f>
        <v>2</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0.01V建</v>
      </c>
      <c r="D24" s="3657"/>
      <c r="E24" s="3657"/>
      <c r="F24" s="3669">
        <f>'数据-取费表'!B39</f>
        <v>0.01</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3+0.0002V建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3</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2.0000000000000001E-4</v>
      </c>
      <c r="D27" s="3628"/>
      <c r="E27" s="3628"/>
      <c r="F27" s="3667"/>
      <c r="G27" s="3778"/>
      <c r="H27" s="3772"/>
      <c r="I27" s="3772"/>
      <c r="J27" s="3772"/>
      <c r="K27" s="3787"/>
    </row>
    <row r="28" spans="1:33" s="582" customFormat="1" ht="13.5" customHeight="1">
      <c r="A28" s="3788" t="s">
        <v>3558</v>
      </c>
      <c r="B28" s="3651" t="s">
        <v>3575</v>
      </c>
      <c r="C28" s="2977" t="str">
        <f ca="1">C29&amp;"+"&amp;C30&amp;"V建"</f>
        <v>18+0.002V建</v>
      </c>
      <c r="D28" s="1108"/>
      <c r="E28" s="1108"/>
      <c r="F28" s="3670">
        <f ca="1">IF(C1="",'数据-取费表'!Q16,INDIRECT("'数据-取费表'!q"&amp;$K$1))</f>
        <v>0.2</v>
      </c>
      <c r="G28" s="4959" t="s">
        <v>3559</v>
      </c>
      <c r="H28" s="3772"/>
      <c r="I28" s="3772"/>
      <c r="J28" s="3772"/>
      <c r="K28" s="3787"/>
    </row>
    <row r="29" spans="1:33" s="582" customFormat="1" ht="13.5" customHeight="1">
      <c r="A29" s="3789" t="s">
        <v>3571</v>
      </c>
      <c r="B29" s="3640" t="s">
        <v>3576</v>
      </c>
      <c r="C29" s="2978">
        <f ca="1">ROUND((C16+C23)*F28,0)</f>
        <v>18</v>
      </c>
      <c r="D29" s="1108"/>
      <c r="E29" s="1108"/>
      <c r="F29" s="3057"/>
      <c r="G29" s="4959"/>
      <c r="H29" s="3779"/>
      <c r="I29" s="3779"/>
      <c r="J29" s="3779"/>
      <c r="K29" s="3792"/>
    </row>
    <row r="30" spans="1:33" s="590" customFormat="1" ht="13.5" customHeight="1">
      <c r="A30" s="3789" t="s">
        <v>3572</v>
      </c>
      <c r="B30" s="3640" t="s">
        <v>3577</v>
      </c>
      <c r="C30" s="2817">
        <f ca="1">ROUND(F24*F28,4)</f>
        <v>2E-3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114</v>
      </c>
      <c r="D32" s="3662"/>
      <c r="E32" s="3663"/>
      <c r="F32" s="3649"/>
      <c r="G32" s="3782" t="s">
        <v>3549</v>
      </c>
      <c r="H32" s="3783"/>
      <c r="I32" s="3783"/>
      <c r="J32" s="3783"/>
      <c r="K32" s="3793"/>
    </row>
    <row r="33" spans="1:11" s="181" customFormat="1" ht="13.5" customHeight="1">
      <c r="A33" s="3788" t="s">
        <v>3570</v>
      </c>
      <c r="B33" s="3664" t="s">
        <v>3560</v>
      </c>
      <c r="C33" s="3665">
        <f ca="1">ROUND(C32*(1-F33),0)</f>
        <v>26</v>
      </c>
      <c r="D33" s="3666"/>
      <c r="E33" s="3628"/>
      <c r="F33" s="3669">
        <f>IF('数据-取费表'!B24=0,'数据-取费表'!N16,1)</f>
        <v>0.77</v>
      </c>
      <c r="G33" s="3774" t="s">
        <v>3561</v>
      </c>
      <c r="H33" s="3779"/>
      <c r="I33" s="3779"/>
      <c r="J33" s="3779"/>
      <c r="K33" s="3792"/>
    </row>
    <row r="34" spans="1:11" s="580" customFormat="1" ht="15.75" thickBot="1">
      <c r="A34" s="3794">
        <v>4</v>
      </c>
      <c r="B34" s="3795" t="s">
        <v>3618</v>
      </c>
      <c r="C34" s="3796">
        <f ca="1">C13-C15</f>
        <v>-88</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1"/>
      <c r="C2" s="4571"/>
      <c r="D2" s="4571"/>
      <c r="E2" s="4571"/>
    </row>
    <row r="3" spans="1:5" ht="18">
      <c r="A3" s="4572" t="str">
        <f>IF(项目基本情况!B9="房地产市场价值","估价结果一览表（市场价值不需“结果表-1”）","估价结果一览表")</f>
        <v>估价结果一览表</v>
      </c>
      <c r="B3" s="4572"/>
      <c r="C3" s="4572"/>
      <c r="D3" s="4572"/>
      <c r="E3" s="4572"/>
    </row>
    <row r="4" spans="1:5" ht="19.5" thickBot="1">
      <c r="A4" s="1137"/>
      <c r="B4" s="4570" t="s">
        <v>903</v>
      </c>
      <c r="C4" s="4570"/>
      <c r="D4" s="4570"/>
      <c r="E4" s="1137"/>
    </row>
    <row r="5" spans="1:5" ht="16.5" thickTop="1">
      <c r="A5" s="1135"/>
      <c r="B5" s="4568" t="s">
        <v>895</v>
      </c>
      <c r="C5" s="1138" t="s">
        <v>896</v>
      </c>
      <c r="D5" s="603">
        <f ca="1">结果表!H101</f>
        <v>218.69470000000001</v>
      </c>
      <c r="E5" s="1135"/>
    </row>
    <row r="6" spans="1:5" ht="31.5">
      <c r="A6" s="1135"/>
      <c r="B6" s="4568"/>
      <c r="C6" s="1138" t="s">
        <v>897</v>
      </c>
      <c r="D6" s="603" t="str">
        <f ca="1">NUMBERSTRING(INT(D5*10000),2)&amp;"元整"</f>
        <v>贰佰壹拾捌万陆仟玖佰肆拾柒元整</v>
      </c>
      <c r="E6" s="1135"/>
    </row>
    <row r="7" spans="1:5" ht="15.75">
      <c r="A7" s="1135"/>
      <c r="B7" s="4573"/>
      <c r="C7" s="1139" t="s">
        <v>898</v>
      </c>
      <c r="D7" s="604">
        <f ca="1">结果表!H102</f>
        <v>11441</v>
      </c>
      <c r="E7" s="1135"/>
    </row>
    <row r="8" spans="1:5" ht="15.75">
      <c r="A8" s="1135"/>
      <c r="B8" s="4574" t="str">
        <f>结果表!E103</f>
        <v>2.估价师知悉的法定优先受偿款</v>
      </c>
      <c r="C8" s="1140" t="s">
        <v>899</v>
      </c>
      <c r="D8" s="604">
        <f>结果表!H103</f>
        <v>0</v>
      </c>
      <c r="E8" s="1135"/>
    </row>
    <row r="9" spans="1:5" ht="15.75">
      <c r="A9" s="1135"/>
      <c r="B9" s="4576"/>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7" t="str">
        <f>结果表!E107</f>
        <v>3.房地产抵押价值</v>
      </c>
      <c r="C13" s="1143" t="s">
        <v>896</v>
      </c>
      <c r="D13" s="606">
        <f ca="1">结果表!H107</f>
        <v>218.69470000000001</v>
      </c>
      <c r="E13" s="1135"/>
    </row>
    <row r="14" spans="1:5" ht="31.5">
      <c r="A14" s="1135"/>
      <c r="B14" s="4568"/>
      <c r="C14" s="1138" t="s">
        <v>897</v>
      </c>
      <c r="D14" s="603" t="str">
        <f ca="1">NUMBERSTRING(INT(D13*10000),2)&amp;"元整"</f>
        <v>贰佰壹拾捌万陆仟玖佰肆拾柒元整</v>
      </c>
      <c r="E14" s="1135"/>
    </row>
    <row r="15" spans="1:5" ht="15">
      <c r="A15" s="1135"/>
      <c r="B15" s="4573"/>
      <c r="C15" s="1139" t="s">
        <v>907</v>
      </c>
      <c r="D15" s="611">
        <f ca="1">结果表!H108</f>
        <v>11441</v>
      </c>
      <c r="E15" s="1135"/>
    </row>
    <row r="16" spans="1:5" ht="15">
      <c r="A16" s="1135"/>
      <c r="B16" s="4574" t="str">
        <f>结果表!E109</f>
        <v>——</v>
      </c>
      <c r="C16" s="1143" t="s">
        <v>908</v>
      </c>
      <c r="D16" s="1144" t="str">
        <f>结果表!H109</f>
        <v>——</v>
      </c>
      <c r="E16" s="1135"/>
    </row>
    <row r="17" spans="1:5" ht="15.75">
      <c r="A17" s="1135"/>
      <c r="B17" s="4575"/>
      <c r="C17" s="1138" t="s">
        <v>909</v>
      </c>
      <c r="D17" s="603" t="e">
        <f>NUMBERSTRING(INT(D16*10000),2)&amp;"元整"</f>
        <v>#VALUE!</v>
      </c>
      <c r="E17" s="1135"/>
    </row>
    <row r="18" spans="1:5" ht="15">
      <c r="A18" s="1135"/>
      <c r="B18" s="4576"/>
      <c r="C18" s="1139" t="s">
        <v>898</v>
      </c>
      <c r="D18" s="611" t="str">
        <f>结果表!H110</f>
        <v>——</v>
      </c>
      <c r="E18" s="1135"/>
    </row>
    <row r="19" spans="1:5" ht="15.75">
      <c r="A19" s="1135"/>
      <c r="B19" s="4567" t="str">
        <f>结果表!E111</f>
        <v>——</v>
      </c>
      <c r="C19" s="1143" t="s">
        <v>896</v>
      </c>
      <c r="D19" s="604" t="str">
        <f>结果表!H111</f>
        <v>——</v>
      </c>
      <c r="E19" s="1135"/>
    </row>
    <row r="20" spans="1:5" ht="15.75">
      <c r="A20" s="1135"/>
      <c r="B20" s="4568"/>
      <c r="C20" s="1138" t="s">
        <v>909</v>
      </c>
      <c r="D20" s="603" t="e">
        <f>NUMBERSTRING(INT(D19*10000),2)&amp;"元整"</f>
        <v>#VALUE!</v>
      </c>
      <c r="E20" s="1135"/>
    </row>
    <row r="21" spans="1:5" ht="15.75" thickBot="1">
      <c r="A21" s="1135"/>
      <c r="B21" s="4569"/>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30489</v>
      </c>
      <c r="C2" s="99" t="s">
        <v>1435</v>
      </c>
      <c r="D2" s="99"/>
      <c r="E2" s="2826"/>
      <c r="F2" s="99"/>
      <c r="G2" s="99"/>
    </row>
    <row r="3" spans="1:7" s="100" customFormat="1" ht="15.75">
      <c r="A3" s="103" t="s">
        <v>1436</v>
      </c>
      <c r="B3" s="2840">
        <f ca="1">ROUND(B2*10000/(IF(C1="",'数据-汇总表'!E3,INDIRECT("'数据-取费表'!k"&amp;$G$1))),0)</f>
        <v>1595030</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38241</v>
      </c>
      <c r="D20" s="3759"/>
      <c r="E20" s="3760"/>
      <c r="F20" s="2874"/>
      <c r="G20" s="3766"/>
    </row>
    <row r="21" spans="1:9" s="123" customFormat="1" ht="15">
      <c r="A21" s="3701" t="s">
        <v>3619</v>
      </c>
      <c r="B21" s="3678" t="s">
        <v>3331</v>
      </c>
      <c r="C21" s="2879">
        <f>IF(G21="已包含在土地购买价格中","0",IF(C1="",'数据-取费表'!B29,IF(G22="全部缴纳",C22+C23,H22)))</f>
        <v>38230</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4</v>
      </c>
      <c r="D23" s="3671">
        <f ca="1">IF(C1="",'数据-汇总表'!E6,IF(INDIRECT("'数据-取费表'!c"&amp;$G$1)="住宅",INDIRECT("'数据-取费表'!s"&amp;$G$1),INDIRECT("'数据-取费表'!k"&amp;$G$1)+INDIRECT("'数据-取费表'!s"&amp;$G$1)))</f>
        <v>191.15</v>
      </c>
      <c r="E23" s="3671">
        <f>'数据-取费表'!B28</f>
        <v>200</v>
      </c>
      <c r="F23" s="2870"/>
      <c r="G23" s="3767"/>
    </row>
    <row r="24" spans="1:9" s="114" customFormat="1" ht="13.5">
      <c r="A24" s="3643" t="s">
        <v>3604</v>
      </c>
      <c r="B24" s="3680" t="s">
        <v>3620</v>
      </c>
      <c r="C24" s="2879">
        <f ca="1">IF(G24="已包含在土地取得成本中","0",ROUND(D24*E24/10000,0))</f>
        <v>4</v>
      </c>
      <c r="D24" s="3672">
        <f ca="1">D22+D23</f>
        <v>191.15</v>
      </c>
      <c r="E24" s="3672">
        <f>'数据-取费表'!B31</f>
        <v>200</v>
      </c>
      <c r="F24" s="3681"/>
      <c r="G24" s="1475"/>
    </row>
    <row r="25" spans="1:9" s="114" customFormat="1" ht="13.5">
      <c r="A25" s="3643" t="s">
        <v>337</v>
      </c>
      <c r="B25" s="3680" t="s">
        <v>3621</v>
      </c>
      <c r="C25" s="2879">
        <f ca="1">ROUND(E25*D25/10000,0)</f>
        <v>7</v>
      </c>
      <c r="D25" s="3672">
        <f ca="1">D24</f>
        <v>191.15</v>
      </c>
      <c r="E25" s="3672">
        <f>'数据-取费表'!B35</f>
        <v>360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7648</v>
      </c>
      <c r="D30" s="2855"/>
      <c r="E30" s="303"/>
      <c r="F30" s="3687">
        <f ca="1">IF(C1="",'数据-取费表'!Q16,INDIRECT("'数据-取费表'!q"&amp;$G$1))</f>
        <v>0.2</v>
      </c>
      <c r="G30" s="3770"/>
    </row>
    <row r="31" spans="1:9" s="114" customFormat="1" ht="15.75">
      <c r="A31" s="2820" t="s">
        <v>3609</v>
      </c>
      <c r="B31" s="2819" t="s">
        <v>3601</v>
      </c>
      <c r="C31" s="2842">
        <f ca="1">C7+C20+C29+C30</f>
        <v>45889</v>
      </c>
      <c r="D31" s="2832"/>
      <c r="E31" s="2832"/>
      <c r="F31" s="2831"/>
      <c r="G31" s="2833" t="s">
        <v>3632</v>
      </c>
    </row>
    <row r="32" spans="1:9" s="114" customFormat="1" ht="15.75">
      <c r="A32" s="2820" t="s">
        <v>3600</v>
      </c>
      <c r="B32" s="2819" t="s">
        <v>3599</v>
      </c>
      <c r="C32" s="3753">
        <f ca="1">ROUND(C31*F32,0)</f>
        <v>4589</v>
      </c>
      <c r="D32" s="135"/>
      <c r="E32" s="136"/>
      <c r="F32" s="3688">
        <v>0.1</v>
      </c>
      <c r="G32" s="3771"/>
    </row>
    <row r="33" spans="1:7" s="114" customFormat="1" ht="15.75">
      <c r="A33" s="3752">
        <v>8</v>
      </c>
      <c r="B33" s="2819" t="s">
        <v>3611</v>
      </c>
      <c r="C33" s="2842">
        <f ca="1">C31+C32</f>
        <v>50478</v>
      </c>
      <c r="D33" s="2832"/>
      <c r="E33" s="2832"/>
      <c r="F33" s="3689"/>
      <c r="G33" s="2833" t="s">
        <v>3631</v>
      </c>
    </row>
    <row r="34" spans="1:7" s="123" customFormat="1" ht="16.5" thickBot="1">
      <c r="A34" s="3703">
        <v>9</v>
      </c>
      <c r="B34" s="3704" t="s">
        <v>3610</v>
      </c>
      <c r="C34" s="2842">
        <f ca="1">ROUND(C33*F34,0)</f>
        <v>30489</v>
      </c>
      <c r="D34" s="3705"/>
      <c r="E34" s="3705"/>
      <c r="F34" s="3755">
        <f>'数据-取费表'!AS16</f>
        <v>0.60399999999999998</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71" t="s">
        <v>2505</v>
      </c>
      <c r="B20" s="4964" t="s">
        <v>2526</v>
      </c>
      <c r="C20" s="2805" t="s">
        <v>2337</v>
      </c>
      <c r="D20" s="2805"/>
      <c r="E20" s="3455">
        <v>1</v>
      </c>
      <c r="F20" s="2490" t="s">
        <v>2338</v>
      </c>
      <c r="G20" s="2490"/>
    </row>
    <row r="21" spans="1:13" ht="19.5" customHeight="1">
      <c r="A21" s="4972"/>
      <c r="B21" s="4960"/>
      <c r="C21" s="2798" t="s">
        <v>2339</v>
      </c>
      <c r="D21" s="2798"/>
      <c r="E21" s="3456">
        <v>1</v>
      </c>
      <c r="F21" s="2490" t="s">
        <v>2340</v>
      </c>
      <c r="G21" s="2490"/>
    </row>
    <row r="22" spans="1:13" ht="19.5" customHeight="1">
      <c r="A22" s="4972"/>
      <c r="B22" s="4960"/>
      <c r="C22" s="2798" t="s">
        <v>2341</v>
      </c>
      <c r="D22" s="2798"/>
      <c r="E22" s="3456">
        <v>0.9</v>
      </c>
      <c r="F22" s="2490" t="s">
        <v>2342</v>
      </c>
      <c r="G22" s="2490"/>
    </row>
    <row r="23" spans="1:13" ht="19.5" customHeight="1">
      <c r="A23" s="4972"/>
      <c r="B23" s="4960"/>
      <c r="C23" s="2798" t="s">
        <v>2343</v>
      </c>
      <c r="D23" s="2798"/>
      <c r="E23" s="3456">
        <v>0.9</v>
      </c>
      <c r="F23" s="2490" t="s">
        <v>2344</v>
      </c>
      <c r="G23" s="2490"/>
    </row>
    <row r="24" spans="1:13" ht="19.5" customHeight="1">
      <c r="A24" s="4972"/>
      <c r="B24" s="4960"/>
      <c r="C24" s="2798" t="s">
        <v>2345</v>
      </c>
      <c r="D24" s="2798"/>
      <c r="E24" s="3456">
        <v>0.8</v>
      </c>
      <c r="F24" s="2490" t="s">
        <v>2346</v>
      </c>
      <c r="G24" s="2490"/>
    </row>
    <row r="25" spans="1:13" ht="19.5" customHeight="1">
      <c r="A25" s="4972"/>
      <c r="B25" s="4960"/>
      <c r="C25" s="2798" t="s">
        <v>2347</v>
      </c>
      <c r="D25" s="2798"/>
      <c r="E25" s="3456">
        <v>0.8</v>
      </c>
      <c r="F25" s="2490"/>
      <c r="G25" s="2490"/>
    </row>
    <row r="26" spans="1:13" ht="19.5" customHeight="1">
      <c r="A26" s="4972"/>
      <c r="B26" s="4960"/>
      <c r="C26" s="2801" t="s">
        <v>3286</v>
      </c>
      <c r="D26" s="2801"/>
      <c r="E26" s="3456">
        <v>0.43</v>
      </c>
      <c r="F26" s="2490"/>
      <c r="G26" s="2490"/>
    </row>
    <row r="27" spans="1:13" ht="19.5" customHeight="1" thickBot="1">
      <c r="A27" s="4973"/>
      <c r="B27" s="4965"/>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6" t="s">
        <v>2529</v>
      </c>
      <c r="B29" s="4969" t="s">
        <v>2510</v>
      </c>
      <c r="C29" s="2488" t="s">
        <v>2350</v>
      </c>
      <c r="D29" s="2489"/>
      <c r="E29" s="3455">
        <v>1</v>
      </c>
      <c r="F29" s="2490" t="s">
        <v>2351</v>
      </c>
      <c r="G29" s="2490"/>
    </row>
    <row r="30" spans="1:13" ht="19.5" customHeight="1">
      <c r="A30" s="4967"/>
      <c r="B30" s="4963"/>
      <c r="C30" s="2491" t="s">
        <v>2352</v>
      </c>
      <c r="D30" s="2492"/>
      <c r="E30" s="3456">
        <v>1</v>
      </c>
      <c r="F30" s="2490" t="s">
        <v>2353</v>
      </c>
      <c r="G30" s="2490"/>
    </row>
    <row r="31" spans="1:13" ht="19.5" customHeight="1">
      <c r="A31" s="4967"/>
      <c r="B31" s="4963"/>
      <c r="C31" s="2491" t="s">
        <v>2354</v>
      </c>
      <c r="D31" s="2492"/>
      <c r="E31" s="3456">
        <v>0.8</v>
      </c>
      <c r="F31" s="2490" t="s">
        <v>2355</v>
      </c>
      <c r="G31" s="2490"/>
    </row>
    <row r="32" spans="1:13" ht="19.5" customHeight="1">
      <c r="A32" s="4967"/>
      <c r="B32" s="4963"/>
      <c r="C32" s="2491" t="s">
        <v>2356</v>
      </c>
      <c r="D32" s="2492"/>
      <c r="E32" s="3456">
        <v>0.8</v>
      </c>
      <c r="F32" s="2490" t="s">
        <v>2357</v>
      </c>
      <c r="G32" s="2490"/>
    </row>
    <row r="33" spans="1:7" ht="19.5" customHeight="1">
      <c r="A33" s="4967"/>
      <c r="B33" s="4963"/>
      <c r="C33" s="2491" t="s">
        <v>2358</v>
      </c>
      <c r="D33" s="2492"/>
      <c r="E33" s="3456">
        <v>0.8</v>
      </c>
      <c r="F33" s="2490" t="s">
        <v>2359</v>
      </c>
      <c r="G33" s="2490"/>
    </row>
    <row r="34" spans="1:7" ht="19.5" customHeight="1">
      <c r="A34" s="4967"/>
      <c r="B34" s="4963"/>
      <c r="C34" s="2491" t="s">
        <v>2360</v>
      </c>
      <c r="D34" s="2492"/>
      <c r="E34" s="3456">
        <v>0.7</v>
      </c>
      <c r="F34" s="2490" t="s">
        <v>2361</v>
      </c>
      <c r="G34" s="2490"/>
    </row>
    <row r="35" spans="1:7" ht="19.5" customHeight="1">
      <c r="A35" s="4967"/>
      <c r="B35" s="4963"/>
      <c r="C35" s="2491" t="s">
        <v>2362</v>
      </c>
      <c r="D35" s="2492"/>
      <c r="E35" s="3456">
        <v>0.8</v>
      </c>
      <c r="F35" s="2490" t="s">
        <v>2363</v>
      </c>
      <c r="G35" s="2490"/>
    </row>
    <row r="36" spans="1:7" ht="19.5" customHeight="1">
      <c r="A36" s="4967"/>
      <c r="B36" s="4963"/>
      <c r="C36" s="2491" t="s">
        <v>2364</v>
      </c>
      <c r="D36" s="2492"/>
      <c r="E36" s="3456">
        <v>0.6</v>
      </c>
      <c r="F36" s="2490" t="s">
        <v>2365</v>
      </c>
      <c r="G36" s="2490"/>
    </row>
    <row r="37" spans="1:7" ht="19.5" customHeight="1">
      <c r="A37" s="4967"/>
      <c r="B37" s="4963"/>
      <c r="C37" s="2491" t="s">
        <v>2366</v>
      </c>
      <c r="D37" s="2492"/>
      <c r="E37" s="3456">
        <v>0.2</v>
      </c>
      <c r="F37" s="2490" t="s">
        <v>2367</v>
      </c>
      <c r="G37" s="2490"/>
    </row>
    <row r="38" spans="1:7" ht="19.5" customHeight="1">
      <c r="A38" s="4967"/>
      <c r="B38" s="4963"/>
      <c r="C38" s="2491" t="s">
        <v>2368</v>
      </c>
      <c r="D38" s="2492"/>
      <c r="E38" s="3456">
        <v>0.2</v>
      </c>
      <c r="F38" s="2490" t="s">
        <v>2369</v>
      </c>
      <c r="G38" s="2490"/>
    </row>
    <row r="39" spans="1:7" ht="19.5" customHeight="1">
      <c r="A39" s="4967"/>
      <c r="B39" s="4961" t="s">
        <v>2530</v>
      </c>
      <c r="C39" s="2491" t="s">
        <v>2370</v>
      </c>
      <c r="D39" s="2492"/>
      <c r="E39" s="3456">
        <v>0.6</v>
      </c>
      <c r="F39" s="2490" t="s">
        <v>2371</v>
      </c>
      <c r="G39" s="2490"/>
    </row>
    <row r="40" spans="1:7" ht="19.5" customHeight="1">
      <c r="A40" s="4967"/>
      <c r="B40" s="4963"/>
      <c r="C40" s="2491" t="s">
        <v>2372</v>
      </c>
      <c r="D40" s="2492"/>
      <c r="E40" s="3456">
        <v>0.6</v>
      </c>
      <c r="F40" s="2490" t="s">
        <v>2373</v>
      </c>
      <c r="G40" s="2490"/>
    </row>
    <row r="41" spans="1:7" ht="19.5" customHeight="1" thickBot="1">
      <c r="A41" s="4968"/>
      <c r="B41" s="4970"/>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71" t="s">
        <v>2508</v>
      </c>
      <c r="B43" s="4969" t="s">
        <v>2532</v>
      </c>
      <c r="C43" s="2488" t="s">
        <v>2377</v>
      </c>
      <c r="D43" s="2489"/>
      <c r="E43" s="3455">
        <v>1</v>
      </c>
      <c r="F43" s="2490" t="s">
        <v>2378</v>
      </c>
      <c r="G43" s="2490"/>
    </row>
    <row r="44" spans="1:7" ht="19.5" customHeight="1">
      <c r="A44" s="4972"/>
      <c r="B44" s="4963"/>
      <c r="C44" s="2491" t="s">
        <v>2379</v>
      </c>
      <c r="D44" s="2492"/>
      <c r="E44" s="3456">
        <v>1</v>
      </c>
      <c r="F44" s="2490" t="s">
        <v>2380</v>
      </c>
      <c r="G44" s="2490"/>
    </row>
    <row r="45" spans="1:7" ht="19.5" customHeight="1">
      <c r="A45" s="4972"/>
      <c r="B45" s="4962"/>
      <c r="C45" s="2491" t="s">
        <v>2381</v>
      </c>
      <c r="D45" s="2492"/>
      <c r="E45" s="3456">
        <v>1.5</v>
      </c>
      <c r="F45" s="2490" t="s">
        <v>2382</v>
      </c>
      <c r="G45" s="2490"/>
    </row>
    <row r="46" spans="1:7" ht="19.5" customHeight="1">
      <c r="A46" s="4972"/>
      <c r="B46" s="2499" t="s">
        <v>2533</v>
      </c>
      <c r="C46" s="2491" t="s">
        <v>2534</v>
      </c>
      <c r="D46" s="2492"/>
      <c r="E46" s="3456">
        <v>2</v>
      </c>
      <c r="F46" s="2490" t="s">
        <v>2383</v>
      </c>
      <c r="G46" s="2490"/>
    </row>
    <row r="47" spans="1:7" ht="19.5" customHeight="1">
      <c r="A47" s="4972"/>
      <c r="B47" s="4961" t="s">
        <v>2535</v>
      </c>
      <c r="C47" s="2491" t="s">
        <v>2384</v>
      </c>
      <c r="D47" s="2492"/>
      <c r="E47" s="3456">
        <v>1</v>
      </c>
      <c r="F47" s="2490" t="s">
        <v>2385</v>
      </c>
      <c r="G47" s="2490"/>
    </row>
    <row r="48" spans="1:7" ht="19.5" customHeight="1">
      <c r="A48" s="4972"/>
      <c r="B48" s="4963"/>
      <c r="C48" s="2491" t="s">
        <v>2386</v>
      </c>
      <c r="D48" s="2492"/>
      <c r="E48" s="3456">
        <v>1</v>
      </c>
      <c r="F48" s="2490" t="s">
        <v>2387</v>
      </c>
      <c r="G48" s="2490"/>
    </row>
    <row r="49" spans="1:7" ht="19.5" customHeight="1">
      <c r="A49" s="4972"/>
      <c r="B49" s="4963"/>
      <c r="C49" s="2491" t="s">
        <v>2388</v>
      </c>
      <c r="D49" s="2492"/>
      <c r="E49" s="3456">
        <v>1</v>
      </c>
      <c r="F49" s="2490" t="s">
        <v>2389</v>
      </c>
      <c r="G49" s="2490"/>
    </row>
    <row r="50" spans="1:7" ht="19.5" customHeight="1">
      <c r="A50" s="4972"/>
      <c r="B50" s="4963"/>
      <c r="C50" s="2491" t="s">
        <v>2390</v>
      </c>
      <c r="D50" s="2492"/>
      <c r="E50" s="3456">
        <v>1</v>
      </c>
      <c r="F50" s="2490" t="s">
        <v>2391</v>
      </c>
      <c r="G50" s="2490"/>
    </row>
    <row r="51" spans="1:7" ht="19.5" customHeight="1">
      <c r="A51" s="4972"/>
      <c r="B51" s="4963"/>
      <c r="C51" s="2491" t="s">
        <v>2392</v>
      </c>
      <c r="D51" s="2492"/>
      <c r="E51" s="3456">
        <v>1</v>
      </c>
      <c r="F51" s="2490" t="s">
        <v>2393</v>
      </c>
      <c r="G51" s="2490"/>
    </row>
    <row r="52" spans="1:7" ht="19.5" customHeight="1">
      <c r="A52" s="4972"/>
      <c r="B52" s="4963"/>
      <c r="C52" s="2491" t="s">
        <v>2394</v>
      </c>
      <c r="D52" s="2492"/>
      <c r="E52" s="3456">
        <v>1</v>
      </c>
      <c r="F52" s="2490" t="s">
        <v>2395</v>
      </c>
      <c r="G52" s="2490"/>
    </row>
    <row r="53" spans="1:7" ht="19.5" customHeight="1" thickBot="1">
      <c r="A53" s="4973"/>
      <c r="B53" s="4970"/>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1" t="s">
        <v>2549</v>
      </c>
      <c r="C75" s="2479" t="s">
        <v>2550</v>
      </c>
      <c r="D75" s="2479" t="s">
        <v>2551</v>
      </c>
      <c r="E75" s="3461">
        <v>0.2</v>
      </c>
      <c r="F75" s="3462">
        <v>25</v>
      </c>
    </row>
    <row r="76" spans="1:7" ht="24">
      <c r="A76" s="2499">
        <v>2</v>
      </c>
      <c r="B76" s="4963"/>
      <c r="C76" s="2479" t="s">
        <v>2552</v>
      </c>
      <c r="D76" s="2479" t="s">
        <v>2553</v>
      </c>
      <c r="E76" s="3461">
        <v>0.2</v>
      </c>
      <c r="F76" s="3462">
        <v>25</v>
      </c>
    </row>
    <row r="77" spans="1:7" ht="24">
      <c r="A77" s="2499">
        <v>3</v>
      </c>
      <c r="B77" s="4963"/>
      <c r="C77" s="2479" t="s">
        <v>2554</v>
      </c>
      <c r="D77" s="2479" t="s">
        <v>2555</v>
      </c>
      <c r="E77" s="3461">
        <v>0.2</v>
      </c>
      <c r="F77" s="3462">
        <v>25</v>
      </c>
    </row>
    <row r="78" spans="1:7" ht="13.5">
      <c r="A78" s="2499">
        <v>4</v>
      </c>
      <c r="B78" s="4963"/>
      <c r="C78" s="2479" t="s">
        <v>2556</v>
      </c>
      <c r="D78" s="2479" t="s">
        <v>2557</v>
      </c>
      <c r="E78" s="3461">
        <v>0.15</v>
      </c>
      <c r="F78" s="3462">
        <v>20</v>
      </c>
    </row>
    <row r="79" spans="1:7" ht="24">
      <c r="A79" s="2499">
        <v>5</v>
      </c>
      <c r="B79" s="4963"/>
      <c r="C79" s="2479" t="s">
        <v>2558</v>
      </c>
      <c r="D79" s="2479" t="s">
        <v>2559</v>
      </c>
      <c r="E79" s="3461">
        <v>0.15</v>
      </c>
      <c r="F79" s="3462">
        <v>20</v>
      </c>
    </row>
    <row r="80" spans="1:7" ht="24">
      <c r="A80" s="2499">
        <v>6</v>
      </c>
      <c r="B80" s="4963"/>
      <c r="C80" s="2479" t="s">
        <v>2560</v>
      </c>
      <c r="D80" s="2479" t="s">
        <v>2561</v>
      </c>
      <c r="E80" s="3461">
        <v>0.15</v>
      </c>
      <c r="F80" s="3462">
        <v>20</v>
      </c>
    </row>
    <row r="81" spans="1:6" ht="24">
      <c r="A81" s="2499">
        <v>7</v>
      </c>
      <c r="B81" s="4963"/>
      <c r="C81" s="2479" t="s">
        <v>2562</v>
      </c>
      <c r="D81" s="2479" t="s">
        <v>2563</v>
      </c>
      <c r="E81" s="3461">
        <v>0.15</v>
      </c>
      <c r="F81" s="3462">
        <v>20</v>
      </c>
    </row>
    <row r="82" spans="1:6" ht="24">
      <c r="A82" s="2499">
        <v>8</v>
      </c>
      <c r="B82" s="4963"/>
      <c r="C82" s="2479" t="s">
        <v>2564</v>
      </c>
      <c r="D82" s="2479" t="s">
        <v>2565</v>
      </c>
      <c r="E82" s="3461">
        <v>0.1</v>
      </c>
      <c r="F82" s="3462">
        <v>15</v>
      </c>
    </row>
    <row r="83" spans="1:6" ht="24">
      <c r="A83" s="2499">
        <v>9</v>
      </c>
      <c r="B83" s="4963"/>
      <c r="C83" s="2479" t="s">
        <v>2566</v>
      </c>
      <c r="D83" s="2479" t="s">
        <v>2567</v>
      </c>
      <c r="E83" s="3461">
        <v>0.1</v>
      </c>
      <c r="F83" s="3462">
        <v>15</v>
      </c>
    </row>
    <row r="84" spans="1:6" ht="24">
      <c r="A84" s="2499">
        <v>10</v>
      </c>
      <c r="B84" s="4963"/>
      <c r="C84" s="2479" t="s">
        <v>2568</v>
      </c>
      <c r="D84" s="2479" t="s">
        <v>2569</v>
      </c>
      <c r="E84" s="3461">
        <v>0.1</v>
      </c>
      <c r="F84" s="3462">
        <v>15</v>
      </c>
    </row>
    <row r="85" spans="1:6" ht="24">
      <c r="A85" s="2499">
        <v>11</v>
      </c>
      <c r="B85" s="4963"/>
      <c r="C85" s="2479" t="s">
        <v>2570</v>
      </c>
      <c r="D85" s="2479" t="s">
        <v>2571</v>
      </c>
      <c r="E85" s="3461">
        <v>0.1</v>
      </c>
      <c r="F85" s="3462">
        <v>15</v>
      </c>
    </row>
    <row r="86" spans="1:6" ht="24">
      <c r="A86" s="2499">
        <v>12</v>
      </c>
      <c r="B86" s="4963"/>
      <c r="C86" s="2479" t="s">
        <v>2572</v>
      </c>
      <c r="D86" s="2479" t="s">
        <v>2573</v>
      </c>
      <c r="E86" s="3461">
        <v>0.1</v>
      </c>
      <c r="F86" s="3462">
        <v>15</v>
      </c>
    </row>
    <row r="87" spans="1:6" ht="13.5">
      <c r="A87" s="2499">
        <v>13</v>
      </c>
      <c r="B87" s="4963"/>
      <c r="C87" s="2479" t="s">
        <v>2574</v>
      </c>
      <c r="D87" s="2479" t="s">
        <v>2575</v>
      </c>
      <c r="E87" s="3461">
        <v>0.1</v>
      </c>
      <c r="F87" s="3462">
        <v>15</v>
      </c>
    </row>
    <row r="88" spans="1:6" ht="13.5">
      <c r="A88" s="2499">
        <v>14</v>
      </c>
      <c r="B88" s="4963"/>
      <c r="C88" s="2479" t="s">
        <v>2576</v>
      </c>
      <c r="D88" s="2479" t="s">
        <v>2577</v>
      </c>
      <c r="E88" s="3461">
        <v>0.1</v>
      </c>
      <c r="F88" s="3462">
        <v>15</v>
      </c>
    </row>
    <row r="89" spans="1:6" ht="13.5">
      <c r="A89" s="2499">
        <v>15</v>
      </c>
      <c r="B89" s="4963"/>
      <c r="C89" s="2479" t="s">
        <v>2578</v>
      </c>
      <c r="D89" s="2479" t="s">
        <v>2579</v>
      </c>
      <c r="E89" s="3461">
        <v>0.1</v>
      </c>
      <c r="F89" s="3462">
        <v>15</v>
      </c>
    </row>
    <row r="90" spans="1:6" ht="24">
      <c r="A90" s="2499">
        <v>16</v>
      </c>
      <c r="B90" s="4963"/>
      <c r="C90" s="2479" t="s">
        <v>2580</v>
      </c>
      <c r="D90" s="2479" t="s">
        <v>2581</v>
      </c>
      <c r="E90" s="3461">
        <v>0.1</v>
      </c>
      <c r="F90" s="3462">
        <v>15</v>
      </c>
    </row>
    <row r="91" spans="1:6" ht="24">
      <c r="A91" s="2499">
        <v>17</v>
      </c>
      <c r="B91" s="4962"/>
      <c r="C91" s="2479" t="s">
        <v>2582</v>
      </c>
      <c r="D91" s="2479" t="s">
        <v>2583</v>
      </c>
      <c r="E91" s="3461">
        <v>0.1</v>
      </c>
      <c r="F91" s="3462">
        <v>15</v>
      </c>
    </row>
    <row r="92" spans="1:6" ht="13.5">
      <c r="A92" s="2499">
        <v>18</v>
      </c>
      <c r="B92" s="4961" t="s">
        <v>2584</v>
      </c>
      <c r="C92" s="2479" t="s">
        <v>2585</v>
      </c>
      <c r="D92" s="2479" t="s">
        <v>2586</v>
      </c>
      <c r="E92" s="3461">
        <v>0.2</v>
      </c>
      <c r="F92" s="3462">
        <v>25</v>
      </c>
    </row>
    <row r="93" spans="1:6" ht="24">
      <c r="A93" s="2499">
        <v>19</v>
      </c>
      <c r="B93" s="4963"/>
      <c r="C93" s="2479" t="s">
        <v>2587</v>
      </c>
      <c r="D93" s="2479" t="s">
        <v>2588</v>
      </c>
      <c r="E93" s="3461">
        <v>0.2</v>
      </c>
      <c r="F93" s="3462">
        <v>25</v>
      </c>
    </row>
    <row r="94" spans="1:6" ht="13.5">
      <c r="A94" s="2499">
        <v>20</v>
      </c>
      <c r="B94" s="4963"/>
      <c r="C94" s="2479" t="s">
        <v>2589</v>
      </c>
      <c r="D94" s="2479" t="s">
        <v>2590</v>
      </c>
      <c r="E94" s="3461">
        <v>0.15</v>
      </c>
      <c r="F94" s="3462">
        <v>20</v>
      </c>
    </row>
    <row r="95" spans="1:6" ht="13.5">
      <c r="A95" s="2499">
        <v>21</v>
      </c>
      <c r="B95" s="4963"/>
      <c r="C95" s="2479" t="s">
        <v>2591</v>
      </c>
      <c r="D95" s="2479" t="s">
        <v>2592</v>
      </c>
      <c r="E95" s="3461">
        <v>0.15</v>
      </c>
      <c r="F95" s="3462">
        <v>20</v>
      </c>
    </row>
    <row r="96" spans="1:6" ht="13.5">
      <c r="A96" s="2499">
        <v>22</v>
      </c>
      <c r="B96" s="4963"/>
      <c r="C96" s="2479" t="s">
        <v>2593</v>
      </c>
      <c r="D96" s="2479" t="s">
        <v>2594</v>
      </c>
      <c r="E96" s="3461">
        <v>0.15</v>
      </c>
      <c r="F96" s="3462">
        <v>20</v>
      </c>
    </row>
    <row r="97" spans="1:6" ht="36">
      <c r="A97" s="2499">
        <v>23</v>
      </c>
      <c r="B97" s="4963"/>
      <c r="C97" s="2479" t="s">
        <v>2595</v>
      </c>
      <c r="D97" s="2479" t="s">
        <v>2596</v>
      </c>
      <c r="E97" s="3461">
        <v>0.15</v>
      </c>
      <c r="F97" s="3462">
        <v>20</v>
      </c>
    </row>
    <row r="98" spans="1:6" ht="13.5">
      <c r="A98" s="2499">
        <v>24</v>
      </c>
      <c r="B98" s="4963"/>
      <c r="C98" s="2479" t="s">
        <v>2597</v>
      </c>
      <c r="D98" s="2479" t="s">
        <v>2598</v>
      </c>
      <c r="E98" s="3461">
        <v>0.1</v>
      </c>
      <c r="F98" s="3462">
        <v>15</v>
      </c>
    </row>
    <row r="99" spans="1:6" ht="13.5">
      <c r="A99" s="2499">
        <v>25</v>
      </c>
      <c r="B99" s="4963"/>
      <c r="C99" s="2479" t="s">
        <v>2599</v>
      </c>
      <c r="D99" s="2479" t="s">
        <v>2600</v>
      </c>
      <c r="E99" s="3461">
        <v>0.1</v>
      </c>
      <c r="F99" s="3462">
        <v>15</v>
      </c>
    </row>
    <row r="100" spans="1:6" ht="24">
      <c r="A100" s="2499">
        <v>26</v>
      </c>
      <c r="B100" s="4963"/>
      <c r="C100" s="2479" t="s">
        <v>2601</v>
      </c>
      <c r="D100" s="2479" t="s">
        <v>2602</v>
      </c>
      <c r="E100" s="3461">
        <v>0.1</v>
      </c>
      <c r="F100" s="3462">
        <v>15</v>
      </c>
    </row>
    <row r="101" spans="1:6" ht="24">
      <c r="A101" s="2499">
        <v>27</v>
      </c>
      <c r="B101" s="4963"/>
      <c r="C101" s="2479" t="s">
        <v>2603</v>
      </c>
      <c r="D101" s="2479" t="s">
        <v>2604</v>
      </c>
      <c r="E101" s="3461">
        <v>0.1</v>
      </c>
      <c r="F101" s="3462">
        <v>15</v>
      </c>
    </row>
    <row r="102" spans="1:6" ht="13.5">
      <c r="A102" s="2499">
        <v>28</v>
      </c>
      <c r="B102" s="4963"/>
      <c r="C102" s="2479" t="s">
        <v>2605</v>
      </c>
      <c r="D102" s="2479" t="s">
        <v>2606</v>
      </c>
      <c r="E102" s="3461">
        <v>0.1</v>
      </c>
      <c r="F102" s="3462">
        <v>15</v>
      </c>
    </row>
    <row r="103" spans="1:6" ht="13.5">
      <c r="A103" s="2499">
        <v>29</v>
      </c>
      <c r="B103" s="4963"/>
      <c r="C103" s="2479" t="s">
        <v>2607</v>
      </c>
      <c r="D103" s="2479" t="s">
        <v>2608</v>
      </c>
      <c r="E103" s="3461">
        <v>0.1</v>
      </c>
      <c r="F103" s="3462">
        <v>15</v>
      </c>
    </row>
    <row r="104" spans="1:6" ht="13.5">
      <c r="A104" s="2499">
        <v>30</v>
      </c>
      <c r="B104" s="4963"/>
      <c r="C104" s="2479" t="s">
        <v>2609</v>
      </c>
      <c r="D104" s="2479" t="s">
        <v>2610</v>
      </c>
      <c r="E104" s="3461">
        <v>0.1</v>
      </c>
      <c r="F104" s="3462">
        <v>15</v>
      </c>
    </row>
    <row r="105" spans="1:6" ht="24">
      <c r="A105" s="2499">
        <v>31</v>
      </c>
      <c r="B105" s="4963"/>
      <c r="C105" s="2479" t="s">
        <v>2611</v>
      </c>
      <c r="D105" s="2479" t="s">
        <v>2612</v>
      </c>
      <c r="E105" s="3461">
        <v>0.1</v>
      </c>
      <c r="F105" s="3462">
        <v>15</v>
      </c>
    </row>
    <row r="106" spans="1:6" ht="24">
      <c r="A106" s="2499">
        <v>32</v>
      </c>
      <c r="B106" s="4963"/>
      <c r="C106" s="2479" t="s">
        <v>2613</v>
      </c>
      <c r="D106" s="2479" t="s">
        <v>2614</v>
      </c>
      <c r="E106" s="3461">
        <v>0.1</v>
      </c>
      <c r="F106" s="3462">
        <v>15</v>
      </c>
    </row>
    <row r="107" spans="1:6" ht="24">
      <c r="A107" s="2499">
        <v>33</v>
      </c>
      <c r="B107" s="4963"/>
      <c r="C107" s="2479" t="s">
        <v>2615</v>
      </c>
      <c r="D107" s="2479" t="s">
        <v>2616</v>
      </c>
      <c r="E107" s="3461">
        <v>0.1</v>
      </c>
      <c r="F107" s="3462">
        <v>15</v>
      </c>
    </row>
    <row r="108" spans="1:6" ht="24">
      <c r="A108" s="2499">
        <v>34</v>
      </c>
      <c r="B108" s="4962"/>
      <c r="C108" s="2479" t="s">
        <v>2617</v>
      </c>
      <c r="D108" s="2479" t="s">
        <v>2618</v>
      </c>
      <c r="E108" s="3461">
        <v>0.1</v>
      </c>
      <c r="F108" s="3462">
        <v>15</v>
      </c>
    </row>
    <row r="109" spans="1:6" ht="24">
      <c r="A109" s="2499">
        <v>35</v>
      </c>
      <c r="B109" s="4961" t="s">
        <v>2619</v>
      </c>
      <c r="C109" s="2499" t="s">
        <v>2620</v>
      </c>
      <c r="D109" s="2479" t="s">
        <v>2621</v>
      </c>
      <c r="E109" s="3461">
        <v>0.15</v>
      </c>
      <c r="F109" s="3462">
        <v>20</v>
      </c>
    </row>
    <row r="110" spans="1:6" ht="13.5">
      <c r="A110" s="2499">
        <v>36</v>
      </c>
      <c r="B110" s="4963"/>
      <c r="C110" s="2499" t="s">
        <v>2622</v>
      </c>
      <c r="D110" s="2479" t="s">
        <v>2623</v>
      </c>
      <c r="E110" s="3461">
        <v>0.15</v>
      </c>
      <c r="F110" s="3462">
        <v>20</v>
      </c>
    </row>
    <row r="111" spans="1:6" ht="13.5">
      <c r="A111" s="2499">
        <v>37</v>
      </c>
      <c r="B111" s="4963"/>
      <c r="C111" s="2499" t="s">
        <v>2624</v>
      </c>
      <c r="D111" s="2479" t="s">
        <v>2625</v>
      </c>
      <c r="E111" s="3461">
        <v>0.15</v>
      </c>
      <c r="F111" s="3462">
        <v>20</v>
      </c>
    </row>
    <row r="112" spans="1:6" ht="13.5">
      <c r="A112" s="2499">
        <v>38</v>
      </c>
      <c r="B112" s="4963"/>
      <c r="C112" s="2499" t="s">
        <v>2626</v>
      </c>
      <c r="D112" s="2479" t="s">
        <v>2627</v>
      </c>
      <c r="E112" s="3461">
        <v>0.1</v>
      </c>
      <c r="F112" s="3462">
        <v>15</v>
      </c>
    </row>
    <row r="113" spans="1:6" ht="24">
      <c r="A113" s="2499">
        <v>39</v>
      </c>
      <c r="B113" s="4963"/>
      <c r="C113" s="2499" t="s">
        <v>2628</v>
      </c>
      <c r="D113" s="2479" t="s">
        <v>2629</v>
      </c>
      <c r="E113" s="3461">
        <v>0.1</v>
      </c>
      <c r="F113" s="3462">
        <v>15</v>
      </c>
    </row>
    <row r="114" spans="1:6" ht="24">
      <c r="A114" s="2499">
        <v>40</v>
      </c>
      <c r="B114" s="4962"/>
      <c r="C114" s="2499" t="s">
        <v>2630</v>
      </c>
      <c r="D114" s="2479" t="s">
        <v>2631</v>
      </c>
      <c r="E114" s="3461">
        <v>0.1</v>
      </c>
      <c r="F114" s="3462">
        <v>15</v>
      </c>
    </row>
    <row r="115" spans="1:6" ht="13.5">
      <c r="A115" s="2499">
        <v>41</v>
      </c>
      <c r="B115" s="4960" t="s">
        <v>2632</v>
      </c>
      <c r="C115" s="2499" t="s">
        <v>2633</v>
      </c>
      <c r="D115" s="2479" t="s">
        <v>2634</v>
      </c>
      <c r="E115" s="3461">
        <v>0.1</v>
      </c>
      <c r="F115" s="3462">
        <v>15</v>
      </c>
    </row>
    <row r="116" spans="1:6" ht="13.5">
      <c r="A116" s="2499">
        <v>42</v>
      </c>
      <c r="B116" s="4960"/>
      <c r="C116" s="2499" t="s">
        <v>2635</v>
      </c>
      <c r="D116" s="2479" t="s">
        <v>2636</v>
      </c>
      <c r="E116" s="3461">
        <v>0.1</v>
      </c>
      <c r="F116" s="3462">
        <v>15</v>
      </c>
    </row>
    <row r="117" spans="1:6" ht="24">
      <c r="A117" s="2499">
        <v>43</v>
      </c>
      <c r="B117" s="4960"/>
      <c r="C117" s="2499" t="s">
        <v>2637</v>
      </c>
      <c r="D117" s="2479" t="s">
        <v>2638</v>
      </c>
      <c r="E117" s="3461">
        <v>0.1</v>
      </c>
      <c r="F117" s="3462">
        <v>15</v>
      </c>
    </row>
    <row r="118" spans="1:6" ht="13.5">
      <c r="A118" s="2499">
        <v>44</v>
      </c>
      <c r="B118" s="4961" t="s">
        <v>2639</v>
      </c>
      <c r="C118" s="2499" t="s">
        <v>2640</v>
      </c>
      <c r="D118" s="2479" t="s">
        <v>2641</v>
      </c>
      <c r="E118" s="3461">
        <v>0.1</v>
      </c>
      <c r="F118" s="3462">
        <v>15</v>
      </c>
    </row>
    <row r="119" spans="1:6" ht="24">
      <c r="A119" s="2499">
        <v>45</v>
      </c>
      <c r="B119" s="4962"/>
      <c r="C119" s="2479" t="s">
        <v>2642</v>
      </c>
      <c r="D119" s="2479" t="s">
        <v>2643</v>
      </c>
      <c r="E119" s="3461">
        <v>0.1</v>
      </c>
      <c r="F119" s="3462">
        <v>15</v>
      </c>
    </row>
    <row r="120" spans="1:6" ht="24">
      <c r="A120" s="2499">
        <v>46</v>
      </c>
      <c r="B120" s="4961" t="s">
        <v>2644</v>
      </c>
      <c r="C120" s="2499" t="s">
        <v>2645</v>
      </c>
      <c r="D120" s="2479" t="s">
        <v>2646</v>
      </c>
      <c r="E120" s="3461">
        <v>0.1</v>
      </c>
      <c r="F120" s="3462">
        <v>15</v>
      </c>
    </row>
    <row r="121" spans="1:6" ht="24">
      <c r="A121" s="2499">
        <v>47</v>
      </c>
      <c r="B121" s="4962"/>
      <c r="C121" s="2499" t="s">
        <v>2647</v>
      </c>
      <c r="D121" s="2479" t="s">
        <v>2648</v>
      </c>
      <c r="E121" s="3461">
        <v>0.1</v>
      </c>
      <c r="F121" s="3462">
        <v>15</v>
      </c>
    </row>
    <row r="122" spans="1:6" ht="13.5">
      <c r="A122" s="2499">
        <v>48</v>
      </c>
      <c r="B122" s="4961" t="s">
        <v>2649</v>
      </c>
      <c r="C122" s="2499" t="s">
        <v>2650</v>
      </c>
      <c r="D122" s="2479" t="s">
        <v>2651</v>
      </c>
      <c r="E122" s="3461">
        <v>0.1</v>
      </c>
      <c r="F122" s="3462">
        <v>15</v>
      </c>
    </row>
    <row r="123" spans="1:6" ht="13.5">
      <c r="A123" s="2499">
        <v>49</v>
      </c>
      <c r="B123" s="4962"/>
      <c r="C123" s="2499" t="s">
        <v>2652</v>
      </c>
      <c r="D123" s="2479" t="s">
        <v>2653</v>
      </c>
      <c r="E123" s="3461">
        <v>0.1</v>
      </c>
      <c r="F123" s="3462">
        <v>15</v>
      </c>
    </row>
    <row r="124" spans="1:6" ht="24">
      <c r="A124" s="2499">
        <v>50</v>
      </c>
      <c r="B124" s="4960" t="s">
        <v>2654</v>
      </c>
      <c r="C124" s="2499" t="s">
        <v>2655</v>
      </c>
      <c r="D124" s="2479" t="s">
        <v>2656</v>
      </c>
      <c r="E124" s="3461">
        <v>0.1</v>
      </c>
      <c r="F124" s="3462">
        <v>15</v>
      </c>
    </row>
    <row r="125" spans="1:6" ht="24">
      <c r="A125" s="2499">
        <v>51</v>
      </c>
      <c r="B125" s="4960"/>
      <c r="C125" s="2499" t="s">
        <v>2657</v>
      </c>
      <c r="D125" s="2479" t="s">
        <v>2658</v>
      </c>
      <c r="E125" s="3461">
        <v>0.1</v>
      </c>
      <c r="F125" s="3462">
        <v>15</v>
      </c>
    </row>
    <row r="126" spans="1:6" ht="24">
      <c r="A126" s="2499">
        <v>52</v>
      </c>
      <c r="B126" s="4960" t="s">
        <v>2659</v>
      </c>
      <c r="C126" s="2499" t="s">
        <v>2660</v>
      </c>
      <c r="D126" s="2479" t="s">
        <v>2661</v>
      </c>
      <c r="E126" s="3461">
        <v>0.1</v>
      </c>
      <c r="F126" s="3462">
        <v>15</v>
      </c>
    </row>
    <row r="127" spans="1:6" ht="24">
      <c r="A127" s="2499">
        <v>53</v>
      </c>
      <c r="B127" s="4960"/>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0" t="s">
        <v>2667</v>
      </c>
      <c r="C129" s="2499" t="s">
        <v>2668</v>
      </c>
      <c r="D129" s="2479" t="s">
        <v>2669</v>
      </c>
      <c r="E129" s="3461">
        <v>0.1</v>
      </c>
      <c r="F129" s="3462">
        <v>15</v>
      </c>
    </row>
    <row r="130" spans="1:6" ht="13.5">
      <c r="A130" s="2499">
        <v>56</v>
      </c>
      <c r="B130" s="4960"/>
      <c r="C130" s="2499" t="s">
        <v>2670</v>
      </c>
      <c r="D130" s="2479" t="s">
        <v>2671</v>
      </c>
      <c r="E130" s="3461">
        <v>0.1</v>
      </c>
      <c r="F130" s="3462">
        <v>15</v>
      </c>
    </row>
    <row r="131" spans="1:6" ht="24">
      <c r="A131" s="2499">
        <v>57</v>
      </c>
      <c r="B131" s="4960"/>
      <c r="C131" s="2499" t="s">
        <v>2672</v>
      </c>
      <c r="D131" s="2479" t="s">
        <v>2673</v>
      </c>
      <c r="E131" s="3461">
        <v>0.1</v>
      </c>
      <c r="F131" s="3462">
        <v>15</v>
      </c>
    </row>
    <row r="132" spans="1:6" ht="24">
      <c r="A132" s="2499">
        <v>58</v>
      </c>
      <c r="B132" s="4960" t="s">
        <v>2674</v>
      </c>
      <c r="C132" s="2499" t="s">
        <v>2675</v>
      </c>
      <c r="D132" s="2479" t="s">
        <v>2676</v>
      </c>
      <c r="E132" s="3461">
        <v>0.1</v>
      </c>
      <c r="F132" s="3462">
        <v>15</v>
      </c>
    </row>
    <row r="133" spans="1:6" ht="13.5">
      <c r="A133" s="2499">
        <v>59</v>
      </c>
      <c r="B133" s="4960"/>
      <c r="C133" s="2499" t="s">
        <v>2677</v>
      </c>
      <c r="D133" s="2479" t="s">
        <v>2678</v>
      </c>
      <c r="E133" s="3461">
        <v>0.1</v>
      </c>
      <c r="F133" s="3462">
        <v>15</v>
      </c>
    </row>
    <row r="134" spans="1:6" ht="13.5">
      <c r="A134" s="2499">
        <v>60</v>
      </c>
      <c r="B134" s="4961" t="s">
        <v>2679</v>
      </c>
      <c r="C134" s="2499" t="s">
        <v>2680</v>
      </c>
      <c r="D134" s="2479" t="s">
        <v>2681</v>
      </c>
      <c r="E134" s="3461">
        <v>0.1</v>
      </c>
      <c r="F134" s="3462">
        <v>15</v>
      </c>
    </row>
    <row r="135" spans="1:6" ht="13.5">
      <c r="A135" s="2499">
        <v>61</v>
      </c>
      <c r="B135" s="4962"/>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0" t="s">
        <v>2687</v>
      </c>
      <c r="C137" s="2499" t="s">
        <v>2688</v>
      </c>
      <c r="D137" s="2479" t="s">
        <v>2689</v>
      </c>
      <c r="E137" s="3461">
        <v>0.1</v>
      </c>
      <c r="F137" s="3462">
        <v>15</v>
      </c>
    </row>
    <row r="138" spans="1:6" ht="13.5">
      <c r="A138" s="2499">
        <v>64</v>
      </c>
      <c r="B138" s="4960"/>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0</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26973</v>
      </c>
      <c r="C2" s="2" t="s">
        <v>104</v>
      </c>
      <c r="D2" s="99"/>
      <c r="E2" s="99"/>
      <c r="F2" s="99"/>
      <c r="G2" s="99"/>
    </row>
    <row r="3" spans="1:7" s="100" customFormat="1" ht="18" customHeight="1" thickBot="1">
      <c r="A3" s="103" t="s">
        <v>56</v>
      </c>
      <c r="B3" s="104">
        <f ca="1">ROUND(B2*10000/'数据-汇总表'!E3,0)</f>
        <v>1411091</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4</v>
      </c>
      <c r="D10" s="598">
        <f>'数据-汇总表'!E6</f>
        <v>191.15</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4</v>
      </c>
      <c r="D19" s="602">
        <f>'数据-汇总表'!E3</f>
        <v>191.15</v>
      </c>
      <c r="E19" s="111">
        <f>'数据-取费表'!B31</f>
        <v>200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0.01</v>
      </c>
      <c r="D21" s="136" t="s">
        <v>97</v>
      </c>
      <c r="E21" s="132"/>
      <c r="F21" s="133">
        <f>'数据-取费表'!B39</f>
        <v>0.01</v>
      </c>
      <c r="G21" s="134" t="s">
        <v>77</v>
      </c>
    </row>
    <row r="22" spans="1:7" s="114" customFormat="1" ht="13.5" customHeight="1">
      <c r="A22" s="567" t="s">
        <v>339</v>
      </c>
      <c r="B22" s="110" t="s">
        <v>78</v>
      </c>
      <c r="C22" s="813">
        <f ca="1">ROUND(SUM(C23:C25),0)</f>
        <v>1323</v>
      </c>
      <c r="D22" s="135">
        <f ca="1">C26</f>
        <v>2.9999999999999997E-4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4205</v>
      </c>
      <c r="D27" s="135">
        <f>C29</f>
        <v>2E-3</v>
      </c>
      <c r="E27" s="136" t="s">
        <v>97</v>
      </c>
      <c r="F27" s="146">
        <f>'数据-取费表'!Q16</f>
        <v>0.2</v>
      </c>
      <c r="G27" s="147" t="s">
        <v>425</v>
      </c>
    </row>
    <row r="28" spans="1:7" s="114" customFormat="1" ht="13.5" customHeight="1">
      <c r="A28" s="570" t="s">
        <v>347</v>
      </c>
      <c r="B28" s="148" t="s">
        <v>418</v>
      </c>
      <c r="C28" s="149">
        <f>ROUND((C5+C19+C20)*F27*'数据-取费表'!B21/'数据-取费表'!B20,0)</f>
        <v>4205</v>
      </c>
      <c r="D28" s="135"/>
      <c r="E28" s="136"/>
      <c r="F28" s="146"/>
      <c r="G28" s="147"/>
    </row>
    <row r="29" spans="1:7" s="114" customFormat="1" ht="13.5" customHeight="1">
      <c r="A29" s="570" t="s">
        <v>345</v>
      </c>
      <c r="B29" s="148" t="s">
        <v>419</v>
      </c>
      <c r="C29" s="138">
        <f>ROUND(C21*F27*'数据-取费表'!B21/'数据-取费表'!B20,4)</f>
        <v>2E-3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26885</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90</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78</v>
      </c>
      <c r="D34" s="117"/>
      <c r="E34" s="120"/>
      <c r="F34" s="157">
        <f>IF('数据-取费表'!B24=0,1,'数据-取费表'!N16)</f>
        <v>1</v>
      </c>
      <c r="G34" s="119" t="s">
        <v>87</v>
      </c>
    </row>
    <row r="35" spans="1:7" ht="13.5" customHeight="1">
      <c r="A35" s="570" t="s">
        <v>349</v>
      </c>
      <c r="B35" s="115" t="s">
        <v>31</v>
      </c>
      <c r="C35" s="120">
        <f>ROUND(C34*F35,0)</f>
        <v>5</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7</v>
      </c>
      <c r="D37" s="117">
        <f>'数据-汇总表'!E3</f>
        <v>191.15</v>
      </c>
      <c r="E37" s="149">
        <f>'数据-取费表'!B35</f>
        <v>360</v>
      </c>
      <c r="F37" s="159"/>
      <c r="G37" s="161" t="s">
        <v>90</v>
      </c>
    </row>
    <row r="38" spans="1:7" ht="13.5" customHeight="1">
      <c r="A38" s="570" t="s">
        <v>352</v>
      </c>
      <c r="B38" s="115" t="s">
        <v>34</v>
      </c>
      <c r="C38" s="120">
        <f>ROUND(C34*F38,0)</f>
        <v>0</v>
      </c>
      <c r="D38" s="120"/>
      <c r="E38" s="120"/>
      <c r="F38" s="159">
        <f>'数据-取费表'!B36</f>
        <v>5.0000000000000001E-3</v>
      </c>
      <c r="G38" s="119" t="s">
        <v>88</v>
      </c>
    </row>
    <row r="39" spans="1:7" s="114" customFormat="1" ht="13.5" customHeight="1">
      <c r="A39" s="567" t="s">
        <v>336</v>
      </c>
      <c r="B39" s="110" t="s">
        <v>75</v>
      </c>
      <c r="C39" s="132">
        <f>ROUND(C33*F20,0)</f>
        <v>2</v>
      </c>
      <c r="D39" s="132"/>
      <c r="E39" s="132"/>
      <c r="F39" s="133"/>
      <c r="G39" s="777" t="s">
        <v>427</v>
      </c>
    </row>
    <row r="40" spans="1:7" s="114" customFormat="1" ht="13.5" customHeight="1">
      <c r="A40" s="567" t="s">
        <v>337</v>
      </c>
      <c r="B40" s="110" t="s">
        <v>76</v>
      </c>
      <c r="C40" s="162">
        <f>F21</f>
        <v>0.01</v>
      </c>
      <c r="D40" s="136" t="s">
        <v>100</v>
      </c>
      <c r="E40" s="132"/>
      <c r="F40" s="133"/>
      <c r="G40" s="134" t="s">
        <v>91</v>
      </c>
    </row>
    <row r="41" spans="1:7" s="114" customFormat="1" ht="13.5" customHeight="1">
      <c r="A41" s="567" t="s">
        <v>338</v>
      </c>
      <c r="B41" s="110" t="s">
        <v>78</v>
      </c>
      <c r="C41" s="132">
        <f ca="1">ROUND(SUM(C42:C43),0)</f>
        <v>3</v>
      </c>
      <c r="D41" s="135">
        <f ca="1">C44</f>
        <v>2.9999999999999997E-4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v>
      </c>
      <c r="D42" s="138"/>
      <c r="E42" s="138"/>
      <c r="F42" s="139"/>
      <c r="G42" s="4777" t="s">
        <v>92</v>
      </c>
    </row>
    <row r="43" spans="1:7" ht="13.5" customHeight="1">
      <c r="A43" s="570" t="s">
        <v>345</v>
      </c>
      <c r="B43" s="115" t="s">
        <v>420</v>
      </c>
      <c r="C43" s="138">
        <f ca="1">ROUND(IF('数据-取费表'!B22&lt;=1,C39*F22*'数据-取费表'!B21/2,C39*(POWER((1+F22),'数据-取费表'!B21/2)-1)),0)</f>
        <v>0</v>
      </c>
      <c r="D43" s="138"/>
      <c r="E43" s="138"/>
      <c r="F43" s="139"/>
      <c r="G43" s="4779"/>
    </row>
    <row r="44" spans="1:7" ht="13.5" customHeight="1">
      <c r="A44" s="570" t="s">
        <v>346</v>
      </c>
      <c r="B44" s="115" t="s">
        <v>422</v>
      </c>
      <c r="C44" s="138">
        <f ca="1">ROUND(IF('数据-取费表'!B22&lt;=1,C40*F22*'数据-取费表'!B21/2,C40*(POWER((1+F22),'数据-取费表'!B21/2)-1)),4)</f>
        <v>2.9999999999999997E-4</v>
      </c>
      <c r="D44" s="138"/>
      <c r="E44" s="138"/>
      <c r="F44" s="139"/>
      <c r="G44" s="4778"/>
    </row>
    <row r="45" spans="1:7" s="114" customFormat="1" ht="13.5" customHeight="1">
      <c r="A45" s="567" t="s">
        <v>339</v>
      </c>
      <c r="B45" s="144" t="s">
        <v>83</v>
      </c>
      <c r="C45" s="145">
        <f>C46</f>
        <v>18</v>
      </c>
      <c r="D45" s="135">
        <f>C47</f>
        <v>2E-3</v>
      </c>
      <c r="E45" s="136" t="s">
        <v>100</v>
      </c>
      <c r="F45" s="146"/>
      <c r="G45" s="147" t="s">
        <v>428</v>
      </c>
    </row>
    <row r="46" spans="1:7" s="114" customFormat="1" ht="13.5" customHeight="1">
      <c r="A46" s="570" t="s">
        <v>347</v>
      </c>
      <c r="B46" s="148" t="s">
        <v>421</v>
      </c>
      <c r="C46" s="149">
        <f>ROUND((C33+C39)*F27,0)</f>
        <v>18</v>
      </c>
      <c r="D46" s="163"/>
      <c r="E46" s="136"/>
      <c r="F46" s="146"/>
      <c r="G46" s="147"/>
    </row>
    <row r="47" spans="1:7" s="114" customFormat="1" ht="13.5" customHeight="1">
      <c r="A47" s="570" t="s">
        <v>345</v>
      </c>
      <c r="B47" s="148" t="s">
        <v>423</v>
      </c>
      <c r="C47" s="138">
        <f>ROUND(C40*F27,4)</f>
        <v>2E-3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114</v>
      </c>
      <c r="D49" s="132"/>
      <c r="E49" s="132"/>
      <c r="F49" s="164"/>
      <c r="G49" s="134" t="s">
        <v>429</v>
      </c>
    </row>
    <row r="50" spans="1:7" s="158" customFormat="1" ht="24">
      <c r="A50" s="567" t="s">
        <v>342</v>
      </c>
      <c r="B50" s="110" t="s">
        <v>95</v>
      </c>
      <c r="C50" s="132"/>
      <c r="D50" s="132"/>
      <c r="E50" s="132"/>
      <c r="F50" s="164">
        <f>IF('数据-取费表'!B24=0,'数据-取费表'!N16,1)</f>
        <v>0.77</v>
      </c>
      <c r="G50" s="147" t="s">
        <v>96</v>
      </c>
    </row>
    <row r="51" spans="1:7" ht="16.5" customHeight="1">
      <c r="A51" s="567" t="s">
        <v>343</v>
      </c>
      <c r="B51" s="110" t="s">
        <v>103</v>
      </c>
      <c r="C51" s="132">
        <f ca="1">ROUND(C49*F50,0)</f>
        <v>88</v>
      </c>
      <c r="D51" s="132"/>
      <c r="E51" s="132"/>
      <c r="F51" s="164"/>
      <c r="G51" s="134" t="s">
        <v>35</v>
      </c>
    </row>
    <row r="52" spans="1:7" s="108" customFormat="1" ht="16.5" thickBot="1">
      <c r="A52" s="165" t="s">
        <v>36</v>
      </c>
      <c r="B52" s="166"/>
      <c r="C52" s="167">
        <f ca="1">C31+C51</f>
        <v>26973</v>
      </c>
      <c r="D52" s="166"/>
      <c r="E52" s="166"/>
      <c r="F52" s="166"/>
      <c r="G52" s="168"/>
    </row>
    <row r="55" spans="1:7" ht="15">
      <c r="B55" s="170" t="s">
        <v>37</v>
      </c>
      <c r="C55" s="171"/>
    </row>
    <row r="56" spans="1:7">
      <c r="B56" s="173" t="s">
        <v>38</v>
      </c>
      <c r="C56" s="174">
        <f ca="1">ROUND(C51/C52,3)</f>
        <v>3.0000000000000001E-3</v>
      </c>
    </row>
    <row r="57" spans="1:7">
      <c r="B57" s="173" t="s">
        <v>39</v>
      </c>
      <c r="C57" s="175">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4" t="s">
        <v>3079</v>
      </c>
      <c r="B1" s="4974"/>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5" t="s">
        <v>3130</v>
      </c>
      <c r="B1" s="4975"/>
      <c r="C1" s="4975"/>
      <c r="D1" s="4975"/>
      <c r="E1" s="4975"/>
      <c r="F1" s="4976"/>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9">
        <f>基准地价修正!G23</f>
        <v>46047</v>
      </c>
      <c r="B1" s="2578" t="s">
        <v>3273</v>
      </c>
      <c r="C1" s="2579"/>
      <c r="D1" s="2579"/>
      <c r="E1" s="2579"/>
      <c r="F1" s="2579"/>
      <c r="G1" s="2579"/>
      <c r="H1" s="2579"/>
      <c r="I1" s="2579"/>
      <c r="J1" s="2545"/>
      <c r="K1" s="2579" t="s">
        <v>448</v>
      </c>
      <c r="L1" s="2579"/>
      <c r="M1" s="2579"/>
      <c r="N1" s="2579"/>
      <c r="O1" s="2579"/>
      <c r="P1" s="2579"/>
      <c r="Q1" s="2545"/>
      <c r="R1" s="4977" t="s">
        <v>450</v>
      </c>
      <c r="S1" s="4978"/>
      <c r="T1" s="4978"/>
      <c r="U1" s="4978"/>
      <c r="V1" s="4978"/>
      <c r="W1" s="4978"/>
      <c r="X1" s="2545"/>
      <c r="Y1" s="4977" t="s">
        <v>451</v>
      </c>
      <c r="Z1" s="4978"/>
      <c r="AA1" s="4978"/>
      <c r="AB1" s="4978"/>
      <c r="AC1" s="4978"/>
      <c r="AD1" s="4978"/>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7" t="s">
        <v>2725</v>
      </c>
      <c r="S33" s="4978"/>
      <c r="T33" s="4978"/>
      <c r="U33" s="4978"/>
      <c r="V33" s="4978"/>
      <c r="W33" s="4978"/>
      <c r="X33" s="2545"/>
      <c r="Y33" s="4977" t="s">
        <v>2726</v>
      </c>
      <c r="Z33" s="4978"/>
      <c r="AA33" s="4978"/>
      <c r="AB33" s="4978"/>
      <c r="AC33" s="4978"/>
      <c r="AD33" s="4978"/>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4" t="s">
        <v>446</v>
      </c>
      <c r="C1" s="4984"/>
      <c r="D1" s="4984"/>
      <c r="E1" s="4984"/>
      <c r="F1" s="4984"/>
      <c r="G1" s="4983" t="s">
        <v>447</v>
      </c>
      <c r="H1" s="4983"/>
      <c r="I1" s="4983"/>
      <c r="J1" s="4983"/>
      <c r="K1" s="4983"/>
      <c r="L1" s="4983"/>
      <c r="N1" s="4983" t="s">
        <v>448</v>
      </c>
      <c r="O1" s="4983"/>
      <c r="P1" s="4983"/>
      <c r="Q1" s="4983"/>
      <c r="S1" s="4983" t="s">
        <v>449</v>
      </c>
      <c r="T1" s="4983"/>
      <c r="U1" s="4983"/>
      <c r="V1" s="4983"/>
      <c r="X1" s="4982" t="s">
        <v>450</v>
      </c>
      <c r="Y1" s="4983"/>
      <c r="Z1" s="4983"/>
      <c r="AA1" s="4983"/>
      <c r="AB1" s="4983"/>
      <c r="AD1" s="4982" t="s">
        <v>451</v>
      </c>
      <c r="AE1" s="4983"/>
      <c r="AF1" s="4983"/>
      <c r="AG1" s="4983"/>
      <c r="AH1" s="4983"/>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0">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0"/>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0"/>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9"/>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5">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0"/>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0"/>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9"/>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5">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0"/>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0"/>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1"/>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79">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0"/>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0"/>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1"/>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79">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0"/>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0"/>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1"/>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6">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7"/>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7"/>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8"/>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79">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0"/>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0"/>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1"/>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79">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0">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0">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1">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79">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0">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0">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1">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79">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0">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0">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1">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79">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0">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0">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1">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79">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0">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0">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1">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79">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0">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0">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1">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79">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0">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0">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1">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79">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0">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0">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1">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79">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0">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0">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1">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79">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0">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0">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1">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2" t="s">
        <v>2737</v>
      </c>
      <c r="B1" s="4992"/>
      <c r="C1" s="4992"/>
      <c r="D1" s="4992"/>
      <c r="E1" s="4992"/>
      <c r="F1" s="4992"/>
      <c r="G1" s="4993"/>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90"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1"/>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46047</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84" t="str">
        <f>IF(项目基本情况!B9="房地产市场价值","估价结果一览表","结果表-2")</f>
        <v>结果表-2</v>
      </c>
      <c r="B1" s="4584"/>
      <c r="C1" s="4584"/>
      <c r="D1" s="4584"/>
      <c r="E1" s="4584"/>
      <c r="F1" s="4584"/>
      <c r="G1" s="4584"/>
      <c r="H1" s="4584"/>
      <c r="I1" s="4584"/>
    </row>
    <row r="2" spans="1:9" ht="30" customHeight="1" thickTop="1">
      <c r="A2" s="4585" t="s">
        <v>914</v>
      </c>
      <c r="B2" s="4585" t="s">
        <v>915</v>
      </c>
      <c r="C2" s="4585" t="s">
        <v>916</v>
      </c>
      <c r="D2" s="4585" t="str">
        <f>结果表!D116</f>
        <v>出让国有建设用地使用权价值</v>
      </c>
      <c r="E2" s="4585"/>
      <c r="F2" s="4585">
        <f>结果表!F116</f>
        <v>0</v>
      </c>
      <c r="G2" s="4585"/>
      <c r="H2" s="4585" t="str">
        <f>IF(项目基本情况!B9="房地产市场价值","房地产市场价值","房地产价值")</f>
        <v>房地产价值</v>
      </c>
      <c r="I2" s="4585"/>
    </row>
    <row r="3" spans="1:9" ht="15">
      <c r="A3" s="4580"/>
      <c r="B3" s="4580"/>
      <c r="C3" s="4580"/>
      <c r="D3" s="607" t="s">
        <v>911</v>
      </c>
      <c r="E3" s="607" t="s">
        <v>917</v>
      </c>
      <c r="F3" s="607" t="s">
        <v>911</v>
      </c>
      <c r="G3" s="607" t="s">
        <v>912</v>
      </c>
      <c r="H3" s="607" t="s">
        <v>911</v>
      </c>
      <c r="I3" s="607" t="s">
        <v>912</v>
      </c>
    </row>
    <row r="4" spans="1:9" ht="15">
      <c r="A4" s="1149" t="str">
        <f>项目基本情况!S2</f>
        <v>北京市房地产</v>
      </c>
      <c r="B4" s="607">
        <f>项目基本情况!C17</f>
        <v>191.15</v>
      </c>
      <c r="C4" s="607">
        <f>项目基本情况!C18</f>
        <v>0</v>
      </c>
      <c r="D4" s="607">
        <f>结果表!D118</f>
        <v>0</v>
      </c>
      <c r="E4" s="607">
        <f>结果表!E118</f>
        <v>0</v>
      </c>
      <c r="F4" s="607">
        <f>结果表!F118</f>
        <v>0</v>
      </c>
      <c r="G4" s="607">
        <f>结果表!G118</f>
        <v>0</v>
      </c>
      <c r="H4" s="607">
        <f ca="1">结果表!H118</f>
        <v>218.69470000000001</v>
      </c>
      <c r="I4" s="607">
        <f ca="1">结果表!I118</f>
        <v>11441</v>
      </c>
    </row>
    <row r="5" spans="1:9" ht="30" customHeight="1">
      <c r="A5" s="4580" t="s">
        <v>913</v>
      </c>
      <c r="B5" s="4580"/>
      <c r="C5" s="4580"/>
      <c r="D5" s="4580" t="str">
        <f>结果表!D119</f>
        <v>零元整</v>
      </c>
      <c r="E5" s="4580"/>
      <c r="F5" s="4580" t="str">
        <f>结果表!F119</f>
        <v>零元整</v>
      </c>
      <c r="G5" s="4580"/>
      <c r="H5" s="4580" t="str">
        <f ca="1">结果表!H119</f>
        <v>贰佰壹拾捌万陆仟玖佰肆拾柒元整</v>
      </c>
      <c r="I5" s="4580"/>
    </row>
    <row r="6" spans="1:9" ht="15.75">
      <c r="A6" s="4579" t="str">
        <f>结果表!A120</f>
        <v>估价师知悉的法定优先受偿款</v>
      </c>
      <c r="B6" s="4579"/>
      <c r="C6" s="4579"/>
      <c r="D6" s="4579">
        <f>结果表!D120</f>
        <v>0</v>
      </c>
      <c r="E6" s="4579"/>
      <c r="F6" s="4579"/>
      <c r="G6" s="4579"/>
      <c r="H6" s="4579"/>
      <c r="I6" s="4579"/>
    </row>
    <row r="7" spans="1:9" ht="15">
      <c r="A7" s="4580" t="s">
        <v>913</v>
      </c>
      <c r="B7" s="4580"/>
      <c r="C7" s="4580"/>
      <c r="D7" s="4581" t="str">
        <f>结果表!D121</f>
        <v>零元整</v>
      </c>
      <c r="E7" s="4582"/>
      <c r="F7" s="4582"/>
      <c r="G7" s="4582"/>
      <c r="H7" s="4582"/>
      <c r="I7" s="4583"/>
    </row>
    <row r="8" spans="1:9" ht="15.75">
      <c r="A8" s="4579" t="str">
        <f>结果表!A122</f>
        <v>房地产抵押价值</v>
      </c>
      <c r="B8" s="4579"/>
      <c r="C8" s="4579"/>
      <c r="D8" s="4579">
        <f ca="1">结果表!D122</f>
        <v>218.69470000000001</v>
      </c>
      <c r="E8" s="4579"/>
      <c r="F8" s="4579"/>
      <c r="G8" s="4579"/>
      <c r="H8" s="4579"/>
      <c r="I8" s="4579"/>
    </row>
    <row r="9" spans="1:9" ht="15">
      <c r="A9" s="4580" t="s">
        <v>913</v>
      </c>
      <c r="B9" s="4580"/>
      <c r="C9" s="4580"/>
      <c r="D9" s="4580" t="str">
        <f ca="1">结果表!D123</f>
        <v>贰佰壹拾捌万陆仟玖佰肆拾柒元整</v>
      </c>
      <c r="E9" s="4580"/>
      <c r="F9" s="4580"/>
      <c r="G9" s="4580"/>
      <c r="H9" s="4580"/>
      <c r="I9" s="4580"/>
    </row>
    <row r="10" spans="1:9" ht="15.75">
      <c r="A10" s="4579" t="str">
        <f>结果表!A124</f>
        <v/>
      </c>
      <c r="B10" s="4579"/>
      <c r="C10" s="4579"/>
      <c r="D10" s="4579" t="str">
        <f>结果表!D124</f>
        <v>——</v>
      </c>
      <c r="E10" s="4579"/>
      <c r="F10" s="4579"/>
      <c r="G10" s="4579"/>
      <c r="H10" s="4579"/>
      <c r="I10" s="4579"/>
    </row>
    <row r="11" spans="1:9" ht="15">
      <c r="A11" s="4580" t="s">
        <v>913</v>
      </c>
      <c r="B11" s="4580"/>
      <c r="C11" s="4580"/>
      <c r="D11" s="4580" t="e">
        <f>结果表!D125</f>
        <v>#VALUE!</v>
      </c>
      <c r="E11" s="4580"/>
      <c r="F11" s="4580"/>
      <c r="G11" s="4580"/>
      <c r="H11" s="4580"/>
      <c r="I11" s="4580"/>
    </row>
    <row r="12" spans="1:9" ht="15.75">
      <c r="A12" s="4579" t="str">
        <f>结果表!A126</f>
        <v/>
      </c>
      <c r="B12" s="4579"/>
      <c r="C12" s="4579"/>
      <c r="D12" s="4579" t="str">
        <f>结果表!D126</f>
        <v>——</v>
      </c>
      <c r="E12" s="4579"/>
      <c r="F12" s="4579"/>
      <c r="G12" s="4579"/>
      <c r="H12" s="4579"/>
      <c r="I12" s="4579"/>
    </row>
    <row r="13" spans="1:9" ht="15.75" thickBot="1">
      <c r="A13" s="4577" t="s">
        <v>913</v>
      </c>
      <c r="B13" s="4577"/>
      <c r="C13" s="4577"/>
      <c r="D13" s="4577" t="e">
        <f>结果表!D127</f>
        <v>#VALUE!</v>
      </c>
      <c r="E13" s="4577"/>
      <c r="F13" s="4577"/>
      <c r="G13" s="4577"/>
      <c r="H13" s="4577"/>
      <c r="I13" s="4577"/>
    </row>
    <row r="14" spans="1:9" ht="15" thickTop="1">
      <c r="A14" s="4578" t="s">
        <v>918</v>
      </c>
      <c r="B14" s="4578"/>
      <c r="C14" s="4578"/>
      <c r="D14" s="4578"/>
      <c r="E14" s="4578"/>
      <c r="F14" s="4578"/>
      <c r="G14" s="4578"/>
      <c r="H14" s="4578"/>
      <c r="I14" s="4578"/>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92" t="s">
        <v>935</v>
      </c>
      <c r="B1" s="4592"/>
      <c r="C1" s="4592"/>
      <c r="D1" s="4592"/>
    </row>
    <row r="2" spans="1:4" ht="18">
      <c r="A2" s="4593" t="s">
        <v>919</v>
      </c>
      <c r="B2" s="4593"/>
      <c r="C2" s="4593"/>
      <c r="D2" s="4593"/>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93" t="s">
        <v>925</v>
      </c>
      <c r="B6" s="4593"/>
      <c r="C6" s="4593"/>
      <c r="D6" s="4593"/>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94" t="s">
        <v>928</v>
      </c>
      <c r="B11" s="4586"/>
      <c r="C11" s="4586"/>
      <c r="D11" s="4586"/>
    </row>
    <row r="12" spans="1:4" ht="15.75">
      <c r="A12" s="4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86" t="str">
        <f>IF(项目基本情况!B8="抵押","4.本次评估估价师所知悉的法定优先受偿款情况说明如下：","——")</f>
        <v>4.本次评估估价师所知悉的法定优先受偿款情况说明如下：</v>
      </c>
      <c r="B14" s="4591"/>
      <c r="C14" s="4591"/>
      <c r="D14" s="4591"/>
    </row>
    <row r="15" spans="1:4" ht="42" customHeight="1">
      <c r="A15" s="45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6"/>
      <c r="C15" s="4586"/>
      <c r="D15" s="4586"/>
    </row>
    <row r="16" spans="1:4" ht="30" customHeight="1">
      <c r="A16" s="4588" t="s">
        <v>929</v>
      </c>
      <c r="B16" s="4588"/>
      <c r="C16" s="4588"/>
      <c r="D16" s="4588"/>
    </row>
    <row r="17" spans="1:4" ht="144" customHeight="1">
      <c r="A17" s="4588" t="s">
        <v>930</v>
      </c>
      <c r="B17" s="4588"/>
      <c r="C17" s="4588"/>
      <c r="D17" s="4588"/>
    </row>
    <row r="18" spans="1:4" ht="15.75" customHeight="1">
      <c r="A18" s="4586" t="str">
        <f>IF(项目基本情况!B8="抵押",结果表!K120,"——")</f>
        <v>故，本次评估不存在估价师知悉的法定优先受偿款</v>
      </c>
      <c r="B18" s="4586"/>
      <c r="C18" s="4586"/>
      <c r="D18" s="4586"/>
    </row>
    <row r="19" spans="1:4" ht="46.5" customHeight="1">
      <c r="A19" s="4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6"/>
      <c r="C19" s="4586"/>
      <c r="D19" s="4586"/>
    </row>
    <row r="20" spans="1:4" ht="57.75" customHeight="1">
      <c r="A20" s="4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6"/>
      <c r="C20" s="4586"/>
      <c r="D20" s="4586"/>
    </row>
    <row r="21" spans="1:4" ht="57.75" customHeight="1">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spans="1:4" ht="18.75" customHeight="1">
      <c r="A22" s="4590" t="s">
        <v>931</v>
      </c>
      <c r="B22" s="4590"/>
      <c r="C22" s="4590"/>
      <c r="D22" s="4590"/>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87">
        <v>42551</v>
      </c>
      <c r="D31" s="458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00" t="s">
        <v>942</v>
      </c>
      <c r="B15" s="4595" t="s">
        <v>107</v>
      </c>
      <c r="C15" s="4596"/>
    </row>
    <row r="16" spans="1:7" ht="13.5">
      <c r="A16" s="4601"/>
      <c r="B16" s="4595" t="s">
        <v>40</v>
      </c>
      <c r="C16" s="4596"/>
    </row>
    <row r="17" spans="1:3" ht="13.5">
      <c r="A17" s="4601"/>
      <c r="B17" s="4598" t="s">
        <v>943</v>
      </c>
      <c r="C17" s="1176" t="s">
        <v>942</v>
      </c>
    </row>
    <row r="18" spans="1:3" ht="13.5">
      <c r="A18" s="4601"/>
      <c r="B18" s="4598"/>
      <c r="C18" s="1176" t="s">
        <v>944</v>
      </c>
    </row>
    <row r="19" spans="1:3" ht="13.5">
      <c r="A19" s="4601"/>
      <c r="B19" s="4598"/>
      <c r="C19" s="1176" t="s">
        <v>945</v>
      </c>
    </row>
    <row r="20" spans="1:3" ht="13.5">
      <c r="A20" s="4602"/>
      <c r="B20" s="4597" t="s">
        <v>946</v>
      </c>
      <c r="C20" s="4596"/>
    </row>
    <row r="21" spans="1:3" ht="13.5">
      <c r="A21" s="1177" t="s">
        <v>947</v>
      </c>
      <c r="B21" s="1178"/>
      <c r="C21" s="1179"/>
    </row>
    <row r="22" spans="1:3" ht="13.5">
      <c r="A22" s="4599" t="s">
        <v>948</v>
      </c>
      <c r="B22" s="4597" t="s">
        <v>949</v>
      </c>
      <c r="C22" s="4596"/>
    </row>
    <row r="23" spans="1:3" ht="13.5">
      <c r="A23" s="4599"/>
      <c r="B23" s="4597" t="s">
        <v>950</v>
      </c>
      <c r="C23" s="4596"/>
    </row>
    <row r="24" spans="1:3" ht="13.5">
      <c r="A24" s="4599"/>
      <c r="B24" s="4597" t="s">
        <v>951</v>
      </c>
      <c r="C24" s="4596"/>
    </row>
    <row r="25" spans="1:3" ht="13.5">
      <c r="A25" s="4599"/>
      <c r="B25" s="4598" t="s">
        <v>952</v>
      </c>
      <c r="C25" s="1176" t="s">
        <v>953</v>
      </c>
    </row>
    <row r="26" spans="1:3" ht="13.5">
      <c r="A26" s="4599"/>
      <c r="B26" s="4598"/>
      <c r="C26" s="1176" t="s">
        <v>954</v>
      </c>
    </row>
    <row r="27" spans="1:3" ht="13.5">
      <c r="A27" s="4599"/>
      <c r="B27" s="4598"/>
      <c r="C27" s="1176" t="s">
        <v>955</v>
      </c>
    </row>
    <row r="28" spans="1:3" ht="13.5">
      <c r="A28" s="4599"/>
      <c r="B28" s="4598"/>
      <c r="C28" s="1176" t="s">
        <v>956</v>
      </c>
    </row>
    <row r="29" spans="1:3" ht="13.5">
      <c r="A29" s="4599"/>
      <c r="B29" s="4598"/>
      <c r="C29" s="1176" t="s">
        <v>957</v>
      </c>
    </row>
    <row r="30" spans="1:3" ht="13.5">
      <c r="A30" s="4599"/>
      <c r="B30" s="4598"/>
      <c r="C30" s="1176" t="s">
        <v>958</v>
      </c>
    </row>
    <row r="31" spans="1:3" ht="13.5">
      <c r="A31" s="4599"/>
      <c r="B31" s="4598"/>
      <c r="C31" s="1176" t="s">
        <v>959</v>
      </c>
    </row>
    <row r="32" spans="1:3" ht="13.5">
      <c r="A32" s="4599"/>
      <c r="B32" s="4598"/>
      <c r="C32" s="1176" t="s">
        <v>960</v>
      </c>
    </row>
    <row r="33" spans="1:3" ht="13.5">
      <c r="A33" s="4599"/>
      <c r="B33" s="4598"/>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46049</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3" t="s">
        <v>2072</v>
      </c>
      <c r="B17" s="4603"/>
      <c r="C17" s="4603"/>
      <c r="D17" s="4603"/>
      <c r="E17" s="4603"/>
      <c r="F17" s="4603"/>
      <c r="G17" s="4603"/>
      <c r="H17" s="4603"/>
    </row>
    <row r="18" spans="1:8" ht="24" customHeight="1">
      <c r="A18" s="4604" t="s">
        <v>2073</v>
      </c>
      <c r="B18" s="4604"/>
      <c r="C18" s="4604"/>
      <c r="D18" s="1883"/>
      <c r="E18" s="4605" t="s">
        <v>2074</v>
      </c>
      <c r="F18" s="4604"/>
      <c r="G18" s="4604"/>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2026-01-27T05:51:29Z</dcterms:modified>
</cp:coreProperties>
</file>