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Sheet1"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0" i="77" l="1"/>
  <c r="I15" i="66"/>
  <c r="I10" i="66"/>
  <c r="N6" i="1" l="1"/>
  <c r="Y6" i="1" s="1"/>
  <c r="C28" i="66"/>
  <c r="J25" i="77"/>
  <c r="D23" i="66"/>
  <c r="F18" i="66"/>
  <c r="F17" i="66"/>
  <c r="E18" i="66"/>
  <c r="E17" i="66"/>
  <c r="G4" i="66"/>
  <c r="G5" i="66"/>
  <c r="G6" i="66"/>
  <c r="G3" i="66"/>
  <c r="E4" i="66"/>
  <c r="E5" i="66"/>
  <c r="E6" i="66"/>
  <c r="E3" i="66"/>
  <c r="D10" i="66"/>
  <c r="D4" i="66"/>
  <c r="D5" i="66"/>
  <c r="D6" i="66"/>
  <c r="D3" i="66"/>
  <c r="G19" i="6"/>
  <c r="F19" i="6"/>
  <c r="G49" i="43"/>
  <c r="G50" i="43"/>
  <c r="G51" i="43"/>
  <c r="G52" i="43"/>
  <c r="G53" i="43"/>
  <c r="G54" i="43"/>
  <c r="G55" i="43"/>
  <c r="G56" i="43"/>
  <c r="G48" i="43"/>
  <c r="D34" i="43"/>
  <c r="B55" i="1"/>
  <c r="B56" i="1"/>
  <c r="B57" i="1"/>
  <c r="B58" i="1"/>
  <c r="B59" i="1"/>
  <c r="B54" i="1"/>
  <c r="D30" i="77"/>
  <c r="J29" i="77"/>
  <c r="J28" i="77"/>
  <c r="J26" i="77"/>
  <c r="J24" i="77"/>
  <c r="K30" i="77" s="1"/>
  <c r="E23" i="66" s="1"/>
  <c r="J21" i="77"/>
  <c r="J20" i="77"/>
  <c r="J19" i="77"/>
  <c r="J18" i="77"/>
  <c r="J17" i="77"/>
  <c r="J16" i="77"/>
  <c r="J22" i="77" s="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Q52"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A13" i="51" s="1"/>
  <c r="B11" i="72" s="1"/>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S1" i="4"/>
  <c r="B1" i="4"/>
  <c r="I23" i="66"/>
  <c r="C29" i="66" s="1"/>
  <c r="C27" i="66" s="1"/>
  <c r="D20" i="66"/>
  <c r="I19" i="66"/>
  <c r="I18" i="66"/>
  <c r="I17"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E197" i="3" s="1"/>
  <c r="BA13" i="3"/>
  <c r="E10" i="6"/>
  <c r="BA5" i="3"/>
  <c r="E11" i="6"/>
  <c r="E61" i="39" s="1"/>
  <c r="BL17" i="3"/>
  <c r="AZ17" i="3"/>
  <c r="BL13" i="3"/>
  <c r="E65" i="39"/>
  <c r="G30" i="6"/>
  <c r="G31" i="6" s="1"/>
  <c r="J56" i="9"/>
  <c r="J57" i="9" s="1"/>
  <c r="J59" i="9" s="1"/>
  <c r="J61" i="9" s="1"/>
  <c r="A24" i="51"/>
  <c r="B18" i="72" s="1"/>
  <c r="U29" i="34"/>
  <c r="E14" i="6"/>
  <c r="E64" i="39" s="1"/>
  <c r="E5" i="6"/>
  <c r="P10" i="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76" i="43"/>
  <c r="H72" i="43"/>
  <c r="H77" i="43"/>
  <c r="L20" i="6"/>
  <c r="E62" i="39"/>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AQ13" i="1"/>
  <c r="AZ13" i="3"/>
  <c r="AZ5" i="3" s="1"/>
  <c r="M6" i="1"/>
  <c r="O6" i="1" s="1"/>
  <c r="P6" i="1" s="1"/>
  <c r="E63" i="39"/>
  <c r="T11" i="1"/>
  <c r="AQ9" i="1"/>
  <c r="AR11" i="1"/>
  <c r="E59" i="40"/>
  <c r="E30" i="6"/>
  <c r="T9" i="1"/>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BL5" i="3"/>
  <c r="E224" i="3"/>
  <c r="E177" i="3"/>
  <c r="E193" i="3"/>
  <c r="E133" i="3"/>
  <c r="E3" i="6"/>
  <c r="E327" i="3"/>
  <c r="E379" i="3"/>
  <c r="E576" i="3"/>
  <c r="E585" i="3"/>
  <c r="Z6" i="3"/>
  <c r="U6" i="3"/>
  <c r="AG6" i="3"/>
  <c r="E515" i="3"/>
  <c r="AO6" i="3"/>
  <c r="E411"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D65" i="40"/>
  <c r="F1" i="67"/>
  <c r="AC11" i="37"/>
  <c r="W11" i="37"/>
  <c r="W11" i="34"/>
  <c r="AC11" i="34"/>
  <c r="F34" i="11"/>
  <c r="C36" i="11" s="1"/>
  <c r="F11" i="12"/>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19" i="53"/>
  <c r="B38" i="72" s="1"/>
  <c r="D59" i="9"/>
  <c r="M55" i="9"/>
  <c r="AD3" i="71"/>
  <c r="F34" i="68"/>
  <c r="F6" i="67"/>
  <c r="M24" i="67"/>
  <c r="E11" i="76"/>
  <c r="J15" i="15"/>
  <c r="D2" i="33"/>
  <c r="F8" i="67"/>
  <c r="F13" i="15"/>
  <c r="F7" i="15"/>
  <c r="B8" i="76"/>
  <c r="F36" i="15"/>
  <c r="F6" i="73"/>
  <c r="F42" i="15"/>
  <c r="M27" i="67"/>
  <c r="F16" i="67"/>
  <c r="M8" i="15"/>
  <c r="F37" i="67"/>
  <c r="F9" i="15"/>
  <c r="M26" i="67"/>
  <c r="M29" i="15"/>
  <c r="D7" i="73"/>
  <c r="F40" i="15"/>
  <c r="M22" i="15"/>
  <c r="F7" i="73"/>
  <c r="F13" i="67"/>
  <c r="M6" i="15"/>
  <c r="AO10" i="1"/>
  <c r="E2" i="68"/>
  <c r="M22" i="67"/>
  <c r="F8" i="15"/>
  <c r="F9" i="67"/>
  <c r="B11" i="76"/>
  <c r="M8" i="67"/>
  <c r="F3" i="73"/>
  <c r="M9" i="15"/>
  <c r="E10" i="76"/>
  <c r="M24" i="15"/>
  <c r="D4" i="73"/>
  <c r="M29" i="67"/>
  <c r="C76" i="15"/>
  <c r="D3" i="73"/>
  <c r="E8" i="76"/>
  <c r="C76" i="67"/>
  <c r="D2" i="21"/>
  <c r="L48" i="15"/>
  <c r="M28" i="15"/>
  <c r="D6" i="73"/>
  <c r="L48" i="67"/>
  <c r="E9" i="76"/>
  <c r="E7" i="76"/>
  <c r="M27" i="15"/>
  <c r="AO8" i="1"/>
  <c r="F4" i="73"/>
  <c r="M23" i="67"/>
  <c r="D5" i="73"/>
  <c r="F38" i="67"/>
  <c r="F26" i="15"/>
  <c r="M6" i="67"/>
  <c r="C36" i="68"/>
  <c r="D2" i="37"/>
  <c r="M26" i="15"/>
  <c r="F7" i="67"/>
  <c r="F5" i="73"/>
  <c r="D2" i="36"/>
  <c r="F20" i="31"/>
  <c r="AO9" i="1"/>
  <c r="F36" i="67"/>
  <c r="F41" i="67"/>
  <c r="B9" i="76"/>
  <c r="F40" i="67"/>
  <c r="J15" i="67"/>
  <c r="E2" i="69"/>
  <c r="B12" i="76"/>
  <c r="F43" i="67"/>
  <c r="B10" i="76"/>
  <c r="E13" i="76"/>
  <c r="M23" i="15"/>
  <c r="L47" i="67"/>
  <c r="F37" i="15"/>
  <c r="F26" i="67"/>
  <c r="F42" i="67"/>
  <c r="L47" i="15"/>
  <c r="F38" i="15"/>
  <c r="AO12" i="1"/>
  <c r="M28" i="67"/>
  <c r="F16" i="15"/>
  <c r="D2" i="34"/>
  <c r="AO11" i="1"/>
  <c r="AO7" i="1"/>
  <c r="F43" i="15"/>
  <c r="E12" i="76"/>
  <c r="M9" i="67"/>
  <c r="B13" i="76"/>
  <c r="AO13" i="1"/>
  <c r="D2" i="35"/>
  <c r="B7" i="76"/>
  <c r="C40" i="68" l="1"/>
  <c r="C40" i="69"/>
  <c r="D22" i="67"/>
  <c r="D22" i="15"/>
  <c r="E48" i="43"/>
  <c r="B46" i="43" s="1"/>
  <c r="C24" i="43" s="1"/>
  <c r="C32" i="66"/>
  <c r="C31" i="66"/>
  <c r="C30" i="66"/>
  <c r="P61" i="15"/>
  <c r="J53" i="15"/>
  <c r="F1" i="15" s="1"/>
  <c r="I20" i="66"/>
  <c r="I21" i="66"/>
  <c r="E10" i="43"/>
  <c r="E8" i="43"/>
  <c r="E11" i="43"/>
  <c r="E9" i="43"/>
  <c r="H52" i="43"/>
  <c r="H50" i="43"/>
  <c r="H48" i="43"/>
  <c r="H54" i="43"/>
  <c r="H55" i="43"/>
  <c r="H56" i="43"/>
  <c r="H49" i="43"/>
  <c r="H53" i="43"/>
  <c r="H51" i="43"/>
  <c r="C94" i="9"/>
  <c r="C92" i="9"/>
  <c r="F32" i="15"/>
  <c r="F60" i="15" s="1"/>
  <c r="F31" i="12"/>
  <c r="C31" i="12" s="1"/>
  <c r="D68" i="9"/>
  <c r="F32" i="67"/>
  <c r="F60" i="67" s="1"/>
  <c r="F30" i="11"/>
  <c r="C48" i="11" s="1"/>
  <c r="M18" i="15"/>
  <c r="F30" i="69"/>
  <c r="C48" i="69" s="1"/>
  <c r="F28" i="67"/>
  <c r="C28" i="67" s="1"/>
  <c r="F30" i="68"/>
  <c r="C30" i="68" s="1"/>
  <c r="C13" i="12"/>
  <c r="F54" i="9"/>
  <c r="C30" i="69"/>
  <c r="C48" i="68"/>
  <c r="F28" i="15"/>
  <c r="C28" i="15" s="1"/>
  <c r="M18" i="67"/>
  <c r="F52" i="9"/>
  <c r="D23" i="67"/>
  <c r="C36" i="69"/>
  <c r="Q16" i="1"/>
  <c r="F27" i="69" s="1"/>
  <c r="C34" i="69"/>
  <c r="C38" i="69" s="1"/>
  <c r="E427" i="3"/>
  <c r="E421" i="3"/>
  <c r="E502" i="3"/>
  <c r="E552" i="3"/>
  <c r="R6" i="3"/>
  <c r="E542" i="3"/>
  <c r="E499" i="3"/>
  <c r="AD6" i="3"/>
  <c r="E575" i="3"/>
  <c r="E312" i="3"/>
  <c r="E286" i="3"/>
  <c r="E105" i="3"/>
  <c r="E173" i="3"/>
  <c r="E116"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AY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27" i="6" s="1"/>
  <c r="E51" i="40"/>
  <c r="E56" i="39"/>
  <c r="E66" i="39" s="1"/>
  <c r="E16" i="6"/>
  <c r="E6" i="6"/>
  <c r="D10" i="11" s="1"/>
  <c r="C10" i="11" s="1"/>
  <c r="D9" i="69"/>
  <c r="C9" i="69" s="1"/>
  <c r="O11" i="1"/>
  <c r="P11" i="1" s="1"/>
  <c r="M16" i="1"/>
  <c r="P7" i="1"/>
  <c r="K16" i="1"/>
  <c r="O12" i="1"/>
  <c r="P12" i="1" s="1"/>
  <c r="O8" i="1"/>
  <c r="P8" i="1" s="1"/>
  <c r="D3" i="34"/>
  <c r="D3" i="33"/>
  <c r="D19" i="11"/>
  <c r="C19" i="11" s="1"/>
  <c r="D37" i="11"/>
  <c r="C37" i="11" s="1"/>
  <c r="D14" i="12"/>
  <c r="D17" i="12" s="1"/>
  <c r="C17" i="12" s="1"/>
  <c r="M18" i="9"/>
  <c r="B118" i="9" s="1"/>
  <c r="B14" i="74" s="1"/>
  <c r="B1" i="74" s="1"/>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D9" i="11"/>
  <c r="C9" i="11" s="1"/>
  <c r="D19" i="12"/>
  <c r="C19" i="12" s="1"/>
  <c r="O9" i="1"/>
  <c r="P9" i="1"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7" i="43"/>
  <c r="L17" i="43"/>
  <c r="O17" i="43"/>
  <c r="M17" i="43"/>
  <c r="E17" i="43"/>
  <c r="T35" i="4"/>
  <c r="A19" i="51" s="1"/>
  <c r="B14" i="72" s="1"/>
  <c r="A15" i="62"/>
  <c r="B61" i="72" s="1"/>
  <c r="D20" i="53"/>
  <c r="B40" i="72" s="1"/>
  <c r="C7" i="74"/>
  <c r="I14" i="74"/>
  <c r="B8" i="74" s="1"/>
  <c r="D127" i="9"/>
  <c r="D13" i="52" s="1"/>
  <c r="D12" i="52"/>
  <c r="E48" i="33"/>
  <c r="R49" i="33"/>
  <c r="G52" i="33"/>
  <c r="H52" i="33" s="1"/>
  <c r="G53" i="33"/>
  <c r="H53" i="33" s="1"/>
  <c r="M63" i="40"/>
  <c r="L65" i="40"/>
  <c r="AC7" i="33"/>
  <c r="V48" i="33" s="1"/>
  <c r="I48"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B20" i="31"/>
  <c r="B7"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G1" i="73"/>
  <c r="D9" i="68"/>
  <c r="C16" i="67"/>
  <c r="C34" i="68"/>
  <c r="C16" i="15"/>
  <c r="D10" i="68"/>
  <c r="AE6" i="1"/>
  <c r="K4" i="4" l="1"/>
  <c r="B46" i="48" s="1"/>
  <c r="B4" i="72" s="1"/>
  <c r="B4" i="62"/>
  <c r="B71" i="72" s="1"/>
  <c r="E26" i="66"/>
  <c r="U6" i="1" s="1"/>
  <c r="C10" i="68"/>
  <c r="B29" i="1" s="1"/>
  <c r="C9" i="68"/>
  <c r="Q52" i="15"/>
  <c r="D1" i="66"/>
  <c r="G17" i="43"/>
  <c r="C16" i="43" s="1"/>
  <c r="C30" i="11"/>
  <c r="C35" i="69"/>
  <c r="F28" i="12"/>
  <c r="C29" i="12" s="1"/>
  <c r="D28" i="12" s="1"/>
  <c r="C47" i="69"/>
  <c r="D45" i="69" s="1"/>
  <c r="C29" i="69"/>
  <c r="D27" i="69" s="1"/>
  <c r="F27" i="11"/>
  <c r="C47" i="11" s="1"/>
  <c r="D45" i="11" s="1"/>
  <c r="C14" i="12"/>
  <c r="D20" i="12"/>
  <c r="C20" i="12" s="1"/>
  <c r="D10" i="69"/>
  <c r="C10" i="69" s="1"/>
  <c r="C8" i="69" s="1"/>
  <c r="C5" i="69" s="1"/>
  <c r="F31" i="6"/>
  <c r="K19" i="6"/>
  <c r="S6" i="1" s="1"/>
  <c r="K24" i="6"/>
  <c r="M24" i="6" s="1"/>
  <c r="I24" i="6" s="1"/>
  <c r="S24" i="6" s="1"/>
  <c r="K26" i="6"/>
  <c r="M26" i="6" s="1"/>
  <c r="I26" i="6" s="1"/>
  <c r="S26" i="6" s="1"/>
  <c r="K21" i="6"/>
  <c r="M21" i="6" s="1"/>
  <c r="I21" i="6" s="1"/>
  <c r="K25" i="6"/>
  <c r="M25" i="6" s="1"/>
  <c r="I25" i="6" s="1"/>
  <c r="H25" i="6" s="1"/>
  <c r="E31" i="6"/>
  <c r="K20" i="6"/>
  <c r="K22" i="6"/>
  <c r="M22" i="6" s="1"/>
  <c r="I22" i="6" s="1"/>
  <c r="K23" i="6"/>
  <c r="M23" i="6" s="1"/>
  <c r="I23" i="6" s="1"/>
  <c r="H23" i="6" s="1"/>
  <c r="AC6" i="3"/>
  <c r="AY83" i="3"/>
  <c r="AY66" i="3"/>
  <c r="AY23" i="3"/>
  <c r="AY176" i="3"/>
  <c r="AY155" i="3"/>
  <c r="AY115" i="3"/>
  <c r="AY59" i="3"/>
  <c r="AY188" i="3"/>
  <c r="AY131" i="3"/>
  <c r="AY276" i="3"/>
  <c r="AY58" i="3"/>
  <c r="AY297" i="3"/>
  <c r="AY268" i="3"/>
  <c r="AY225" i="3"/>
  <c r="AY371"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 i="3"/>
  <c r="AY207" i="3"/>
  <c r="AY124" i="3"/>
  <c r="AY42" i="3"/>
  <c r="AY281" i="3"/>
  <c r="AY168" i="3"/>
  <c r="AY236" i="3"/>
  <c r="AY366"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112" i="3"/>
  <c r="AY81" i="3"/>
  <c r="AY49" i="3"/>
  <c r="AY64" i="3"/>
  <c r="AY32" i="3"/>
  <c r="AY87" i="3"/>
  <c r="AY144" i="3"/>
  <c r="AY152" i="3"/>
  <c r="AY253"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82" i="3"/>
  <c r="AY101" i="3"/>
  <c r="AY65" i="3"/>
  <c r="AY48"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 i="3"/>
  <c r="AY95" i="3"/>
  <c r="AY111" i="3"/>
  <c r="AY382"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14" i="3"/>
  <c r="AY519" i="3"/>
  <c r="AY96"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D19" i="68"/>
  <c r="C19" i="68" s="1"/>
  <c r="N16" i="1"/>
  <c r="L16" i="1"/>
  <c r="C34" i="11"/>
  <c r="S22" i="6"/>
  <c r="H22" i="6"/>
  <c r="C20" i="11"/>
  <c r="C28" i="11" s="1"/>
  <c r="C27" i="11" s="1"/>
  <c r="O16" i="1"/>
  <c r="S21" i="6"/>
  <c r="H21" i="6"/>
  <c r="P16" i="1"/>
  <c r="C11" i="12" s="1"/>
  <c r="E102" i="43"/>
  <c r="E106" i="43"/>
  <c r="E103" i="43"/>
  <c r="E104" i="43"/>
  <c r="E105" i="43"/>
  <c r="E109" i="43"/>
  <c r="E107" i="43"/>
  <c r="M109" i="43"/>
  <c r="M102" i="43"/>
  <c r="M106" i="43"/>
  <c r="M103" i="43"/>
  <c r="M107" i="43"/>
  <c r="M104" i="43"/>
  <c r="M105" i="43"/>
  <c r="J104" i="43"/>
  <c r="J107" i="43"/>
  <c r="J102" i="43"/>
  <c r="J109" i="43"/>
  <c r="J105" i="43"/>
  <c r="J103" i="43"/>
  <c r="J106" i="43"/>
  <c r="G105" i="43"/>
  <c r="G107" i="43"/>
  <c r="G104" i="43"/>
  <c r="G106" i="43"/>
  <c r="G102" i="43"/>
  <c r="G103" i="43"/>
  <c r="G109" i="43"/>
  <c r="L109" i="43"/>
  <c r="L102" i="43"/>
  <c r="L105" i="43"/>
  <c r="L104" i="43"/>
  <c r="L106" i="43"/>
  <c r="L107" i="43"/>
  <c r="L103" i="43"/>
  <c r="N105" i="43"/>
  <c r="N104" i="43"/>
  <c r="N109" i="43"/>
  <c r="N102" i="43"/>
  <c r="N103" i="43"/>
  <c r="N106" i="43"/>
  <c r="N107" i="43"/>
  <c r="K102" i="43"/>
  <c r="K105" i="43"/>
  <c r="K109" i="43"/>
  <c r="K103" i="43"/>
  <c r="K107" i="43"/>
  <c r="K104" i="43"/>
  <c r="K106" i="43"/>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7" i="43"/>
  <c r="H105" i="43"/>
  <c r="H106" i="43"/>
  <c r="H109" i="43"/>
  <c r="D22" i="43"/>
  <c r="F102" i="43"/>
  <c r="F105" i="43"/>
  <c r="F109" i="43"/>
  <c r="F104" i="43"/>
  <c r="F107" i="43"/>
  <c r="F106" i="43"/>
  <c r="F103" i="43"/>
  <c r="D5" i="43"/>
  <c r="C5" i="43"/>
  <c r="C8" i="74"/>
  <c r="E58" i="21"/>
  <c r="F58" i="21" s="1"/>
  <c r="G58" i="21" s="1"/>
  <c r="H58" i="21" s="1"/>
  <c r="I58" i="21" s="1"/>
  <c r="J58" i="21" s="1"/>
  <c r="K58" i="21" s="1"/>
  <c r="L58" i="21" s="1"/>
  <c r="M58" i="21" s="1"/>
  <c r="N58" i="21" s="1"/>
  <c r="O58" i="21" s="1"/>
  <c r="H7" i="21"/>
  <c r="J7" i="21"/>
  <c r="H52" i="37"/>
  <c r="D70" i="39"/>
  <c r="E68" i="39"/>
  <c r="C49" i="33"/>
  <c r="B2" i="33" s="1"/>
  <c r="B3" i="33" s="1"/>
  <c r="C48" i="33"/>
  <c r="F7" i="21"/>
  <c r="F46" i="36"/>
  <c r="H59" i="34"/>
  <c r="G48" i="35"/>
  <c r="I52" i="33"/>
  <c r="J52" i="33" s="1"/>
  <c r="I53" i="33"/>
  <c r="J53" i="33" s="1"/>
  <c r="N63" i="40"/>
  <c r="M65" i="40"/>
  <c r="E53" i="33"/>
  <c r="F53" i="33" s="1"/>
  <c r="E52" i="33"/>
  <c r="F52" i="33" s="1"/>
  <c r="P23" i="43"/>
  <c r="B71" i="39" s="1"/>
  <c r="C6" i="71"/>
  <c r="C5" i="71" s="1"/>
  <c r="D5" i="71" s="1"/>
  <c r="D7" i="71"/>
  <c r="P25" i="43"/>
  <c r="C49" i="67"/>
  <c r="C49" i="15"/>
  <c r="C38" i="68"/>
  <c r="C35" i="68"/>
  <c r="B40" i="1"/>
  <c r="M11" i="15"/>
  <c r="J10" i="15" s="1"/>
  <c r="J5" i="15" s="1"/>
  <c r="F11" i="67"/>
  <c r="F11" i="15"/>
  <c r="M11" i="67"/>
  <c r="J10" i="67" s="1"/>
  <c r="J5" i="67" s="1"/>
  <c r="Q73" i="67"/>
  <c r="Q60" i="67"/>
  <c r="P28" i="43"/>
  <c r="M28" i="43"/>
  <c r="G20" i="43" s="1"/>
  <c r="H6" i="1" s="1"/>
  <c r="N28" i="43"/>
  <c r="O28" i="43"/>
  <c r="Q60" i="15"/>
  <c r="Q73" i="15"/>
  <c r="Q74" i="15"/>
  <c r="Q61" i="15"/>
  <c r="Q61" i="67"/>
  <c r="Q74" i="67"/>
  <c r="F41" i="15"/>
  <c r="F6" i="15"/>
  <c r="F27" i="68"/>
  <c r="G6" i="1" l="1"/>
  <c r="G16" i="1" s="1"/>
  <c r="H16" i="1"/>
  <c r="F69" i="15"/>
  <c r="C6" i="15"/>
  <c r="C18" i="12"/>
  <c r="C8" i="68"/>
  <c r="E41" i="43"/>
  <c r="C41" i="43" s="1"/>
  <c r="C20" i="43"/>
  <c r="C29" i="68"/>
  <c r="D27" i="68" s="1"/>
  <c r="C47" i="68"/>
  <c r="D45" i="68" s="1"/>
  <c r="C29" i="11"/>
  <c r="D27" i="11" s="1"/>
  <c r="M20" i="6"/>
  <c r="I20" i="6" s="1"/>
  <c r="S7" i="1"/>
  <c r="S25" i="6"/>
  <c r="S23" i="6"/>
  <c r="AQ6" i="1"/>
  <c r="AR6" i="1"/>
  <c r="T6" i="1"/>
  <c r="D19" i="69"/>
  <c r="D19" i="6"/>
  <c r="D26" i="6"/>
  <c r="C18" i="4"/>
  <c r="D8" i="6"/>
  <c r="D23" i="6"/>
  <c r="D14" i="6"/>
  <c r="M19" i="9"/>
  <c r="C118" i="9" s="1"/>
  <c r="C14" i="74" s="1"/>
  <c r="B2" i="74" s="1"/>
  <c r="D25" i="6"/>
  <c r="D15" i="6"/>
  <c r="D22" i="6"/>
  <c r="D21" i="6"/>
  <c r="D24" i="6"/>
  <c r="D20" i="6"/>
  <c r="D12" i="6"/>
  <c r="D11" i="6"/>
  <c r="D13" i="6"/>
  <c r="D28" i="6"/>
  <c r="E61" i="40"/>
  <c r="D9" i="6"/>
  <c r="L19" i="9"/>
  <c r="D10" i="6"/>
  <c r="D29" i="6"/>
  <c r="H24" i="6"/>
  <c r="R24" i="6" s="1"/>
  <c r="H26" i="6"/>
  <c r="D5" i="6"/>
  <c r="D6" i="6"/>
  <c r="R21" i="6"/>
  <c r="R25" i="6"/>
  <c r="R22" i="6"/>
  <c r="R23" i="6"/>
  <c r="M19" i="6"/>
  <c r="K27" i="6"/>
  <c r="D37" i="68"/>
  <c r="C37" i="68" s="1"/>
  <c r="C33" i="68" s="1"/>
  <c r="C39" i="68" s="1"/>
  <c r="C38" i="11"/>
  <c r="C35" i="11"/>
  <c r="F50" i="69"/>
  <c r="F50" i="68"/>
  <c r="F50" i="11"/>
  <c r="C15" i="12"/>
  <c r="C12" i="12"/>
  <c r="C115" i="43"/>
  <c r="D113" i="43" s="1"/>
  <c r="S2" i="43"/>
  <c r="C23" i="43"/>
  <c r="C21" i="43" s="1"/>
  <c r="S4" i="43"/>
  <c r="S5" i="43"/>
  <c r="S3" i="43"/>
  <c r="S6" i="43"/>
  <c r="S7" i="43"/>
  <c r="H48" i="35"/>
  <c r="G46" i="36"/>
  <c r="H46" i="36" s="1"/>
  <c r="I46" i="36" s="1"/>
  <c r="J46" i="36" s="1"/>
  <c r="K46" i="36" s="1"/>
  <c r="L46" i="36" s="1"/>
  <c r="M46" i="36" s="1"/>
  <c r="N46" i="36" s="1"/>
  <c r="O46" i="36" s="1"/>
  <c r="J7" i="36"/>
  <c r="F7" i="36"/>
  <c r="AB7" i="21"/>
  <c r="T48" i="21" s="1"/>
  <c r="G48" i="21" s="1"/>
  <c r="U7" i="21"/>
  <c r="O63" i="40"/>
  <c r="O65" i="40" s="1"/>
  <c r="J7" i="40" s="1"/>
  <c r="N65" i="40"/>
  <c r="H7" i="40" s="1"/>
  <c r="I59" i="34"/>
  <c r="H7" i="36"/>
  <c r="AA7" i="21"/>
  <c r="R48" i="21" s="1"/>
  <c r="S7" i="21"/>
  <c r="F68" i="39"/>
  <c r="E70" i="39"/>
  <c r="I52" i="37"/>
  <c r="AC7" i="21"/>
  <c r="V48" i="21" s="1"/>
  <c r="I48" i="21" s="1"/>
  <c r="W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C17" i="67"/>
  <c r="C14" i="67"/>
  <c r="F10" i="40" l="1"/>
  <c r="J10" i="39"/>
  <c r="F10" i="39"/>
  <c r="J10" i="40"/>
  <c r="H10" i="40"/>
  <c r="H10" i="39"/>
  <c r="C15" i="67"/>
  <c r="C18" i="67"/>
  <c r="S16" i="1"/>
  <c r="T7" i="1"/>
  <c r="AR7" i="1"/>
  <c r="AQ7" i="1"/>
  <c r="H20" i="6"/>
  <c r="R20" i="6" s="1"/>
  <c r="R7" i="1" s="1"/>
  <c r="S20" i="6"/>
  <c r="C19" i="69"/>
  <c r="C20" i="69" s="1"/>
  <c r="C28" i="69" s="1"/>
  <c r="C27" i="69" s="1"/>
  <c r="D37" i="69"/>
  <c r="C37" i="69" s="1"/>
  <c r="C33" i="69" s="1"/>
  <c r="C39" i="69" s="1"/>
  <c r="C46" i="69" s="1"/>
  <c r="C45" i="69" s="1"/>
  <c r="C33" i="11"/>
  <c r="C39" i="11" s="1"/>
  <c r="C46" i="11" s="1"/>
  <c r="C45" i="11" s="1"/>
  <c r="R26" i="6"/>
  <c r="D30" i="6"/>
  <c r="D7" i="74"/>
  <c r="D8" i="74"/>
  <c r="A7" i="51"/>
  <c r="B7" i="72" s="1"/>
  <c r="C4" i="52"/>
  <c r="B45" i="72" s="1"/>
  <c r="A10" i="51"/>
  <c r="B9" i="72" s="1"/>
  <c r="D27" i="6"/>
  <c r="D31" i="6" s="1"/>
  <c r="I19" i="6"/>
  <c r="M27" i="6"/>
  <c r="D16" i="6"/>
  <c r="C16" i="12"/>
  <c r="C21" i="12" s="1"/>
  <c r="C22" i="12" s="1"/>
  <c r="C30" i="12" s="1"/>
  <c r="C28" i="12" s="1"/>
  <c r="U7" i="40"/>
  <c r="AB7" i="40"/>
  <c r="T42" i="40" s="1"/>
  <c r="G42" i="40" s="1"/>
  <c r="W7" i="40"/>
  <c r="AC7" i="40"/>
  <c r="V42" i="40" s="1"/>
  <c r="I42" i="40" s="1"/>
  <c r="G52" i="21"/>
  <c r="H52" i="21" s="1"/>
  <c r="G53" i="21"/>
  <c r="H53" i="21" s="1"/>
  <c r="I52" i="21"/>
  <c r="J52" i="21" s="1"/>
  <c r="J52" i="37"/>
  <c r="G68" i="39"/>
  <c r="F70" i="39"/>
  <c r="E48" i="21"/>
  <c r="R49" i="21"/>
  <c r="J59" i="34"/>
  <c r="F7" i="40"/>
  <c r="S7" i="36"/>
  <c r="AA7" i="36"/>
  <c r="R36" i="36" s="1"/>
  <c r="I48" i="35"/>
  <c r="U7" i="36"/>
  <c r="AB7" i="36"/>
  <c r="T36" i="36" s="1"/>
  <c r="G36" i="36" s="1"/>
  <c r="AC7" i="36"/>
  <c r="V36" i="36" s="1"/>
  <c r="I36" i="36" s="1"/>
  <c r="W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6" i="68"/>
  <c r="C45" i="68" s="1"/>
  <c r="C26" i="68"/>
  <c r="D22" i="68" s="1"/>
  <c r="C24" i="68"/>
  <c r="C44" i="68"/>
  <c r="D41" i="68" s="1"/>
  <c r="C42" i="68"/>
  <c r="C38" i="15"/>
  <c r="C32" i="15"/>
  <c r="C26" i="12"/>
  <c r="D25" i="12" s="1"/>
  <c r="C44" i="11"/>
  <c r="D41" i="11" s="1"/>
  <c r="C23" i="11"/>
  <c r="C26" i="11"/>
  <c r="D22" i="11" s="1"/>
  <c r="C24" i="11"/>
  <c r="C25" i="11"/>
  <c r="C66" i="15"/>
  <c r="C60" i="15"/>
  <c r="C60" i="67"/>
  <c r="C66" i="67"/>
  <c r="C44" i="69"/>
  <c r="D41" i="69" s="1"/>
  <c r="C23" i="69"/>
  <c r="C26" i="69"/>
  <c r="D22" i="69" s="1"/>
  <c r="C42" i="69"/>
  <c r="C38" i="67"/>
  <c r="C32" i="67"/>
  <c r="C43" i="68"/>
  <c r="F35" i="67"/>
  <c r="C14" i="15"/>
  <c r="M21" i="67"/>
  <c r="AB10" i="39" l="1"/>
  <c r="U10" i="39"/>
  <c r="AC10" i="40"/>
  <c r="W10" i="40"/>
  <c r="W10" i="39"/>
  <c r="AC10" i="39"/>
  <c r="U10" i="40"/>
  <c r="AB10" i="40"/>
  <c r="S10" i="39"/>
  <c r="AA10" i="39"/>
  <c r="AA10" i="40"/>
  <c r="S10" i="40"/>
  <c r="C19" i="67"/>
  <c r="C20" i="67" s="1"/>
  <c r="C26" i="67" s="1"/>
  <c r="C42" i="11"/>
  <c r="F63" i="67"/>
  <c r="C62" i="67" s="1"/>
  <c r="C34" i="67"/>
  <c r="J20" i="67"/>
  <c r="C18" i="15"/>
  <c r="C15" i="15"/>
  <c r="T16" i="1"/>
  <c r="C27" i="12"/>
  <c r="C25" i="12" s="1"/>
  <c r="C32" i="12" s="1"/>
  <c r="B2" i="12" s="1"/>
  <c r="B3" i="12" s="1"/>
  <c r="C24" i="69"/>
  <c r="C25" i="69"/>
  <c r="C43" i="11"/>
  <c r="C43" i="69"/>
  <c r="S19" i="6"/>
  <c r="S27" i="6" s="1"/>
  <c r="I27" i="6"/>
  <c r="H19" i="6"/>
  <c r="I6" i="6"/>
  <c r="I5" i="6"/>
  <c r="E36" i="36"/>
  <c r="R37" i="36"/>
  <c r="I41" i="36"/>
  <c r="J41" i="36" s="1"/>
  <c r="I40" i="36"/>
  <c r="J40" i="36" s="1"/>
  <c r="J48" i="35"/>
  <c r="C48" i="21"/>
  <c r="C49" i="21"/>
  <c r="B2" i="21" s="1"/>
  <c r="B3" i="21" s="1"/>
  <c r="K52" i="37"/>
  <c r="I46" i="40"/>
  <c r="J46" i="40" s="1"/>
  <c r="G46" i="40"/>
  <c r="H46" i="40" s="1"/>
  <c r="G47" i="40"/>
  <c r="H47" i="40" s="1"/>
  <c r="G40" i="36"/>
  <c r="H40" i="36" s="1"/>
  <c r="G41" i="36"/>
  <c r="H41" i="36" s="1"/>
  <c r="S7" i="40"/>
  <c r="AA7" i="40"/>
  <c r="R42" i="40" s="1"/>
  <c r="K59" i="34"/>
  <c r="L59" i="34" s="1"/>
  <c r="M59" i="34" s="1"/>
  <c r="N59" i="34" s="1"/>
  <c r="O59" i="34" s="1"/>
  <c r="H7" i="34"/>
  <c r="E52" i="21"/>
  <c r="F52" i="21" s="1"/>
  <c r="E53" i="21"/>
  <c r="F53" i="21" s="1"/>
  <c r="H68" i="39"/>
  <c r="G70" i="39"/>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11"/>
  <c r="C31" i="11" s="1"/>
  <c r="C41" i="68"/>
  <c r="C49" i="68" s="1"/>
  <c r="C51" i="68" s="1"/>
  <c r="C23" i="67" l="1"/>
  <c r="C29" i="67" s="1"/>
  <c r="C19" i="15"/>
  <c r="C20" i="15" s="1"/>
  <c r="C26" i="15" s="1"/>
  <c r="C41" i="11"/>
  <c r="C49" i="11" s="1"/>
  <c r="C51" i="11" s="1"/>
  <c r="C52" i="11" s="1"/>
  <c r="B2" i="11" s="1"/>
  <c r="B3" i="11" s="1"/>
  <c r="C22" i="69"/>
  <c r="C31" i="69" s="1"/>
  <c r="C52" i="69" s="1"/>
  <c r="B2" i="69" s="1"/>
  <c r="B3" i="69" s="1"/>
  <c r="H27" i="6"/>
  <c r="R19" i="6"/>
  <c r="I68" i="39"/>
  <c r="H70" i="39"/>
  <c r="J7" i="34"/>
  <c r="E42" i="40"/>
  <c r="R43" i="40"/>
  <c r="L52" i="37"/>
  <c r="C36" i="36"/>
  <c r="C37" i="36"/>
  <c r="B2" i="36" s="1"/>
  <c r="B3" i="36" s="1"/>
  <c r="F7" i="34"/>
  <c r="U7" i="34"/>
  <c r="AB7" i="34"/>
  <c r="T49" i="34" s="1"/>
  <c r="G49" i="34" s="1"/>
  <c r="K48" i="35"/>
  <c r="E40" i="36"/>
  <c r="F40" i="36" s="1"/>
  <c r="E41" i="36"/>
  <c r="F41" i="36" s="1"/>
  <c r="C26" i="43"/>
  <c r="B2" i="43" s="1"/>
  <c r="C6" i="68" s="1"/>
  <c r="C7" i="68" s="1"/>
  <c r="C5" i="68" s="1"/>
  <c r="C27" i="43"/>
  <c r="B6" i="76"/>
  <c r="E6" i="76"/>
  <c r="J14" i="67" l="1"/>
  <c r="C13" i="67"/>
  <c r="Q49" i="67"/>
  <c r="J59" i="67"/>
  <c r="J60" i="67" s="1"/>
  <c r="Q48" i="67" s="1"/>
  <c r="C33" i="67"/>
  <c r="C31" i="67" s="1"/>
  <c r="C57" i="67"/>
  <c r="J19" i="67"/>
  <c r="J17" i="67" s="1"/>
  <c r="C36" i="67"/>
  <c r="C23" i="15"/>
  <c r="C29" i="15" s="1"/>
  <c r="J59" i="15" s="1"/>
  <c r="J60" i="15" s="1"/>
  <c r="Q48" i="15" s="1"/>
  <c r="C56" i="11"/>
  <c r="C57" i="11" s="1"/>
  <c r="C20" i="68"/>
  <c r="C23" i="68"/>
  <c r="R27" i="6"/>
  <c r="R6" i="1"/>
  <c r="S7" i="34"/>
  <c r="AA7" i="34"/>
  <c r="R49" i="34" s="1"/>
  <c r="G53" i="34"/>
  <c r="H53" i="34" s="1"/>
  <c r="G54" i="34"/>
  <c r="H54" i="34" s="1"/>
  <c r="E47" i="40"/>
  <c r="F47" i="40" s="1"/>
  <c r="E46" i="40"/>
  <c r="F46" i="40" s="1"/>
  <c r="I47" i="40"/>
  <c r="J47" i="40" s="1"/>
  <c r="L48" i="35"/>
  <c r="M52" i="37"/>
  <c r="C43" i="40"/>
  <c r="C42" i="40"/>
  <c r="W7" i="34"/>
  <c r="AC7" i="34"/>
  <c r="V49" i="34" s="1"/>
  <c r="I49" i="34" s="1"/>
  <c r="J68" i="39"/>
  <c r="I70" i="39"/>
  <c r="E2" i="76"/>
  <c r="B2" i="76"/>
  <c r="B3" i="43"/>
  <c r="C57" i="69"/>
  <c r="C56" i="69" s="1"/>
  <c r="F35" i="15"/>
  <c r="M21" i="15"/>
  <c r="J20" i="15" l="1"/>
  <c r="C34" i="15"/>
  <c r="F63" i="15"/>
  <c r="C62" i="15" s="1"/>
  <c r="R16" i="1"/>
  <c r="C64" i="67"/>
  <c r="C61" i="67"/>
  <c r="C59" i="67" s="1"/>
  <c r="Q70" i="67"/>
  <c r="C37" i="67"/>
  <c r="C30" i="67" s="1"/>
  <c r="C39" i="67" s="1"/>
  <c r="C56" i="67"/>
  <c r="C65" i="67" s="1"/>
  <c r="C75" i="67"/>
  <c r="J22" i="67"/>
  <c r="J13" i="67"/>
  <c r="J23" i="67" s="1"/>
  <c r="Q49" i="15"/>
  <c r="C36" i="15"/>
  <c r="J14" i="15"/>
  <c r="J19" i="15"/>
  <c r="C33" i="15"/>
  <c r="C57" i="15"/>
  <c r="C13" i="15"/>
  <c r="C28" i="68"/>
  <c r="C27" i="68" s="1"/>
  <c r="C25" i="68"/>
  <c r="C22" i="68" s="1"/>
  <c r="I53" i="34"/>
  <c r="J53" i="34" s="1"/>
  <c r="R50" i="34"/>
  <c r="E49" i="34"/>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52" i="37"/>
  <c r="O52" i="37" s="1"/>
  <c r="F7" i="37" s="1"/>
  <c r="J7" i="37"/>
  <c r="M48" i="35"/>
  <c r="N48" i="35" s="1"/>
  <c r="O48" i="35" s="1"/>
  <c r="J7" i="35" s="1"/>
  <c r="H7" i="35"/>
  <c r="B3" i="76"/>
  <c r="L51" i="67"/>
  <c r="C31" i="15" l="1"/>
  <c r="J17" i="15"/>
  <c r="C80" i="67"/>
  <c r="C79" i="67" s="1"/>
  <c r="J16" i="67"/>
  <c r="J25" i="67" s="1"/>
  <c r="Q67" i="67"/>
  <c r="L57" i="67"/>
  <c r="L60" i="67" s="1"/>
  <c r="L46" i="67" s="1"/>
  <c r="C40" i="67"/>
  <c r="Q69" i="67"/>
  <c r="Q68" i="67" s="1"/>
  <c r="C58" i="67"/>
  <c r="C67" i="67" s="1"/>
  <c r="C68" i="67" s="1"/>
  <c r="C61" i="15"/>
  <c r="C59" i="15" s="1"/>
  <c r="C64" i="15"/>
  <c r="C75" i="15"/>
  <c r="Q70" i="15"/>
  <c r="C37" i="15"/>
  <c r="C56" i="15"/>
  <c r="C65" i="15" s="1"/>
  <c r="J22" i="15"/>
  <c r="J13" i="15"/>
  <c r="J23" i="15" s="1"/>
  <c r="C31" i="68"/>
  <c r="C52" i="68" s="1"/>
  <c r="B2" i="68" s="1"/>
  <c r="AA7" i="37"/>
  <c r="R42" i="37" s="1"/>
  <c r="S7" i="37"/>
  <c r="W7" i="37"/>
  <c r="AC7" i="37"/>
  <c r="V42" i="37" s="1"/>
  <c r="I42" i="37" s="1"/>
  <c r="W7" i="35"/>
  <c r="AC7" i="35"/>
  <c r="V38" i="35" s="1"/>
  <c r="I38" i="35" s="1"/>
  <c r="H7" i="37"/>
  <c r="L68" i="39"/>
  <c r="K70" i="39"/>
  <c r="C50" i="34"/>
  <c r="B2" i="34" s="1"/>
  <c r="B3" i="34" s="1"/>
  <c r="C49" i="34"/>
  <c r="U7" i="35"/>
  <c r="AB7" i="35"/>
  <c r="T38" i="35" s="1"/>
  <c r="G38" i="35" s="1"/>
  <c r="E54" i="34"/>
  <c r="F54" i="34" s="1"/>
  <c r="E53" i="34"/>
  <c r="F53" i="34" s="1"/>
  <c r="I54" i="34"/>
  <c r="J54" i="34" s="1"/>
  <c r="F7" i="35"/>
  <c r="Q66" i="67"/>
  <c r="C19" i="9"/>
  <c r="C30" i="15" l="1"/>
  <c r="C39" i="15" s="1"/>
  <c r="Q69" i="15" s="1"/>
  <c r="Q68" i="15" s="1"/>
  <c r="Q57" i="67"/>
  <c r="D2" i="67"/>
  <c r="C71" i="67"/>
  <c r="C45" i="67"/>
  <c r="C46" i="67" s="1"/>
  <c r="Q56" i="67"/>
  <c r="Q62" i="67" s="1"/>
  <c r="Q65" i="67"/>
  <c r="Q75" i="67" s="1"/>
  <c r="C83" i="67"/>
  <c r="C82" i="67" s="1"/>
  <c r="Q47" i="67"/>
  <c r="Q53" i="67" s="1"/>
  <c r="C43" i="67"/>
  <c r="J16" i="15"/>
  <c r="J25" i="15" s="1"/>
  <c r="C58" i="15"/>
  <c r="C67" i="15" s="1"/>
  <c r="C68" i="15" s="1"/>
  <c r="C71" i="15" s="1"/>
  <c r="L57" i="15"/>
  <c r="L60" i="15" s="1"/>
  <c r="C57" i="68"/>
  <c r="C56" i="68" s="1"/>
  <c r="C21" i="9"/>
  <c r="C102" i="9"/>
  <c r="M68" i="39"/>
  <c r="L70" i="39"/>
  <c r="I42" i="35"/>
  <c r="J42" i="35" s="1"/>
  <c r="I46" i="37"/>
  <c r="J46" i="37" s="1"/>
  <c r="AA7" i="35"/>
  <c r="R38" i="35" s="1"/>
  <c r="S7" i="35"/>
  <c r="G42" i="35"/>
  <c r="H42" i="35" s="1"/>
  <c r="G43" i="35"/>
  <c r="H43" i="35" s="1"/>
  <c r="AB7" i="37"/>
  <c r="T42" i="37" s="1"/>
  <c r="G42" i="37" s="1"/>
  <c r="U7" i="37"/>
  <c r="E42" i="37"/>
  <c r="R43" i="37"/>
  <c r="B3" i="68"/>
  <c r="C20" i="9"/>
  <c r="D34" i="9"/>
  <c r="D35" i="9"/>
  <c r="C80" i="15" l="1"/>
  <c r="C79" i="15" s="1"/>
  <c r="C40" i="15"/>
  <c r="C43" i="15" s="1"/>
  <c r="B3" i="67"/>
  <c r="B2" i="67"/>
  <c r="L46" i="15"/>
  <c r="Q66" i="15"/>
  <c r="Q57" i="15"/>
  <c r="C103" i="9"/>
  <c r="E47" i="37"/>
  <c r="F47" i="37" s="1"/>
  <c r="E46" i="37"/>
  <c r="F46" i="37" s="1"/>
  <c r="E38" i="35"/>
  <c r="R39" i="35"/>
  <c r="I47" i="37"/>
  <c r="J47" i="37" s="1"/>
  <c r="N68" i="39"/>
  <c r="M70" i="39"/>
  <c r="C42" i="37"/>
  <c r="C43" i="37"/>
  <c r="B2" i="37" s="1"/>
  <c r="B3" i="37" s="1"/>
  <c r="G46" i="37"/>
  <c r="H46" i="37" s="1"/>
  <c r="G47" i="37"/>
  <c r="H47" i="37" s="1"/>
  <c r="L51" i="15"/>
  <c r="Q67" i="15" l="1"/>
  <c r="Q65" i="15"/>
  <c r="C46" i="15"/>
  <c r="C83" i="15"/>
  <c r="C82" i="15" s="1"/>
  <c r="Q56" i="15"/>
  <c r="Q47" i="15"/>
  <c r="Q53" i="15" s="1"/>
  <c r="B2" i="15"/>
  <c r="B3" i="15" s="1"/>
  <c r="Q75" i="15"/>
  <c r="Q62" i="15"/>
  <c r="E43" i="35"/>
  <c r="F43" i="35" s="1"/>
  <c r="E42" i="35"/>
  <c r="F42" i="35" s="1"/>
  <c r="I43" i="35"/>
  <c r="J43" i="35" s="1"/>
  <c r="O68" i="39"/>
  <c r="O70" i="39" s="1"/>
  <c r="N70" i="39"/>
  <c r="C38" i="35"/>
  <c r="C39" i="35"/>
  <c r="B2" i="35" s="1"/>
  <c r="B3" i="35" s="1"/>
  <c r="AO6" i="1"/>
  <c r="B6" i="70" l="1"/>
  <c r="B2" i="70" s="1"/>
  <c r="F7" i="39"/>
  <c r="H7" i="39"/>
  <c r="J7" i="39"/>
  <c r="D19" i="9"/>
  <c r="D102" i="9" l="1"/>
  <c r="G19" i="9"/>
  <c r="D21" i="9"/>
  <c r="D22" i="9"/>
  <c r="B3" i="70"/>
  <c r="AC7" i="39"/>
  <c r="V47" i="39" s="1"/>
  <c r="I47" i="39" s="1"/>
  <c r="W7" i="39"/>
  <c r="AB7" i="39"/>
  <c r="T47" i="39" s="1"/>
  <c r="G47" i="39" s="1"/>
  <c r="U7" i="39"/>
  <c r="S7" i="39"/>
  <c r="AA7" i="39"/>
  <c r="R47" i="39" s="1"/>
  <c r="D20" i="9"/>
  <c r="G21" i="9" l="1"/>
  <c r="C32" i="9"/>
  <c r="H118" i="9" s="1"/>
  <c r="G20" i="9"/>
  <c r="D103" i="9"/>
  <c r="E47" i="39"/>
  <c r="R48" i="39"/>
  <c r="G52" i="39"/>
  <c r="H52" i="39" s="1"/>
  <c r="G51" i="39"/>
  <c r="H51" i="39" s="1"/>
  <c r="I51" i="39"/>
  <c r="J51" i="39" s="1"/>
  <c r="C35" i="9" l="1"/>
  <c r="F118" i="9" s="1"/>
  <c r="G118" i="9" s="1"/>
  <c r="G4" i="52" s="1"/>
  <c r="B52" i="72" s="1"/>
  <c r="H119" i="9"/>
  <c r="H5" i="52" s="1"/>
  <c r="H101" i="9"/>
  <c r="D14" i="74"/>
  <c r="I118" i="9"/>
  <c r="H4" i="52"/>
  <c r="C104" i="9"/>
  <c r="E51" i="39"/>
  <c r="F51" i="39" s="1"/>
  <c r="E52" i="39"/>
  <c r="F52" i="39" s="1"/>
  <c r="I52" i="39"/>
  <c r="J52" i="39" s="1"/>
  <c r="C48" i="39"/>
  <c r="C47" i="39"/>
  <c r="F4" i="52" l="1"/>
  <c r="B51" i="72" s="1"/>
  <c r="F119" i="9"/>
  <c r="F5" i="52" s="1"/>
  <c r="B53" i="72" s="1"/>
  <c r="C34" i="9"/>
  <c r="D118" i="9" s="1"/>
  <c r="E14" i="74"/>
  <c r="B5" i="74"/>
  <c r="F14" i="74"/>
  <c r="I4" i="52"/>
  <c r="C105" i="9"/>
  <c r="E118" i="9"/>
  <c r="E4" i="52" s="1"/>
  <c r="B48" i="72" s="1"/>
  <c r="H102" i="9"/>
  <c r="D7" i="53" s="1"/>
  <c r="B21" i="72" s="1"/>
  <c r="M48" i="9"/>
  <c r="D5" i="53"/>
  <c r="D45" i="9"/>
  <c r="H107"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4" i="52" l="1"/>
  <c r="B47" i="72" s="1"/>
  <c r="D119" i="9"/>
  <c r="D5" i="52" s="1"/>
  <c r="B49" i="72" s="1"/>
  <c r="C85" i="9"/>
  <c r="C93" i="9"/>
  <c r="C86" i="9" s="1"/>
  <c r="D53" i="9"/>
  <c r="D52" i="9"/>
  <c r="D55" i="9"/>
  <c r="M53" i="9" s="1"/>
  <c r="C78" i="9"/>
  <c r="C73" i="9" s="1"/>
  <c r="C64" i="9"/>
  <c r="C63" i="9" s="1"/>
  <c r="C67" i="9" s="1"/>
  <c r="C68" i="9" s="1"/>
  <c r="D54" i="9" s="1"/>
  <c r="C72" i="9"/>
  <c r="D5" i="74"/>
  <c r="C5" i="74"/>
  <c r="M49" i="9"/>
  <c r="H108" i="9"/>
  <c r="D15" i="53" s="1"/>
  <c r="B31" i="72" s="1"/>
  <c r="D13" i="53"/>
  <c r="D122" i="9"/>
  <c r="B20" i="72"/>
  <c r="D6" i="53"/>
  <c r="B22" i="72" s="1"/>
  <c r="C79" i="9" l="1"/>
  <c r="C80" i="9" s="1"/>
  <c r="E80" i="9" s="1"/>
  <c r="E81" i="9" s="1"/>
  <c r="C95" i="9"/>
  <c r="C96" i="9" s="1"/>
  <c r="E96" i="9" s="1"/>
  <c r="E97" i="9" s="1"/>
  <c r="G14" i="74"/>
  <c r="B6" i="74" s="1"/>
  <c r="D123" i="9"/>
  <c r="D9" i="52" s="1"/>
  <c r="D8" i="52"/>
  <c r="B30" i="72"/>
  <c r="D14" i="53"/>
  <c r="B32" i="72" s="1"/>
  <c r="L65" i="9"/>
  <c r="M65" i="9" s="1"/>
  <c r="L67" i="9"/>
  <c r="M67" i="9" s="1"/>
  <c r="L63" i="9"/>
  <c r="M63" i="9" s="1"/>
  <c r="L66" i="9"/>
  <c r="M66" i="9" s="1"/>
  <c r="L64" i="9"/>
  <c r="M64" i="9" s="1"/>
  <c r="L68" i="9"/>
  <c r="M68" i="9" s="1"/>
  <c r="C81" i="9" l="1"/>
  <c r="M69" i="9"/>
  <c r="N69" i="9" s="1"/>
  <c r="C97" i="9"/>
  <c r="D58" i="9" s="1"/>
  <c r="D56" i="9" s="1"/>
  <c r="M54" i="9" s="1"/>
  <c r="N57" i="9" s="1"/>
  <c r="P57"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<sst xmlns="http://schemas.openxmlformats.org/spreadsheetml/2006/main" count="7405" uniqueCount="3160">
  <si>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</si>
  <si>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</si>
  <si>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</si>
  <si>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</si>
  <si>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</si>
  <si>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</si>
  <si>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</si>
  <si>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</si>
  <si>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</si>
  <si>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</si>
  <si>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</si>
  <si>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</si>
  <si>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</si>
  <si>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</si>
  <si>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</si>
  <si>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</si>
  <si>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</si>
  <si>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</si>
  <si>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</si>
  <si>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</si>
  <si>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</si>
  <si>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</si>
  <si>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</si>
  <si>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</si>
  <si>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</si>
  <si>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</si>
  <si>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</si>
  <si>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</si>
  <si>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</si>
  <si>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</si>
  <si>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</si>
  <si>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</si>
  <si>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</si>
  <si>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</si>
  <si>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</si>
  <si>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</si>
  <si>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</si>
  <si>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</si>
  <si>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</si>
  <si>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</si>
  <si>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</si>
  <si>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</si>
  <si>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</si>
  <si>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</si>
  <si>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</si>
  <si>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</si>
  <si>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</si>
  <si>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</si>
  <si>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</si>
  <si>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</si>
  <si>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</si>
  <si>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</si>
  <si>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</si>
  <si>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</si>
  <si>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</si>
  <si>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</si>
  <si>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</si>
  <si>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</si>
  <si>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</si>
  <si>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</si>
  <si>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</si>
  <si>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</si>
  <si>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</si>
  <si>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</si>
  <si>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</si>
  <si>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</si>
  <si>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</si>
  <si>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</si>
  <si>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</si>
  <si>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</si>
  <si>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</si>
  <si>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</si>
  <si>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</si>
  <si>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</si>
  <si>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</si>
  <si>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</si>
  <si>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</si>
  <si>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</si>
  <si>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</si>
  <si>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</si>
  <si>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</si>
  <si>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</si>
  <si>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</si>
  <si>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</si>
  <si>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</si>
  <si>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</si>
  <si>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</si>
  <si>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</si>
  <si>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</si>
  <si>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</si>
  <si>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</si>
  <si>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</si>
  <si>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</si>
  <si>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</si>
  <si>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</si>
  <si>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</si>
  <si>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</si>
  <si>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</si>
  <si>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</si>
  <si>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</si>
  <si>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</si>
  <si>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</si>
  <si>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</si>
  <si>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</si>
  <si>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</si>
  <si>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</si>
  <si>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</si>
  <si>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</si>
  <si>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</si>
  <si>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</si>
  <si>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</si>
  <si>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</si>
  <si>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</si>
  <si>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</si>
  <si>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</si>
  <si>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</si>
  <si>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</si>
  <si>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</si>
  <si>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</si>
  <si>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</si>
  <si>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</si>
  <si>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</si>
  <si>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</si>
  <si>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</si>
  <si>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</si>
  <si>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</si>
  <si>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</si>
  <si>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</si>
  <si>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</si>
  <si>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</si>
  <si>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</si>
  <si>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</si>
  <si>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</si>
  <si>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</si>
  <si>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</si>
  <si>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</si>
  <si>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</si>
  <si>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</si>
  <si>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</si>
  <si>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</si>
  <si>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</si>
  <si>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</si>
  <si>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</si>
  <si>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</si>
  <si>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</si>
  <si>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</si>
  <si>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</si>
  <si>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</si>
  <si>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</si>
  <si>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</si>
  <si>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</si>
  <si>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</si>
  <si>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</si>
  <si>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</si>
  <si>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</si>
  <si>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</si>
  <si>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</si>
  <si>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</si>
  <si>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</si>
  <si>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</si>
  <si>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</si>
  <si>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</si>
  <si>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</si>
  <si>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</si>
  <si>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</si>
  <si>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</si>
  <si>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</si>
  <si>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</si>
  <si>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</si>
  <si>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</si>
  <si>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</si>
  <si>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</si>
  <si>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</si>
  <si>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</si>
  <si>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</si>
  <si>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</si>
  <si>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</si>
  <si>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</si>
  <si>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</si>
  <si>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</si>
  <si>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</si>
  <si>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</si>
  <si>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</si>
  <si>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</si>
  <si>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</si>
  <si>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</si>
  <si>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</si>
  <si>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</si>
  <si>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</si>
  <si>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</si>
  <si>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</si>
  <si>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</si>
  <si>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</si>
  <si>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</si>
  <si>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</si>
  <si>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</si>
  <si>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</si>
  <si>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</si>
  <si>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</si>
  <si>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</si>
  <si>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</si>
  <si>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</si>
  <si>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</si>
  <si>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</si>
  <si>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</si>
  <si>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</si>
  <si>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</si>
  <si>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</si>
  <si>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</si>
  <si>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</si>
  <si>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</si>
  <si>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</si>
  <si>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</si>
  <si>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</si>
  <si>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</si>
  <si>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</si>
  <si>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</si>
  <si>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</si>
  <si>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</si>
  <si>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</si>
  <si>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</si>
  <si>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</si>
  <si>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</si>
  <si>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</si>
  <si>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</si>
  <si>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</si>
  <si>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</si>
  <si>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</si>
  <si>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</si>
  <si>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</si>
  <si>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</si>
  <si>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</si>
  <si>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</si>
  <si>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</si>
  <si>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</si>
  <si>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</si>
  <si>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</si>
  <si>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</si>
  <si>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</si>
  <si>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</si>
  <si>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</si>
  <si>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</si>
  <si>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</si>
  <si>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</si>
  <si>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</si>
  <si>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</si>
  <si>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</si>
  <si>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</si>
  <si>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</si>
  <si>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</si>
  <si>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</si>
  <si>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</si>
  <si>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</si>
  <si>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</si>
  <si>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</si>
  <si>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</si>
  <si>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</si>
  <si>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</si>
  <si>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</si>
  <si>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</si>
  <si>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</si>
  <si>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</si>
  <si>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</si>
  <si>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</si>
  <si>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</si>
  <si>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</si>
  <si>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</si>
  <si>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</si>
  <si>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</si>
  <si>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</si>
  <si>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</si>
  <si>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</si>
  <si>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</si>
  <si>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</si>
  <si>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</si>
  <si>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</si>
  <si>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</si>
  <si>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</si>
  <si>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</si>
  <si>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</si>
  <si>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</si>
  <si>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</si>
  <si>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</si>
  <si>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</si>
  <si>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</si>
  <si>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</si>
  <si>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</si>
  <si>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</si>
  <si>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</si>
  <si>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</si>
  <si>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</si>
  <si>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</si>
  <si>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</si>
  <si>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</si>
  <si>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</si>
  <si>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</si>
  <si>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</si>
  <si>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</si>
  <si>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</si>
  <si>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</si>
  <si>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</si>
  <si>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</si>
  <si>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</si>
  <si>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</si>
  <si>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</si>
  <si>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</si>
  <si>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</si>
  <si>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</si>
  <si>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</si>
  <si>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</si>
  <si>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</si>
  <si>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</si>
  <si>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</si>
  <si>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</si>
  <si>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</si>
  <si>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</si>
  <si>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</si>
  <si>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</si>
  <si>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</si>
  <si>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</si>
  <si>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</si>
  <si>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</si>
  <si>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</si>
  <si>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</si>
  <si>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</si>
  <si>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</si>
  <si>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</si>
  <si>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</si>
  <si>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</si>
  <si>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</si>
  <si>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</si>
  <si>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</si>
  <si>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</si>
  <si>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</si>
  <si>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</si>
  <si>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</si>
  <si>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</si>
  <si>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</si>
  <si>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</si>
  <si>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</si>
  <si>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</si>
  <si>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</si>
  <si>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</si>
  <si>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</si>
  <si>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</si>
  <si>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</si>
  <si>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</si>
  <si>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</si>
  <si>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</si>
  <si>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</si>
  <si>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</si>
  <si>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</si>
  <si>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</si>
  <si>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</si>
  <si>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</si>
  <si>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</si>
  <si>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</si>
  <si>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</si>
  <si>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</si>
  <si>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</si>
  <si>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</si>
  <si>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</si>
  <si>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</si>
  <si>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</si>
  <si>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</si>
  <si>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</si>
  <si>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</si>
  <si>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</si>
  <si>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</si>
  <si>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</si>
  <si>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</si>
  <si>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</si>
  <si>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</si>
  <si>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</si>
  <si>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</si>
  <si>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</si>
  <si>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</si>
  <si>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</si>
  <si>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</si>
  <si>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</si>
  <si>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</si>
  <si>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</si>
  <si>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</si>
  <si>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</si>
  <si>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</si>
  <si>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</si>
  <si>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</si>
  <si>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</si>
  <si>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</si>
  <si>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</si>
  <si>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</si>
  <si>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</si>
  <si>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</si>
  <si>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</si>
  <si>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</si>
  <si>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</si>
  <si>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</si>
  <si>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</si>
  <si>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</si>
  <si>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</si>
  <si>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</si>
  <si>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</si>
  <si>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</si>
  <si>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</si>
  <si>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</si>
  <si>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</si>
  <si>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</si>
  <si>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</si>
  <si>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</si>
  <si>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</si>
  <si>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</si>
  <si>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</si>
  <si>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</si>
  <si>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</si>
  <si>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</si>
  <si>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</si>
  <si>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</si>
  <si>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</si>
  <si>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</si>
  <si>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</si>
  <si>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</si>
  <si>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</si>
  <si>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</si>
  <si>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</si>
  <si>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</si>
  <si>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</si>
  <si>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</si>
  <si>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</si>
  <si>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</si>
  <si>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</si>
  <si>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</si>
  <si>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</si>
  <si>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</si>
  <si>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</si>
  <si>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</si>
  <si>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</si>
  <si>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</si>
  <si>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</si>
  <si>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</si>
  <si>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</si>
  <si>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</si>
  <si>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</si>
  <si>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</si>
  <si>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</si>
  <si>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</si>
  <si>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</si>
  <si>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</si>
  <si>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</si>
  <si>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</si>
  <si>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</si>
  <si>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</si>
  <si>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</si>
  <si>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</si>
  <si>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</si>
  <si>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</si>
  <si>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</si>
  <si>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</si>
  <si>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</si>
  <si>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</si>
  <si>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</si>
  <si>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</si>
  <si>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</si>
  <si>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</si>
  <si>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</si>
  <si>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</si>
  <si>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</si>
  <si>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</si>
  <si>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</si>
  <si>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</si>
  <si>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</si>
  <si>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</si>
  <si>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</si>
  <si>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</si>
  <si>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</si>
  <si>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</si>
  <si>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</si>
  <si>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</si>
  <si>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</si>
  <si>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</si>
  <si>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</si>
  <si>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</si>
  <si>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</si>
  <si>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</si>
  <si>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</si>
  <si>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</si>
  <si>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</si>
  <si>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</si>
  <si>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</si>
  <si>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</si>
  <si>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</si>
  <si>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</si>
  <si>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</si>
  <si>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</si>
  <si>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</si>
  <si>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</si>
  <si>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</si>
  <si>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</si>
  <si>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</si>
  <si>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</si>
  <si>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</si>
  <si>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</si>
  <si>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</si>
  <si>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</si>
  <si>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</si>
  <si>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</si>
  <si>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</si>
  <si>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</si>
  <si>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</si>
  <si>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</si>
  <si>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</si>
  <si>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</si>
  <si>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</si>
  <si>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</si>
  <si>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</si>
  <si>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</si>
  <si>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</si>
  <si>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</si>
  <si>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</si>
  <si>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</si>
  <si>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</si>
  <si>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</si>
  <si>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</si>
  <si>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</si>
  <si>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</si>
  <si>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</si>
  <si>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</si>
  <si>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</si>
  <si>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</si>
  <si>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</si>
  <si>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</si>
  <si>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</si>
  <si>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</si>
  <si>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</si>
  <si>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</si>
  <si>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</si>
  <si>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</si>
  <si>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</si>
  <si>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</si>
  <si>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</si>
  <si>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</si>
  <si>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</si>
  <si>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</si>
  <si>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</si>
  <si>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</si>
  <si>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</si>
  <si>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</si>
  <si>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</si>
  <si>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</si>
  <si>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</si>
  <si>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</si>
  <si>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</si>
  <si>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</si>
  <si>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</si>
  <si>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</si>
  <si>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</si>
  <si>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</si>
  <si>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</si>
  <si>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</si>
  <si>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</si>
  <si>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</si>
  <si>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</si>
  <si>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</si>
  <si>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</si>
  <si>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</si>
  <si>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</si>
  <si>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</si>
  <si>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</si>
  <si>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</si>
  <si>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</si>
  <si>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</si>
  <si>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</si>
  <si>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</si>
  <si>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</si>
  <si>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</si>
  <si>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</si>
  <si>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</si>
  <si>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</si>
  <si>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</si>
  <si>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</si>
  <si>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</si>
  <si>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</si>
  <si>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</si>
  <si>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</si>
  <si>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</si>
  <si>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</si>
  <si>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</si>
  <si>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</si>
  <si>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</si>
  <si>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</si>
  <si>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</si>
  <si>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</si>
  <si>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</si>
  <si>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</si>
  <si>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</si>
  <si>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</si>
  <si>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</si>
  <si>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</si>
  <si>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</si>
  <si>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</si>
  <si>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</si>
  <si>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</si>
  <si>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</si>
  <si>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</si>
  <si>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</si>
  <si>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</si>
  <si>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</si>
  <si>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</si>
  <si>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</si>
  <si>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</si>
  <si>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</si>
  <si>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</si>
  <si>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</si>
  <si>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</si>
  <si>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</si>
  <si>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</si>
  <si>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</si>
  <si>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</si>
  <si>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</si>
  <si>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</si>
  <si>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</si>
  <si>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</si>
  <si>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</si>
  <si>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</si>
  <si>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</si>
  <si>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</si>
  <si>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</si>
  <si>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</si>
  <si>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</si>
  <si>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</si>
  <si>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</si>
  <si>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</si>
  <si>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</si>
  <si>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</si>
  <si>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</si>
  <si>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</si>
  <si>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</si>
  <si>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</si>
  <si>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</si>
  <si>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</si>
  <si>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</si>
  <si>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</si>
  <si>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</si>
  <si>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</si>
  <si>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</si>
  <si>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</si>
  <si>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</si>
  <si>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</si>
  <si>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</si>
  <si>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</si>
  <si>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</si>
  <si>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</si>
  <si>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</si>
  <si>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</si>
  <si>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</si>
  <si>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</si>
  <si>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</si>
  <si>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</si>
  <si>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</si>
  <si>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</si>
  <si>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</si>
  <si>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</si>
  <si>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</si>
  <si>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</si>
  <si>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</si>
  <si>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</si>
  <si>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</si>
  <si>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</si>
  <si>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</si>
  <si>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</si>
  <si>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</si>
  <si>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</si>
  <si>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</si>
  <si>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</si>
  <si>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</si>
  <si>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</si>
  <si>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</si>
  <si>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</si>
  <si>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</si>
  <si>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</si>
  <si>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</si>
  <si>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</si>
  <si>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</si>
  <si>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</si>
  <si>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</si>
  <si>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</si>
  <si>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</si>
  <si>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</si>
  <si>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</si>
  <si>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</si>
  <si>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</si>
  <si>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</si>
  <si>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</si>
  <si>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</si>
  <si>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</si>
  <si>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</si>
  <si>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</si>
  <si>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</si>
  <si>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</si>
  <si>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</si>
  <si>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</si>
  <si>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</si>
  <si>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</si>
  <si>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</si>
  <si>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</si>
  <si>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</si>
  <si>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</si>
  <si>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</si>
  <si>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</si>
  <si>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</si>
  <si>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</si>
  <si>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</si>
  <si>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</si>
  <si>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</si>
  <si>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</si>
  <si>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</si>
  <si>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</si>
  <si>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</si>
  <si>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</si>
  <si>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</si>
  <si>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</si>
  <si>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</si>
  <si>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</si>
  <si>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</si>
  <si>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</si>
  <si>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</si>
  <si>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</si>
  <si>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</si>
  <si>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</si>
  <si>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</si>
  <si>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</si>
  <si>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</si>
  <si>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</si>
  <si>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</si>
  <si>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</si>
  <si>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</si>
  <si>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</si>
  <si>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</si>
  <si>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</si>
  <si>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</si>
  <si>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</si>
  <si>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</si>
  <si>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</si>
  <si>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</si>
  <si>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</si>
  <si>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</si>
  <si>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</si>
  <si>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</si>
  <si>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</si>
  <si>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</si>
  <si>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</si>
  <si>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</si>
  <si>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</si>
  <si>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</si>
  <si>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</si>
  <si>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</si>
  <si>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</si>
  <si>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</si>
  <si>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</si>
  <si>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</si>
  <si>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</si>
  <si>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</si>
  <si>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</si>
  <si>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</si>
  <si>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</si>
  <si>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</si>
  <si>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</si>
  <si>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</si>
  <si>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</si>
  <si>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</si>
  <si>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</si>
  <si>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</si>
  <si>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</si>
  <si>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</si>
  <si>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</si>
  <si>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</si>
  <si>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</si>
  <si>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</si>
  <si>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</si>
  <si>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</si>
  <si>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</si>
  <si>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</si>
  <si>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</si>
  <si>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</si>
  <si>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</si>
  <si>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</si>
  <si>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</si>
  <si>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</si>
  <si>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</si>
  <si>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</si>
  <si>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</si>
  <si>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</si>
  <si>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</si>
  <si>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</si>
  <si>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</si>
  <si>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</si>
  <si>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</si>
  <si>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</si>
  <si>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</si>
  <si>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</si>
  <si>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</si>
  <si>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</si>
  <si>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</si>
  <si>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</si>
  <si>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</si>
  <si>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</si>
  <si>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</si>
  <si>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</si>
  <si>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</si>
  <si>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</si>
  <si>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</si>
  <si>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</si>
  <si>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</si>
  <si>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</si>
  <si>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</si>
  <si>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</si>
  <si>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</si>
  <si>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</si>
  <si>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</si>
  <si>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</si>
  <si>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</si>
  <si>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</si>
  <si>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</si>
  <si>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</si>
  <si>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</si>
  <si>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</si>
  <si>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</si>
  <si>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</si>
  <si>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</si>
  <si>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</si>
  <si>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</si>
  <si>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</si>
  <si>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</si>
  <si>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</si>
  <si>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</si>
  <si>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</si>
  <si>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</si>
  <si>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</si>
  <si>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</si>
  <si>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</si>
  <si>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</si>
  <si>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</si>
  <si>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</si>
  <si>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</si>
  <si>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</si>
  <si>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</si>
  <si>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</si>
  <si>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</si>
  <si>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</si>
  <si>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</si>
  <si>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</si>
  <si>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</si>
  <si>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</si>
  <si>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</si>
  <si>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</si>
  <si>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</si>
  <si>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</si>
  <si>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</si>
  <si>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</si>
  <si>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</si>
  <si>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</si>
  <si>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</si>
  <si>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</si>
  <si>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</si>
  <si>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</si>
  <si>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</si>
  <si>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</si>
  <si>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</si>
  <si>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</si>
  <si>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</si>
  <si>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</si>
  <si>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</si>
  <si>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</si>
  <si>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</si>
  <si>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</si>
  <si>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</si>
  <si>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</si>
  <si>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</si>
  <si>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</si>
  <si>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</si>
  <si>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</si>
  <si>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</si>
  <si>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</si>
  <si>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</si>
  <si>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</si>
  <si>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</si>
  <si>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</si>
  <si>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</si>
  <si>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</si>
  <si>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</si>
  <si>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</si>
  <si>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</si>
  <si>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</si>
  <si>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</si>
  <si>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</si>
  <si>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</si>
  <si>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</si>
  <si>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</si>
  <si>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</si>
  <si>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</si>
  <si>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</si>
  <si>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</si>
  <si>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</si>
  <si>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</si>
  <si>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</si>
  <si>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</si>
  <si>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</si>
  <si>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</si>
  <si>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</si>
  <si>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</si>
  <si>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</si>
  <si>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</si>
  <si>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</si>
  <si>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</si>
  <si>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</si>
  <si>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</si>
  <si>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</si>
  <si>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</si>
  <si>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</si>
  <si>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</si>
  <si>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</si>
  <si>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</si>
  <si>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</si>
  <si>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</si>
  <si>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</si>
  <si>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</si>
  <si>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</si>
  <si>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</si>
  <si>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</si>
  <si>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</si>
  <si>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</si>
  <si>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</si>
  <si>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</si>
  <si>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</si>
  <si>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</si>
  <si>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</si>
  <si>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</si>
  <si>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</si>
  <si>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</si>
  <si>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</si>
  <si>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</si>
  <si>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</si>
  <si>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</si>
  <si>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</si>
  <si>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</si>
  <si>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</si>
  <si>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</si>
  <si>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</si>
  <si>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</si>
  <si>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</si>
  <si>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</si>
  <si>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</si>
  <si>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</si>
  <si>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</si>
  <si>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</si>
  <si>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</si>
  <si>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</si>
  <si>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</si>
  <si>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</si>
  <si>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</si>
  <si>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</si>
  <si>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</si>
  <si>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</si>
  <si>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</si>
  <si>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</si>
  <si>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</si>
  <si>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</si>
  <si>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</si>
  <si>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</si>
  <si>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</si>
  <si>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</si>
  <si>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</si>
  <si>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</si>
  <si>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</si>
  <si>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</si>
  <si>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</si>
  <si>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</si>
  <si>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</si>
  <si>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</si>
  <si>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</si>
  <si>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</si>
  <si>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</si>
  <si>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</si>
  <si>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</si>
  <si>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</si>
  <si>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</si>
  <si>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</si>
  <si>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</si>
  <si>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</si>
  <si>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</si>
  <si>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</si>
  <si>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</si>
  <si>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</si>
  <si>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</si>
  <si>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</si>
  <si>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</si>
  <si>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</si>
  <si>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</si>
  <si>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</si>
  <si>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</si>
  <si>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</si>
  <si>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</si>
  <si>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</si>
  <si>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</si>
  <si>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</si>
  <si>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</si>
  <si>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</si>
  <si>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</si>
  <si>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</si>
  <si>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</si>
  <si>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</si>
  <si>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</si>
  <si>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</si>
  <si>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</si>
  <si>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</si>
  <si>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</si>
  <si>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</si>
  <si>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</si>
  <si>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</si>
  <si>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</si>
  <si>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</si>
  <si>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</si>
  <si>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</si>
  <si>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</si>
  <si>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</si>
  <si>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</si>
  <si>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</si>
  <si>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</si>
  <si>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</si>
  <si>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</si>
  <si>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</si>
  <si>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</si>
  <si>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</si>
  <si>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</si>
  <si>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</si>
  <si>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</si>
  <si>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</si>
  <si>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</si>
  <si>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</si>
  <si>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</si>
  <si>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</si>
  <si>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</si>
  <si>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</si>
  <si>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</si>
  <si>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</si>
  <si>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</si>
  <si>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</si>
  <si>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</si>
  <si>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</si>
  <si>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</si>
  <si>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</si>
  <si>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</si>
  <si>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</si>
  <si>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</si>
  <si>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</si>
  <si>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</si>
  <si>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</si>
  <si>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</si>
  <si>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</si>
  <si>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</si>
  <si>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</si>
  <si>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</si>
  <si>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</si>
  <si>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</si>
  <si>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</si>
  <si>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</si>
  <si>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</si>
  <si>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</si>
  <si>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</si>
  <si>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</si>
  <si>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</si>
  <si>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</si>
  <si>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</si>
  <si>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</si>
  <si>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</si>
  <si>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</si>
  <si>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</si>
  <si>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</si>
  <si>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</si>
  <si>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</si>
  <si>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</si>
  <si>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</si>
  <si>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</si>
  <si>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</si>
  <si>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</si>
  <si>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</si>
  <si>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</si>
  <si>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</si>
  <si>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</si>
  <si>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</si>
  <si>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</si>
  <si>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</si>
  <si>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</si>
  <si>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</si>
  <si>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</si>
  <si>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</si>
  <si>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</si>
  <si>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</si>
  <si>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</si>
  <si>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</si>
  <si>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</si>
  <si>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</si>
  <si>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</si>
  <si>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</si>
  <si>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</si>
  <si>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</si>
  <si>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</si>
  <si>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</si>
  <si>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</si>
  <si>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</si>
  <si>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</si>
  <si>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</si>
  <si>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</si>
  <si>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</si>
  <si>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</si>
  <si>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</si>
  <si>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</si>
  <si>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</si>
  <si>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</si>
  <si>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</si>
  <si>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</si>
  <si>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</si>
  <si>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</si>
  <si>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</si>
  <si>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</si>
  <si>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</si>
  <si>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</si>
  <si>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</si>
  <si>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</si>
  <si>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</si>
  <si>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</si>
  <si>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</si>
  <si>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</si>
  <si>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</si>
  <si>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</si>
  <si>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</si>
  <si>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</si>
  <si>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</si>
  <si>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</si>
  <si>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</si>
  <si>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</si>
  <si>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</si>
  <si>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</si>
  <si>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</si>
  <si>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</si>
  <si>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</si>
  <si>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</si>
  <si>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</si>
  <si>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</si>
  <si>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</si>
  <si>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</si>
  <si>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</si>
  <si>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</si>
  <si>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</si>
  <si>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</si>
  <si>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</si>
  <si>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</si>
  <si>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</si>
  <si>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</si>
  <si>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</si>
  <si>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</si>
  <si>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</si>
  <si>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</si>
  <si>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</si>
  <si>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</si>
  <si>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</si>
  <si>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</si>
  <si>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</si>
  <si>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</si>
  <si>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</si>
  <si>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</si>
  <si>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</si>
  <si>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</si>
  <si>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</si>
  <si>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</si>
  <si>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</si>
  <si>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</si>
  <si>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</si>
  <si>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</si>
  <si>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</si>
  <si>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</si>
  <si>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</si>
  <si>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</si>
  <si>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</si>
  <si>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</si>
  <si>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</si>
  <si>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</si>
  <si>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</si>
  <si>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</si>
  <si>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</si>
  <si>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</si>
  <si>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</si>
  <si>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</si>
  <si>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</si>
  <si>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</si>
  <si>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</si>
  <si>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</si>
  <si>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</si>
  <si>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</si>
  <si>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</si>
  <si>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</si>
  <si>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</si>
  <si>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</si>
  <si>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</si>
  <si>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</si>
  <si>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</si>
  <si>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</si>
  <si>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</si>
  <si>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</si>
  <si>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</si>
  <si>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</si>
  <si>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</si>
  <si>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</si>
  <si>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</si>
  <si>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</si>
  <si>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</si>
  <si>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</si>
  <si>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</si>
  <si>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</si>
  <si>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</si>
  <si>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</si>
  <si>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</si>
  <si>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</si>
  <si>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</si>
  <si>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</si>
  <si>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</si>
  <si>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</si>
  <si>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</si>
  <si>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</si>
  <si>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</si>
  <si>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</si>
  <si>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</si>
  <si>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</si>
  <si>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</si>
  <si>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</si>
  <si>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</si>
  <si>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</si>
  <si>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</si>
  <si>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</si>
  <si>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</si>
  <si>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</si>
  <si>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</si>
  <si>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</si>
  <si>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</si>
  <si>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</si>
  <si>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</si>
  <si>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</si>
  <si>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</si>
  <si>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</si>
  <si>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</si>
  <si>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</si>
  <si>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</si>
  <si>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</si>
  <si>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</si>
  <si>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</si>
  <si>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</si>
  <si>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</si>
  <si>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</si>
  <si>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</si>
  <si>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</si>
  <si>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</si>
  <si>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</si>
  <si>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</si>
  <si>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</si>
  <si>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</si>
  <si>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</si>
  <si>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</si>
  <si>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</si>
  <si>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</si>
  <si>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</si>
  <si>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</si>
  <si>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</si>
  <si>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</si>
  <si>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</si>
  <si>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</si>
  <si>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</si>
  <si>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</si>
  <si>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</si>
  <si>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</si>
  <si>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</si>
  <si>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</si>
  <si>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</si>
  <si>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</si>
  <si>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</si>
  <si>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</si>
  <si>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</si>
  <si>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</si>
  <si>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</si>
  <si>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</si>
  <si>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</si>
  <si>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</si>
  <si>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</si>
  <si>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</si>
  <si>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</si>
  <si>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</si>
  <si>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</si>
  <si>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</si>
  <si>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</si>
  <si>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</si>
  <si>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</si>
  <si>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</si>
  <si>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</si>
  <si>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</si>
  <si>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</si>
  <si>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</si>
  <si>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</si>
  <si>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</si>
  <si>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</si>
  <si>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</si>
  <si>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</si>
  <si>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</si>
  <si>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</si>
  <si>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</si>
  <si>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</si>
  <si>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</si>
  <si>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</si>
  <si>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</si>
  <si>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</si>
  <si>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</si>
  <si>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</si>
  <si>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</si>
  <si>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</si>
  <si>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</si>
  <si>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</si>
  <si>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</si>
  <si>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</si>
  <si>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</si>
  <si>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</si>
  <si>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</si>
  <si>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</si>
  <si>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</si>
  <si>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</si>
  <si>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</si>
  <si>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</si>
  <si>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</si>
  <si>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</si>
  <si>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</si>
  <si>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</si>
  <si>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</si>
  <si>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</si>
  <si>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</si>
  <si>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</si>
  <si>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</si>
  <si>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</si>
  <si>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</si>
  <si>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</si>
  <si>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</si>
  <si>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</si>
  <si>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</si>
  <si>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</si>
  <si>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</si>
  <si>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</si>
  <si>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</si>
  <si>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</si>
  <si>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</si>
  <si>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</si>
  <si>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</si>
  <si>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</si>
  <si>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</si>
  <si>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</si>
  <si>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</si>
  <si>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</si>
  <si>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</si>
  <si>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</si>
  <si>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</si>
  <si>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</si>
  <si>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</si>
  <si>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</si>
  <si>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</si>
  <si>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</si>
  <si>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</si>
  <si>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</si>
  <si>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</si>
  <si>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</si>
  <si>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</si>
  <si>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</si>
  <si>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</si>
  <si>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</si>
  <si>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</si>
  <si>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</si>
  <si>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</si>
  <si>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</si>
  <si>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</si>
  <si>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</si>
  <si>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</si>
  <si>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</si>
  <si>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</si>
  <si>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</si>
  <si>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</si>
  <si>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</si>
  <si>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</si>
  <si>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</si>
  <si>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</si>
  <si>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</si>
  <si>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</si>
  <si>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</si>
  <si>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</si>
  <si>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</si>
  <si>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</si>
  <si>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</si>
  <si>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</si>
  <si>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</si>
  <si>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</si>
  <si>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</si>
  <si>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</si>
  <si>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</si>
  <si>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</si>
  <si>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</si>
  <si>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</si>
  <si>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</si>
  <si>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</si>
  <si>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</si>
  <si>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</si>
  <si>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</si>
  <si>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</si>
  <si>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</si>
  <si>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</si>
  <si>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</si>
  <si>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</si>
  <si>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</si>
  <si>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</si>
  <si>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</si>
  <si>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</si>
  <si>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</si>
  <si>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</si>
  <si>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</si>
  <si>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</si>
  <si>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</si>
  <si>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</si>
  <si>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</si>
  <si>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</si>
  <si>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</si>
  <si>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</si>
  <si>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</si>
  <si>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</si>
  <si>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</si>
  <si>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</si>
  <si>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</si>
  <si>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</si>
  <si>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</si>
  <si>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</si>
  <si>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</si>
  <si>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</si>
  <si>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</si>
  <si>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</si>
  <si>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</si>
  <si>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</si>
  <si>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</si>
  <si>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</si>
  <si>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</si>
  <si>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</si>
  <si>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</si>
  <si>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</si>
  <si>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</si>
  <si>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</si>
  <si>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</si>
  <si>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</si>
  <si>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</si>
  <si>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</si>
  <si>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</si>
  <si>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</si>
  <si>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</si>
  <si>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</si>
  <si>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</si>
  <si>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</si>
  <si>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</si>
  <si>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</si>
  <si>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</si>
  <si>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</si>
  <si>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</si>
  <si>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</si>
  <si>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</si>
  <si>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</si>
  <si>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</si>
  <si>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</si>
  <si>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</si>
  <si>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</si>
  <si>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</si>
  <si>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</si>
  <si>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</si>
  <si>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</si>
  <si>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</si>
  <si>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</si>
  <si>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</si>
  <si>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</si>
  <si>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</si>
  <si>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</si>
  <si>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</si>
  <si>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</si>
  <si>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</si>
  <si>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</si>
  <si>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</si>
  <si>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</si>
  <si>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</si>
  <si>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</si>
  <si>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</si>
  <si>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</si>
  <si>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</si>
  <si>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</si>
  <si>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</si>
  <si>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</si>
  <si>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</si>
  <si>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</si>
  <si>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</si>
  <si>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</si>
  <si>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</si>
  <si>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</si>
  <si>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</si>
  <si>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</si>
  <si>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</si>
  <si>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</si>
  <si>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</si>
  <si>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</si>
  <si>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</si>
  <si>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</si>
  <si>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</si>
  <si>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</si>
  <si>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</si>
  <si>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</si>
  <si>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</si>
  <si>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</si>
  <si>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</si>
  <si>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</si>
  <si>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</si>
  <si>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</si>
  <si>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</si>
  <si>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</si>
  <si>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</si>
  <si>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</si>
  <si>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</si>
  <si>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</si>
  <si>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</si>
  <si>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</si>
  <si>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</si>
  <si>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</si>
  <si>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</si>
  <si>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</si>
  <si>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</si>
  <si>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</si>
  <si>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</si>
  <si>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</si>
  <si>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</si>
  <si>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</si>
  <si>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</si>
  <si>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</si>
  <si>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</si>
  <si>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</si>
  <si>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</si>
  <si>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</si>
  <si>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</si>
  <si>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</si>
  <si>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</si>
  <si>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</si>
  <si>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</si>
  <si>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</si>
  <si>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</si>
  <si>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</si>
  <si>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</si>
  <si>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</si>
  <si>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</si>
  <si>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</si>
  <si>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</si>
  <si>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</si>
  <si>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</si>
  <si>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</si>
  <si>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</si>
  <si>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</si>
  <si>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</si>
  <si>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</si>
  <si>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</si>
  <si>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</si>
  <si>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</si>
  <si>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</si>
  <si>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</si>
  <si>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</si>
  <si>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</si>
  <si>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</si>
  <si>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</si>
  <si>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</si>
  <si>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</si>
  <si>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</si>
  <si>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</si>
  <si>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</si>
  <si>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</si>
  <si>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</si>
  <si>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</si>
  <si>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</si>
  <si>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</si>
  <si>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</si>
  <si>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</si>
  <si>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</si>
  <si>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</si>
  <si>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</si>
  <si>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</si>
  <si>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</si>
  <si>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</si>
  <si>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</si>
  <si>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</si>
  <si>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</si>
  <si>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</si>
  <si>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</si>
  <si>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</si>
  <si>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</si>
  <si>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</si>
  <si>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</si>
  <si>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</si>
  <si>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</si>
  <si>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</si>
  <si>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</si>
  <si>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</si>
  <si>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</si>
  <si>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</si>
  <si>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</si>
  <si>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</si>
  <si>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</si>
  <si>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</si>
  <si>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</si>
  <si>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</si>
  <si>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</si>
  <si>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</si>
  <si>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</si>
  <si>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</si>
  <si>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</si>
  <si>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</si>
  <si>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</si>
  <si>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</si>
  <si>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</si>
  <si>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</si>
  <si>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</si>
  <si>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</si>
  <si>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</si>
  <si>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</si>
  <si>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</si>
  <si>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</si>
  <si>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</si>
  <si>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</si>
  <si>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</si>
  <si>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</si>
  <si>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</si>
  <si>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</si>
  <si>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</si>
  <si>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</si>
  <si>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</si>
  <si>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</si>
  <si>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</si>
  <si>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</si>
  <si>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</si>
  <si>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</si>
  <si>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</si>
  <si>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</si>
  <si>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</si>
  <si>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</si>
  <si>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</si>
  <si>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</si>
  <si>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</si>
  <si>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</si>
  <si>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</si>
  <si>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</si>
  <si>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</si>
  <si>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</si>
  <si>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</si>
  <si>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</si>
  <si>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</si>
  <si>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</si>
  <si>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</si>
  <si>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</si>
  <si>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</si>
  <si>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</si>
  <si>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</si>
  <si>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</si>
  <si>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</si>
  <si>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</si>
  <si>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</si>
  <si>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</si>
  <si>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</si>
  <si>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</si>
  <si>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</si>
  <si>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</si>
  <si>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</si>
  <si>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</si>
  <si>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</si>
  <si>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</si>
  <si>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</si>
  <si>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</si>
  <si>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</si>
  <si>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</si>
  <si>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</si>
  <si>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</si>
  <si>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</si>
  <si>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</si>
  <si>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</si>
  <si>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</si>
  <si>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</si>
  <si>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</si>
  <si>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</si>
  <si>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</si>
  <si>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</si>
  <si>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</si>
  <si>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</si>
  <si>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</si>
  <si>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</si>
  <si>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</si>
  <si>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</si>
  <si>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</si>
  <si>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</si>
  <si>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</si>
  <si>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</si>
  <si>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</si>
  <si>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</si>
  <si>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</si>
  <si>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</si>
  <si>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</si>
  <si>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</si>
  <si>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</si>
  <si>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</si>
  <si>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</si>
  <si>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</si>
  <si>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</si>
  <si>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</si>
  <si>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</si>
  <si>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</si>
  <si>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</si>
  <si>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</si>
  <si>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</si>
  <si>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</si>
  <si>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</si>
  <si>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</si>
  <si>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</si>
  <si>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</si>
  <si>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</si>
  <si>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</si>
  <si>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</si>
  <si>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</si>
  <si>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</si>
  <si>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</si>
  <si>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</si>
  <si>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</si>
  <si>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</si>
  <si>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</si>
  <si>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</si>
  <si>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</si>
  <si>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</si>
  <si>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</si>
  <si>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</si>
  <si>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</si>
  <si>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</si>
  <si>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</si>
  <si>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</si>
  <si>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</si>
  <si>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</si>
  <si>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</si>
  <si>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</si>
  <si>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</si>
  <si>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</si>
  <si>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</si>
  <si>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</si>
  <si>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</si>
  <si>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</si>
  <si>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</si>
  <si>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</si>
  <si>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</si>
  <si>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</si>
  <si>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</si>
  <si>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</si>
  <si>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</si>
  <si>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</si>
  <si>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</si>
  <si>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</si>
  <si>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</si>
  <si>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</si>
  <si>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</si>
  <si>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</si>
  <si>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</si>
  <si>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</si>
  <si>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</si>
  <si>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</si>
  <si>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</si>
  <si>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</si>
  <si>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</si>
  <si>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</si>
  <si>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</si>
  <si>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</si>
  <si>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</si>
  <si>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</si>
  <si>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</si>
  <si>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</si>
  <si>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</si>
  <si>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</si>
  <si>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</si>
  <si>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</si>
  <si>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</si>
  <si>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</si>
  <si>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</si>
  <si>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</si>
  <si>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</si>
  <si>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</si>
  <si>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</si>
  <si>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</si>
  <si>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</si>
  <si>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</si>
  <si>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</si>
  <si>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</si>
  <si>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</si>
  <si>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</si>
  <si>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</si>
  <si>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</si>
  <si>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</si>
  <si>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</si>
  <si>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</si>
  <si>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</si>
  <si>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</si>
  <si>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</si>
  <si>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</si>
  <si>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</si>
  <si>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</si>
  <si>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</si>
  <si>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</si>
  <si>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</si>
  <si>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</si>
  <si>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</si>
  <si>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</si>
  <si>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</si>
  <si>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</si>
  <si>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</si>
  <si>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</si>
  <si>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</si>
  <si>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</si>
  <si>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</si>
  <si>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</si>
  <si>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</si>
  <si>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</si>
  <si>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</si>
  <si>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</si>
  <si>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</si>
  <si>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</si>
  <si>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</si>
  <si>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</si>
  <si>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</si>
  <si>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</si>
  <si>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</si>
  <si>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</si>
  <si>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</si>
  <si>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</si>
  <si>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</si>
  <si>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</si>
  <si>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</si>
  <si>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</si>
  <si>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</si>
  <si>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</si>
  <si>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</si>
  <si>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</si>
  <si>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</si>
  <si>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</si>
  <si>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</si>
  <si>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</si>
  <si>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</si>
  <si>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</si>
  <si>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</si>
  <si>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</si>
  <si>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</si>
  <si>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</si>
  <si>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</si>
  <si>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</si>
  <si>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</si>
  <si>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</si>
  <si>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</si>
  <si>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</si>
  <si>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</si>
  <si>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</si>
  <si>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</si>
  <si>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</si>
  <si>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</si>
  <si>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</si>
  <si>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</si>
  <si>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</si>
  <si>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</si>
  <si>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</si>
  <si>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</si>
  <si>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</si>
  <si>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</si>
  <si>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</si>
  <si>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</si>
  <si>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</si>
  <si>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</si>
  <si>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</si>
  <si>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</si>
  <si>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</si>
  <si>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</si>
  <si>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</si>
  <si>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</si>
  <si>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</si>
  <si>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</si>
  <si>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</si>
  <si>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</si>
  <si>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</si>
  <si>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</si>
  <si>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</si>
  <si>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</si>
  <si>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</si>
  <si>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</si>
  <si>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</si>
  <si>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</si>
  <si>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</si>
  <si>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</si>
  <si>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</si>
  <si>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</si>
  <si>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</si>
  <si>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</si>
  <si>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</si>
  <si>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</si>
  <si>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</si>
  <si>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</si>
  <si>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</si>
  <si>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</si>
  <si>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</si>
  <si>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</si>
  <si>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</si>
  <si>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</si>
  <si>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</si>
  <si>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</si>
  <si>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</si>
  <si>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</si>
  <si>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</si>
  <si>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</si>
  <si>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</si>
  <si>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</si>
  <si>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</si>
  <si>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</si>
  <si>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</si>
  <si>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</si>
  <si>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</si>
  <si>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</si>
  <si>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</si>
  <si>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</si>
  <si>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</si>
  <si>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</si>
  <si>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</si>
  <si>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</si>
  <si>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</si>
  <si>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</si>
  <si>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</si>
  <si>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</si>
  <si>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</si>
  <si>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</si>
  <si>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</si>
  <si>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</si>
  <si>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</si>
  <si>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</si>
  <si>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</si>
  <si>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</si>
  <si>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</si>
  <si>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</si>
  <si>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</si>
  <si>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</si>
  <si>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</si>
  <si>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</si>
  <si>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</si>
  <si>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</si>
  <si>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</si>
  <si>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</si>
  <si>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</si>
  <si>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</si>
  <si>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</si>
  <si>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</si>
  <si>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</si>
  <si>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</si>
  <si>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</si>
  <si>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</si>
  <si>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</si>
  <si>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</si>
  <si>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</si>
  <si>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</si>
  <si>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</si>
  <si>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</si>
  <si>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</si>
  <si>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</si>
  <si>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</si>
  <si>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</si>
  <si>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</si>
  <si>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</si>
  <si>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</si>
  <si>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</si>
  <si>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</si>
  <si>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</si>
  <si>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</si>
  <si>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</si>
  <si>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</si>
  <si>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</si>
  <si>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</si>
  <si>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</si>
  <si>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</si>
  <si>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</si>
  <si>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</si>
  <si>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</si>
  <si>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</si>
  <si>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</si>
  <si>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</si>
  <si>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</si>
  <si>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</si>
  <si>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</si>
  <si>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</si>
  <si>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</si>
  <si>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</si>
  <si>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</si>
  <si>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</si>
  <si>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</si>
  <si>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</si>
  <si>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</si>
  <si>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</si>
  <si>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</si>
  <si>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</si>
  <si>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</si>
  <si>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</si>
  <si>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</si>
  <si>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</si>
  <si>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</si>
  <si>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</si>
  <si>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</si>
  <si>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</si>
  <si>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</si>
  <si>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</si>
  <si>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</si>
  <si>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</si>
  <si>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</si>
  <si>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</si>
  <si>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</si>
  <si>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</si>
  <si>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</si>
  <si>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</si>
  <si>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</si>
  <si>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</si>
  <si>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</si>
  <si>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</si>
  <si>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</si>
  <si>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</si>
  <si>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</si>
  <si>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</si>
  <si>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</si>
  <si>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</si>
  <si>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</si>
  <si>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</si>
  <si>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</si>
  <si>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</si>
  <si>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</si>
  <si>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</si>
  <si>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</si>
  <si>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</si>
  <si>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</si>
  <si>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</si>
  <si>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</si>
  <si>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</si>
  <si>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</si>
  <si>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</si>
  <si>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</si>
  <si>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</si>
  <si>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</si>
  <si>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</si>
  <si>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</si>
  <si>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</si>
  <si>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</si>
  <si>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</si>
  <si>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</si>
  <si>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</si>
  <si>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</si>
  <si>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</si>
  <si>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</si>
  <si>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</si>
  <si>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</si>
  <si>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</si>
  <si>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</si>
  <si>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</si>
  <si>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</si>
  <si>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</si>
  <si>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</si>
  <si>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</si>
  <si>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</si>
  <si>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</si>
  <si>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</si>
  <si>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</si>
  <si>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</si>
  <si>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</si>
  <si>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</si>
  <si>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</si>
  <si>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</si>
  <si>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</si>
  <si>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</si>
  <si>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</si>
  <si>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</si>
  <si>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</si>
  <si>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</si>
  <si>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</si>
  <si>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</si>
  <si>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</si>
  <si>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</si>
  <si>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</si>
  <si>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</si>
  <si>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</si>
  <si>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</si>
  <si>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</si>
  <si>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</si>
  <si>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</si>
  <si>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</si>
  <si>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</si>
  <si>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</si>
  <si>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</si>
  <si>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</si>
  <si>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</si>
  <si>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</si>
  <si>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</si>
  <si>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</si>
  <si>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</si>
  <si>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</si>
  <si>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</si>
  <si>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</si>
  <si>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</si>
  <si>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</si>
  <si>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</si>
  <si>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</si>
  <si>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</si>
  <si>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</si>
  <si>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</si>
  <si>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</si>
  <si>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</si>
  <si>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</si>
  <si>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</si>
  <si>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</si>
  <si>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</si>
  <si>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</si>
  <si>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</si>
  <si>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</si>
  <si>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</si>
  <si>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</si>
  <si>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</si>
  <si>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</si>
  <si>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</si>
  <si>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</si>
  <si>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</si>
  <si>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</si>
  <si>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</si>
  <si>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</si>
  <si>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</si>
  <si>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</si>
  <si>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</si>
  <si>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</si>
  <si>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</si>
  <si>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</si>
  <si>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</si>
  <si>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</si>
  <si>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</si>
  <si>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</si>
  <si>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</si>
  <si>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</si>
  <si>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</si>
  <si>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</si>
  <si>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</si>
  <si>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</si>
  <si>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</si>
  <si>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</si>
  <si>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</si>
  <si>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</si>
  <si>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</si>
  <si>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</si>
  <si>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</si>
  <si>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</si>
  <si>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</si>
  <si>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</si>
  <si>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</si>
  <si>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</si>
  <si>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</si>
  <si>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</si>
  <si>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</si>
  <si>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</si>
  <si>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</si>
  <si>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</si>
  <si>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</si>
  <si>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</si>
  <si>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</si>
  <si>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</si>
  <si>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</si>
  <si>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</si>
  <si>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</si>
  <si>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</si>
  <si>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</si>
  <si>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</si>
  <si>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</si>
  <si>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</si>
  <si>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</si>
  <si>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</si>
  <si>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</si>
  <si>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</si>
  <si>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</si>
  <si>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</si>
  <si>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</si>
  <si>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</si>
  <si>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</si>
  <si>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</si>
  <si>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</si>
  <si>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</si>
  <si>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</si>
  <si>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</si>
  <si>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</si>
  <si>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</si>
  <si>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</si>
  <si>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</si>
  <si>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</si>
  <si>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</si>
  <si>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</si>
  <si>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</si>
  <si>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</si>
  <si>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</si>
  <si>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</si>
  <si>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</si>
  <si>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</si>
  <si>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</si>
  <si>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</si>
  <si>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</si>
  <si>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</si>
  <si>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</si>
  <si>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</si>
  <si>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</si>
  <si>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</si>
  <si>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</si>
  <si>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</si>
  <si>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</si>
  <si>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</si>
  <si>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</si>
  <si>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</si>
  <si>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</si>
  <si>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</si>
  <si>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</si>
  <si>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</si>
  <si>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</si>
  <si>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</si>
  <si>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</si>
  <si>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</si>
  <si>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</si>
  <si>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</si>
  <si>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</si>
  <si>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</si>
  <si>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</si>
  <si>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</si>
  <si>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</si>
  <si>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</si>
  <si>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</si>
  <si>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</si>
  <si>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</si>
  <si>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</si>
  <si>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</si>
  <si>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</si>
  <si>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</si>
  <si>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</si>
  <si>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</si>
  <si>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</si>
  <si>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</si>
  <si>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</si>
  <si>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</si>
  <si>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</si>
  <si>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</si>
  <si>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</si>
  <si>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</si>
  <si>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</si>
  <si>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</si>
  <si>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</si>
  <si>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</si>
  <si>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</si>
  <si>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</si>
  <si>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</si>
  <si>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</si>
  <si>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</si>
  <si>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</si>
  <si>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</si>
  <si>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</si>
  <si>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</si>
  <si>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</si>
  <si>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</si>
  <si>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</si>
  <si>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</si>
  <si>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</si>
  <si>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</si>
  <si>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</si>
  <si>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</si>
  <si>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</si>
  <si>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</si>
  <si>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</si>
  <si>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</si>
  <si>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</si>
  <si>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</si>
  <si>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</si>
  <si>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</si>
  <si>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</si>
  <si>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</si>
  <si>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</si>
  <si>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</si>
  <si>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</si>
  <si>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</si>
  <si>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</si>
  <si>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</si>
  <si>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</si>
  <si>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</si>
  <si>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</si>
  <si>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</si>
  <si>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</si>
  <si>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</si>
  <si>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</si>
  <si>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</si>
  <si>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</si>
  <si>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</si>
  <si>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</si>
  <si>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</si>
  <si>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</si>
  <si>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</si>
  <si>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</si>
  <si>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</si>
  <si>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</si>
  <si>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</si>
  <si>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</si>
  <si>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</si>
  <si>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</si>
  <si>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</si>
  <si>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</si>
  <si>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</si>
  <si>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</si>
  <si>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</si>
  <si>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</si>
  <si>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</si>
  <si>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</si>
  <si>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</si>
  <si>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</si>
  <si>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</si>
  <si>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</si>
  <si>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</si>
  <si>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</si>
  <si>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</si>
  <si>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</si>
  <si>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</si>
  <si>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</si>
  <si>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</si>
  <si>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</si>
  <si>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</si>
  <si>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</si>
  <si>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</si>
  <si>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</si>
  <si>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</si>
  <si>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</si>
  <si>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</si>
  <si>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</si>
  <si>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</si>
  <si>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</si>
  <si>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</si>
  <si>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</si>
  <si>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</si>
  <si>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</si>
  <si>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</si>
  <si>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</si>
  <si>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</si>
  <si>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</si>
  <si>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</si>
  <si>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</si>
  <si>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</si>
  <si>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</si>
  <si>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</si>
  <si>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</si>
  <si>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</si>
  <si>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</si>
  <si>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</si>
  <si>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</si>
  <si>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</si>
  <si>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</si>
  <si>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</si>
  <si>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</si>
  <si>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</si>
  <si>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</si>
  <si>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</si>
  <si>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</si>
  <si>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</si>
  <si>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</si>
  <si>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</si>
  <si>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</si>
  <si>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</si>
  <si>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</si>
  <si>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</si>
  <si>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</si>
  <si>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</si>
  <si>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</si>
  <si>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</si>
  <si>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</si>
  <si>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</si>
  <si>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</si>
  <si>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</si>
  <si>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</si>
  <si>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</si>
  <si>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</si>
  <si>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</si>
  <si>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</si>
  <si>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</si>
  <si>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</si>
  <si>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</si>
  <si>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</si>
  <si>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</si>
  <si>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</si>
  <si>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</si>
  <si>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</si>
  <si>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</si>
  <si>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</si>
  <si>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</si>
  <si>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</si>
  <si>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</si>
  <si>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</si>
  <si>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</si>
  <si>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</si>
  <si>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</si>
  <si>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</si>
  <si>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</si>
  <si>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</si>
  <si>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</si>
  <si>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</si>
  <si>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</si>
  <si>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</si>
  <si>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</si>
  <si>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</si>
  <si>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</si>
  <si>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</si>
  <si>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</si>
  <si>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</si>
  <si>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</si>
  <si>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</si>
  <si>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</si>
  <si>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</si>
  <si>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</si>
  <si>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</si>
  <si>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</si>
  <si>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</si>
  <si>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</si>
  <si>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</si>
  <si>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</si>
  <si>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</si>
  <si>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</si>
  <si>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</si>
  <si>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</si>
  <si>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</si>
  <si>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</si>
  <si>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</si>
  <si>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</si>
  <si>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</si>
  <si>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</si>
  <si>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</si>
  <si>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</si>
  <si>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</si>
  <si>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</si>
  <si>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</si>
  <si>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</si>
  <si>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</si>
  <si>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</si>
  <si>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</si>
  <si>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</si>
  <si>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</si>
  <si>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</si>
  <si>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</si>
  <si>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</si>
  <si>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</si>
  <si>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</si>
  <si>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</si>
  <si>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</si>
  <si>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</si>
  <si>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</si>
  <si>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</si>
  <si>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</si>
  <si>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</si>
  <si>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</si>
  <si>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</si>
  <si>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</si>
  <si>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</si>
  <si>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</si>
  <si>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</si>
  <si>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</si>
  <si>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</si>
  <si>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</si>
  <si>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</si>
  <si>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</si>
  <si>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</si>
  <si>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</si>
  <si>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</si>
  <si>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</si>
  <si>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</si>
  <si>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</si>
  <si>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</si>
  <si>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</si>
  <si>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</si>
  <si>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</si>
  <si>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</si>
  <si>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</si>
  <si>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</si>
  <si>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</si>
  <si>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</si>
  <si>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</si>
  <si>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</si>
  <si>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</si>
  <si>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</si>
  <si>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</si>
  <si>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</si>
  <si>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</si>
  <si>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</si>
  <si>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</si>
  <si>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</si>
  <si>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</si>
  <si>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</si>
  <si>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</si>
  <si>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</si>
  <si>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</si>
  <si>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</si>
  <si>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</si>
  <si>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</si>
  <si>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</si>
  <si>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</si>
  <si>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</si>
  <si>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</si>
  <si>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</si>
  <si>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</si>
  <si>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</si>
  <si>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</si>
  <si>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</si>
  <si>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</si>
  <si>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</si>
  <si>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</si>
  <si>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</si>
  <si>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</si>
  <si>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</si>
  <si>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</si>
  <si>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</si>
  <si>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</si>
  <si>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</si>
  <si>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</si>
  <si>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</si>
  <si>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</si>
  <si>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</si>
  <si>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</si>
  <si>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</si>
  <si>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</si>
  <si>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</si>
  <si>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</si>
  <si>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</si>
  <si>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</si>
  <si>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</si>
  <si>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</si>
  <si>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</si>
  <si>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</si>
  <si>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</si>
  <si>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</si>
  <si>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</si>
  <si>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</si>
  <si>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</si>
  <si>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</si>
  <si>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</si>
  <si>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</si>
  <si>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</si>
  <si>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</si>
  <si>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</si>
  <si>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</si>
  <si>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</si>
  <si>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</si>
  <si>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</si>
  <si>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</si>
  <si>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</si>
  <si>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</si>
  <si>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</si>
  <si>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</si>
  <si>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</si>
  <si>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</si>
  <si>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</si>
  <si>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</si>
  <si>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</si>
  <si>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</si>
  <si>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</si>
  <si>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</si>
  <si>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</si>
  <si>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</si>
  <si>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</si>
  <si>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</si>
  <si>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</si>
  <si>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</si>
  <si>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</si>
  <si>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</si>
  <si>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</si>
  <si>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</si>
  <si>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</si>
  <si>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</si>
  <si>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</si>
  <si>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</si>
  <si>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</si>
  <si>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</si>
  <si>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</si>
  <si>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</si>
  <si>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</si>
  <si>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</si>
  <si>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</si>
  <si>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</si>
  <si>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</si>
  <si>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</si>
  <si>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</si>
  <si>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</si>
  <si>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</si>
  <si>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</si>
  <si>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</si>
  <si>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</si>
  <si>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</si>
  <si>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</si>
  <si>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</si>
  <si>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</si>
  <si>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</si>
  <si>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</si>
  <si>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</si>
  <si>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</si>
  <si>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</si>
  <si>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</si>
  <si>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</si>
  <si>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</si>
  <si>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</si>
  <si>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</si>
  <si>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</si>
  <si>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</si>
  <si>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</si>
  <si>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</si>
  <si>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</si>
  <si>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</si>
  <si>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</si>
  <si>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</si>
  <si>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</si>
  <si>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</si>
  <si>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</si>
  <si>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</si>
  <si>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</si>
  <si>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</si>
  <si>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</si>
  <si>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</si>
  <si>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</si>
  <si>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</si>
  <si>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</si>
  <si>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</si>
  <si>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</si>
  <si>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</si>
  <si>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</si>
  <si>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</si>
  <si>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</si>
  <si>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</si>
  <si>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</si>
  <si>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</si>
  <si>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</si>
  <si>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</si>
  <si>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</si>
  <si>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</si>
  <si>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</si>
  <si>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</si>
  <si>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</si>
  <si>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</si>
  <si>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</si>
  <si>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</si>
  <si>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</si>
  <si>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</si>
  <si>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</si>
  <si>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</si>
  <si>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</si>
  <si>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</si>
  <si>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</si>
  <si>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</si>
  <si>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</si>
  <si>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</si>
  <si>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</si>
  <si>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</si>
  <si>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</si>
  <si>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</si>
  <si>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</si>
  <si>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</si>
  <si>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</si>
  <si>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</si>
  <si>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</si>
  <si>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</si>
  <si>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</si>
  <si>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</si>
  <si>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</si>
  <si>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</si>
  <si>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</si>
  <si>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</si>
  <si>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</si>
  <si>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</si>
  <si>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</si>
  <si>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</si>
  <si>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</si>
  <si>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</si>
  <si>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</si>
  <si>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</si>
  <si>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</si>
  <si>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</si>
  <si>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</si>
  <si>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</si>
  <si>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</si>
  <si>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</si>
  <si>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</si>
  <si>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</si>
  <si>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</si>
  <si>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</si>
  <si>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</si>
  <si>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</si>
  <si>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</si>
  <si>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</si>
  <si>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</si>
  <si>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</si>
  <si>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</si>
  <si>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</si>
  <si>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</si>
  <si>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</si>
  <si>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</si>
  <si>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</si>
  <si>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</si>
  <si>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</si>
  <si>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</si>
  <si>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</si>
  <si>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</si>
  <si>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</si>
  <si>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</si>
  <si>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</si>
  <si>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</si>
  <si>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</si>
  <si>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</si>
  <si>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</si>
  <si>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</si>
  <si>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</si>
  <si>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</si>
  <si>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</si>
  <si>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</si>
  <si>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</si>
  <si>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</si>
  <si>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</si>
  <si>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</si>
  <si>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</si>
  <si>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</si>
  <si>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</si>
  <si>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</si>
  <si>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</si>
  <si>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</si>
  <si>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</si>
  <si>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</si>
  <si>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</si>
  <si>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</si>
  <si>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</si>
  <si>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</si>
  <si>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</si>
  <si>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</si>
  <si>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</si>
  <si>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</si>
  <si>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</si>
  <si>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</si>
  <si>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</si>
  <si>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</si>
  <si>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</si>
  <si>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</si>
  <si>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</si>
  <si>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</si>
  <si>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</si>
  <si>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</si>
  <si>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</si>
  <si>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</si>
  <si>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</si>
  <si>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</si>
  <si>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</si>
  <si>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</si>
  <si>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</si>
  <si>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</si>
  <si>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</si>
  <si>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</si>
  <si>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</si>
  <si>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</si>
  <si>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</si>
  <si>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</si>
  <si>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</si>
  <si>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</si>
  <si>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</si>
  <si>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</si>
  <si>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</si>
  <si>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</si>
  <si>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</si>
  <si>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</si>
  <si>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</si>
  <si>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</si>
  <si>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</si>
  <si>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</si>
  <si>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</si>
  <si>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</si>
  <si>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</si>
  <si>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</si>
  <si>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</si>
  <si>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</si>
  <si>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</si>
  <si>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</si>
  <si>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</si>
  <si>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</si>
  <si>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</si>
  <si>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</si>
  <si>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</si>
  <si>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</si>
  <si>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</si>
  <si>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</si>
  <si>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</si>
  <si>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</si>
  <si>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</si>
  <si>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</si>
  <si>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</si>
  <si>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</si>
  <si>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</si>
  <si>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</si>
  <si>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</si>
  <si>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</si>
  <si>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</si>
  <si>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</si>
  <si>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</si>
  <si>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</si>
  <si>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</si>
  <si>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</si>
  <si>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</si>
  <si>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</si>
  <si>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</si>
  <si>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</si>
  <si>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</si>
  <si>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</si>
  <si>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</si>
  <si>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</si>
  <si>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</si>
  <si>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</si>
  <si>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</si>
  <si>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</si>
  <si>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</si>
  <si>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</si>
  <si>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</si>
  <si>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</si>
  <si>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</si>
  <si>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</si>
  <si>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</si>
  <si>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</si>
  <si>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</si>
  <si>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</si>
  <si>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</si>
  <si>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</si>
  <si>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</si>
  <si>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</si>
  <si>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</si>
  <si>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</si>
  <si>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</si>
  <si>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</si>
  <si>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</si>
  <si>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</si>
  <si>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</si>
  <si>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</si>
  <si>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</si>
  <si>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</si>
  <si>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</si>
  <si>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</si>
  <si>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</si>
  <si>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</si>
  <si>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</si>
  <si>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</si>
  <si>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</si>
  <si>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</si>
  <si>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</si>
  <si>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</si>
  <si>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</si>
  <si>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</si>
  <si>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</si>
  <si>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</si>
  <si>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</si>
  <si>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</si>
  <si>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</si>
  <si>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</si>
  <si>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</si>
  <si>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</si>
  <si>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</si>
  <si>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</si>
  <si>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</si>
  <si>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</si>
  <si>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</si>
  <si>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</si>
  <si>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</si>
  <si>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</si>
  <si>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</si>
  <si>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</si>
  <si>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</si>
  <si>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</si>
  <si>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</si>
  <si>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</si>
  <si>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</si>
  <si>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</si>
  <si>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</si>
  <si>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</si>
  <si>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</si>
  <si>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</si>
  <si>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</si>
  <si>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</si>
  <si>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</si>
  <si>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</si>
  <si>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</si>
  <si>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</si>
  <si>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</si>
  <si>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</si>
  <si>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</si>
  <si>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</si>
  <si>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</si>
  <si>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</si>
  <si>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</si>
  <si>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</si>
  <si>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</si>
  <si>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</si>
  <si>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</si>
  <si>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</si>
  <si>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</si>
  <si>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</si>
  <si>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</si>
  <si>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</si>
  <si>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</si>
  <si>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</si>
  <si>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</si>
  <si>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</si>
  <si>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</si>
  <si>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</si>
  <si>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</si>
  <si>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</si>
  <si>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</si>
  <si>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</si>
  <si>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</si>
  <si>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</si>
  <si>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</si>
  <si>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</si>
  <si>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</si>
  <si>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</si>
  <si>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</si>
  <si>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</si>
  <si>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</si>
  <si>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</si>
  <si>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</si>
  <si>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</si>
  <si>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</si>
  <si>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</si>
  <si>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</si>
  <si>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</si>
  <si>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</si>
  <si>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</si>
  <si>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</si>
  <si>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</si>
  <si>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</si>
  <si>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</si>
  <si>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</si>
  <si>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</si>
  <si>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</si>
  <si>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</si>
  <si>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</si>
  <si>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</si>
  <si>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</si>
  <si>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</si>
  <si>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</si>
  <si>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</si>
  <si>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</si>
  <si>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</si>
  <si>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</si>
  <si>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</si>
  <si>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</si>
  <si>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</si>
  <si>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</si>
  <si>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</si>
  <si>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</si>
  <si>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</si>
  <si>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</si>
  <si>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</si>
  <si>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</si>
  <si>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</si>
  <si>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</si>
  <si>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</si>
  <si>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</si>
  <si>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</si>
  <si>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</si>
  <si>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</si>
  <si>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</si>
  <si>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</si>
  <si>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</si>
  <si>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</si>
  <si>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</si>
  <si>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</si>
  <si>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</si>
  <si>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</si>
  <si>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</si>
  <si>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</si>
  <si>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</si>
  <si>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</si>
  <si>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</si>
  <si>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</si>
  <si>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</si>
  <si>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</si>
  <si>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</si>
  <si>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</si>
  <si>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</si>
  <si>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</si>
  <si>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</si>
  <si>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</si>
  <si>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</si>
  <si>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</si>
  <si>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</si>
  <si>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</si>
  <si>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</si>
  <si>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</si>
  <si>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</si>
  <si>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</si>
  <si>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</si>
  <si>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</si>
  <si>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</si>
  <si>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</si>
  <si>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</si>
  <si>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</si>
  <si>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</si>
  <si>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</si>
  <si>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</si>
  <si>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</si>
  <si>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</si>
  <si>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</si>
  <si>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</si>
  <si>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</si>
  <si>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</si>
  <si>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</si>
  <si>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</si>
  <si>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</si>
  <si>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</si>
  <si>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</si>
  <si>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</si>
  <si>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</si>
  <si>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</si>
  <si>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</si>
  <si>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</si>
  <si>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</si>
  <si>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</si>
  <si>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</si>
  <si>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</si>
  <si>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</si>
  <si>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北京兴基伟业投资管理有限公司</t>
    <phoneticPr fontId="6" type="noConversion"/>
  </si>
  <si>
    <t>抵押</t>
  </si>
  <si>
    <t>房地产抵押价值</t>
  </si>
  <si>
    <t>工商银行开发区支行</t>
    <phoneticPr fontId="6" type="noConversion"/>
  </si>
  <si>
    <t>北京市</t>
  </si>
  <si>
    <t>企业</t>
  </si>
  <si>
    <t>出让</t>
  </si>
  <si>
    <t>商业</t>
    <phoneticPr fontId="6" type="noConversion"/>
  </si>
  <si>
    <r>
      <rPr>
        <sz val="12"/>
        <color theme="9" tint="-0.249977111117893"/>
        <rFont val="宋体"/>
        <family val="3"/>
        <charset val="134"/>
      </rPr>
      <t>商业</t>
    </r>
    <r>
      <rPr>
        <sz val="12"/>
        <color theme="9" tint="-0.249977111117893"/>
        <rFont val="Arial"/>
        <family val="2"/>
      </rPr>
      <t>22.61</t>
    </r>
    <r>
      <rPr>
        <sz val="12"/>
        <color theme="9" tint="-0.249977111117893"/>
        <rFont val="宋体"/>
        <family val="3"/>
        <charset val="134"/>
      </rPr>
      <t>年</t>
    </r>
    <phoneticPr fontId="6" type="noConversion"/>
  </si>
  <si>
    <t>是</t>
  </si>
  <si>
    <t>复印件</t>
  </si>
  <si>
    <t>商业项目</t>
  </si>
  <si>
    <t>酒店</t>
  </si>
  <si>
    <t>否</t>
  </si>
  <si>
    <t>现房</t>
  </si>
  <si>
    <t>通路</t>
  </si>
  <si>
    <t>通电</t>
  </si>
  <si>
    <t>通讯</t>
  </si>
  <si>
    <t>通上水</t>
  </si>
  <si>
    <t>通下水</t>
  </si>
  <si>
    <t>燃气</t>
  </si>
  <si>
    <t>Ⅵ-亦1</t>
  </si>
  <si>
    <r>
      <t>1</t>
    </r>
    <r>
      <rPr>
        <sz val="10"/>
        <color indexed="8"/>
        <rFont val="宋体"/>
        <family val="3"/>
        <charset val="134"/>
      </rPr>
      <t>幢</t>
    </r>
    <phoneticPr fontId="3" type="noConversion"/>
  </si>
  <si>
    <t>地上</t>
  </si>
  <si>
    <t>地下</t>
  </si>
  <si>
    <t>年总收益</t>
  </si>
  <si>
    <t>部位</t>
  </si>
  <si>
    <t>数量</t>
  </si>
  <si>
    <t>平均房价</t>
  </si>
  <si>
    <t>平均入住率</t>
  </si>
  <si>
    <t>（间）</t>
  </si>
  <si>
    <t>（元）</t>
  </si>
  <si>
    <t>（%）</t>
  </si>
  <si>
    <t>客房</t>
  </si>
  <si>
    <t>高级间</t>
    <phoneticPr fontId="3" type="noConversion"/>
  </si>
  <si>
    <t>豪华间</t>
    <phoneticPr fontId="3" type="noConversion"/>
  </si>
  <si>
    <t>行政间</t>
    <phoneticPr fontId="3" type="noConversion"/>
  </si>
  <si>
    <t>套间</t>
    <phoneticPr fontId="3" type="noConversion"/>
  </si>
  <si>
    <t>注：另有的房间服务费___0__%</t>
    <phoneticPr fontId="3" type="noConversion"/>
  </si>
  <si>
    <t>平均收费标准</t>
  </si>
  <si>
    <t>平均使用率</t>
  </si>
  <si>
    <t>会议室</t>
  </si>
  <si>
    <t>宴会厅</t>
  </si>
  <si>
    <t>（多功能厅）</t>
  </si>
  <si>
    <t>席位</t>
  </si>
  <si>
    <t>年营业收入</t>
  </si>
  <si>
    <t>成本占收入比</t>
  </si>
  <si>
    <t>（人）</t>
  </si>
  <si>
    <t>（万元）</t>
  </si>
  <si>
    <t>餐厅</t>
  </si>
  <si>
    <t>酒吧</t>
  </si>
  <si>
    <t>中餐</t>
  </si>
  <si>
    <t>西餐</t>
  </si>
  <si>
    <t>日餐厅</t>
  </si>
  <si>
    <t>大堂吧</t>
  </si>
  <si>
    <t>宴会</t>
    <phoneticPr fontId="3" type="noConversion"/>
  </si>
  <si>
    <t>出租面积</t>
  </si>
  <si>
    <t>租期</t>
  </si>
  <si>
    <t>涨幅情况</t>
  </si>
  <si>
    <t>单位租金</t>
  </si>
  <si>
    <t>（平方米）</t>
  </si>
  <si>
    <t>（元/平方米。日）</t>
  </si>
  <si>
    <t>对外出租</t>
  </si>
  <si>
    <t>B1欧奕健身</t>
  </si>
  <si>
    <t>2014/06/04-2021/05/31</t>
  </si>
  <si>
    <t>一层东亚银行</t>
  </si>
  <si>
    <t>2011/6/21-2021/6/20</t>
    <phoneticPr fontId="3" type="noConversion"/>
  </si>
  <si>
    <t>Ktv</t>
  </si>
  <si>
    <t>2014/4/17-2019/4/16</t>
    <phoneticPr fontId="3" type="noConversion"/>
  </si>
  <si>
    <t>无</t>
    <phoneticPr fontId="3" type="noConversion"/>
  </si>
  <si>
    <t>皓尔国际口腔</t>
  </si>
  <si>
    <t>2014/8/1-2024/7/31</t>
  </si>
  <si>
    <t>前5年80万，后5年100万</t>
    <phoneticPr fontId="3" type="noConversion"/>
  </si>
  <si>
    <t>贵之颜</t>
  </si>
  <si>
    <t>2015/10/1-2020/9/30</t>
    <phoneticPr fontId="3" type="noConversion"/>
  </si>
  <si>
    <t>宝肌</t>
  </si>
  <si>
    <t>2014/8/20-2024/8/19</t>
    <phoneticPr fontId="3" type="noConversion"/>
  </si>
  <si>
    <t>车位数</t>
  </si>
  <si>
    <t>包月租金</t>
  </si>
  <si>
    <t>临时租金</t>
  </si>
  <si>
    <t>（个）</t>
  </si>
  <si>
    <t>（元/车位 月）</t>
  </si>
  <si>
    <t>（元/车位 小时）</t>
  </si>
  <si>
    <t xml:space="preserve">                 贵之颜         675                               6.49</t>
  </si>
  <si>
    <t xml:space="preserve">            宝肌           309.2                              4.43</t>
  </si>
  <si>
    <t>成新度</t>
  </si>
  <si>
    <t>项目全部</t>
  </si>
  <si>
    <t>成本法</t>
  </si>
  <si>
    <t>收益法</t>
  </si>
  <si>
    <t>收益法（汇总）</t>
  </si>
  <si>
    <t>住宿餐饮用地</t>
  </si>
  <si>
    <t>不临58条商业街</t>
  </si>
  <si>
    <t>与级别开发程度不一致</t>
  </si>
  <si>
    <t>平整</t>
  </si>
  <si>
    <t>按公示增长率计算</t>
  </si>
  <si>
    <t>容积率修正</t>
  </si>
  <si>
    <t>较好</t>
  </si>
  <si>
    <t>好</t>
  </si>
  <si>
    <t>一般</t>
  </si>
  <si>
    <t>全部缴纳</t>
  </si>
  <si>
    <t>未包含在土地购买价格中</t>
  </si>
  <si>
    <t>已包含在土地取得成本中</t>
  </si>
  <si>
    <t>商业</t>
    <phoneticPr fontId="7" type="noConversion"/>
  </si>
  <si>
    <t>高级房</t>
    <phoneticPr fontId="3" type="noConversion"/>
  </si>
  <si>
    <t>豪华间</t>
    <phoneticPr fontId="3" type="noConversion"/>
  </si>
  <si>
    <t>行政间</t>
    <phoneticPr fontId="3" type="noConversion"/>
  </si>
  <si>
    <t>套间</t>
    <phoneticPr fontId="3" type="noConversion"/>
  </si>
  <si>
    <t>宴会厅</t>
    <phoneticPr fontId="143" type="noConversion"/>
  </si>
  <si>
    <t>会议室</t>
    <phoneticPr fontId="143" type="noConversion"/>
  </si>
  <si>
    <t>自定义</t>
  </si>
  <si>
    <t>钢混</t>
  </si>
  <si>
    <t>非生产用房</t>
  </si>
  <si>
    <r>
      <rPr>
        <sz val="12"/>
        <color theme="9" tint="-0.249977111117893"/>
        <rFont val="宋体"/>
        <family val="3"/>
        <charset val="134"/>
      </rPr>
      <t>北京经济技术开发区荣华南路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phoneticPr fontId="6" type="noConversion"/>
  </si>
  <si>
    <t>《不动产权证书》</t>
  </si>
  <si>
    <t>《不动产权证书》</t>
    <phoneticPr fontId="6" type="noConversion"/>
  </si>
  <si>
    <t>《不动产权证书》</t>
    <phoneticPr fontId="6" type="noConversion"/>
  </si>
  <si>
    <t>2019-1-0328-P01</t>
    <phoneticPr fontId="6" type="noConversion"/>
  </si>
  <si>
    <t>郑燚</t>
  </si>
  <si>
    <t>崔锴</t>
  </si>
  <si>
    <t>成本比率</t>
  </si>
  <si>
    <t>建筑面积</t>
  </si>
  <si>
    <t>土地面积</t>
  </si>
  <si>
    <t>出让国有建设用地使用权价值</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</si>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</sst>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2"/>
      <color rgb="FF000000"/>
      <name val="仿宋_GB2312"/>
      <family val="1"/>
      <charset val="134"/>
    </font>
    <font>
      <sz val="12"/>
      <color rgb="FF000000"/>
      <name val="仿宋_GB2312"/>
      <family val="1"/>
      <charset val="134"/>
    </font>
    <font>
      <sz val="10.5"/>
      <color theme="1"/>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55" fillId="0" borderId="56" xfId="0" applyFont="1" applyBorder="1" applyAlignment="1">
      <alignment horizontal="center" vertical="center"/>
    </xf>
    <xf numFmtId="0" fontId="255" fillId="0" borderId="43" xfId="0" applyFont="1" applyBorder="1" applyAlignment="1">
      <alignment horizontal="center" vertical="center"/>
    </xf>
    <xf numFmtId="9" fontId="255" fillId="7" borderId="43" xfId="0" applyNumberFormat="1" applyFont="1" applyFill="1" applyBorder="1" applyAlignment="1">
      <alignment horizontal="center" vertical="center"/>
    </xf>
    <xf numFmtId="9" fontId="0" fillId="0" borderId="0" xfId="0" applyNumberFormat="1">
      <alignment vertical="center"/>
    </xf>
    <xf numFmtId="9" fontId="255" fillId="0" borderId="43" xfId="0" applyNumberFormat="1" applyFont="1" applyBorder="1" applyAlignment="1">
      <alignment horizontal="center" vertical="center"/>
    </xf>
    <xf numFmtId="0" fontId="256" fillId="0" borderId="27" xfId="0" applyFont="1" applyBorder="1" applyAlignment="1">
      <alignment horizontal="justify" vertical="center"/>
    </xf>
    <xf numFmtId="0" fontId="256" fillId="0" borderId="65" xfId="0" applyFont="1" applyBorder="1" applyAlignment="1">
      <alignment horizontal="center" vertical="center"/>
    </xf>
    <xf numFmtId="176" fontId="99" fillId="0" borderId="0" xfId="17" applyFont="1">
      <alignment vertical="center"/>
    </xf>
    <xf numFmtId="0" fontId="256" fillId="0" borderId="81" xfId="0" applyFont="1" applyBorder="1" applyAlignment="1">
      <alignment horizontal="justify" vertical="center"/>
    </xf>
    <xf numFmtId="0" fontId="256" fillId="0" borderId="43" xfId="0" applyFont="1" applyBorder="1" applyAlignment="1">
      <alignment horizontal="center" vertical="center"/>
    </xf>
    <xf numFmtId="10" fontId="255" fillId="0" borderId="43" xfId="0" applyNumberFormat="1" applyFont="1" applyBorder="1" applyAlignment="1">
      <alignment horizontal="center" vertical="center"/>
    </xf>
    <xf numFmtId="0" fontId="0" fillId="0" borderId="0" xfId="0" applyNumberFormat="1">
      <alignment vertical="center"/>
    </xf>
    <xf numFmtId="0" fontId="256" fillId="0" borderId="80" xfId="0" applyFont="1" applyBorder="1" applyAlignment="1">
      <alignment horizontal="center" vertical="center"/>
    </xf>
    <xf numFmtId="0" fontId="255" fillId="0" borderId="80" xfId="0" applyFont="1" applyBorder="1" applyAlignment="1">
      <alignment horizontal="center" vertical="center" wrapText="1"/>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7" fillId="0" borderId="0" xfId="0" applyFont="1" applyAlignment="1">
      <alignment vertical="center" wrapText="1"/>
    </xf>
    <xf numFmtId="0" fontId="255" fillId="0" borderId="0" xfId="0" applyFont="1" applyAlignment="1">
      <alignment horizontal="justify" vertical="center"/>
    </xf>
    <xf numFmtId="0" fontId="255" fillId="0" borderId="0" xfId="0" applyFont="1" applyAlignment="1">
      <alignment horizontal="center" vertical="center"/>
    </xf>
    <xf numFmtId="178"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56" fillId="0" borderId="63" xfId="0" applyFont="1" applyBorder="1" applyAlignment="1">
      <alignment horizontal="center" vertical="center"/>
    </xf>
    <xf numFmtId="0" fontId="256" fillId="0" borderId="65" xfId="0" applyFont="1" applyBorder="1" applyAlignment="1">
      <alignment horizontal="center" vertical="center"/>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5" fillId="0" borderId="64" xfId="0" applyFont="1" applyBorder="1" applyAlignment="1">
      <alignment horizontal="center" vertical="center"/>
    </xf>
    <xf numFmtId="0" fontId="255" fillId="0" borderId="16" xfId="0" applyFont="1" applyBorder="1" applyAlignment="1">
      <alignment horizontal="center" vertical="center"/>
    </xf>
    <xf numFmtId="0" fontId="255" fillId="0" borderId="19" xfId="0" applyFont="1" applyBorder="1" applyAlignment="1">
      <alignment horizontal="center" vertical="center"/>
    </xf>
    <xf numFmtId="0" fontId="255" fillId="0" borderId="31" xfId="0" applyFont="1" applyBorder="1" applyAlignment="1">
      <alignment horizontal="center" vertical="center"/>
    </xf>
    <xf numFmtId="0" fontId="255" fillId="0" borderId="42" xfId="0" applyFont="1" applyBorder="1" applyAlignment="1">
      <alignment horizontal="center" vertical="center"/>
    </xf>
    <xf numFmtId="0" fontId="255" fillId="0" borderId="47" xfId="0" applyFont="1" applyBorder="1" applyAlignment="1">
      <alignment horizontal="center" vertical="center"/>
    </xf>
    <xf numFmtId="0" fontId="255" fillId="0" borderId="43" xfId="0" applyFont="1" applyBorder="1" applyAlignment="1">
      <alignment horizontal="center" vertical="center"/>
    </xf>
    <xf numFmtId="0" fontId="256" fillId="0" borderId="64" xfId="0" applyFont="1" applyBorder="1" applyAlignment="1">
      <alignment horizontal="center" vertical="center"/>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255" fillId="7" borderId="63" xfId="0" applyFont="1" applyFill="1" applyBorder="1" applyAlignment="1">
      <alignment horizontal="center" vertical="center"/>
    </xf>
    <xf numFmtId="0" fontId="255" fillId="7" borderId="65" xfId="0" applyFont="1" applyFill="1" applyBorder="1" applyAlignment="1">
      <alignment horizontal="center" vertical="center"/>
    </xf>
    <xf numFmtId="0" fontId="255" fillId="7" borderId="64" xfId="0" applyFont="1" applyFill="1" applyBorder="1" applyAlignment="1">
      <alignment horizontal="center" vertical="center"/>
    </xf>
    <xf numFmtId="0" fontId="255" fillId="0" borderId="18" xfId="0" applyFont="1" applyBorder="1" applyAlignment="1">
      <alignment horizontal="center" vertical="center" wrapText="1"/>
    </xf>
    <xf numFmtId="0" fontId="255" fillId="0" borderId="56" xfId="0" applyFont="1" applyBorder="1" applyAlignment="1">
      <alignment horizontal="center" vertical="center" wrapText="1"/>
    </xf>
    <xf numFmtId="0" fontId="255" fillId="0" borderId="42" xfId="0" applyFont="1" applyBorder="1" applyAlignment="1">
      <alignment horizontal="center" vertical="center" wrapText="1"/>
    </xf>
    <xf numFmtId="0" fontId="255" fillId="0" borderId="43" xfId="0" applyFont="1" applyBorder="1" applyAlignment="1">
      <alignment horizontal="center" vertical="center" wrapText="1"/>
    </xf>
    <xf numFmtId="0" fontId="255" fillId="0" borderId="27" xfId="0" applyFont="1" applyBorder="1" applyAlignment="1">
      <alignment horizontal="center" vertical="center"/>
    </xf>
    <xf numFmtId="0" fontId="255" fillId="0" borderId="81" xfId="0" applyFont="1" applyBorder="1" applyAlignment="1">
      <alignment horizontal="center" vertical="center"/>
    </xf>
    <xf numFmtId="0" fontId="255" fillId="0" borderId="63" xfId="0" applyFont="1" applyBorder="1" applyAlignment="1">
      <alignment horizontal="center" vertical="center" wrapText="1"/>
    </xf>
    <xf numFmtId="0" fontId="255" fillId="0" borderId="65" xfId="0" applyFont="1" applyBorder="1" applyAlignment="1">
      <alignment horizontal="center" vertical="center" wrapText="1"/>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16" xfId="0" applyFont="1" applyBorder="1" applyAlignment="1">
      <alignment horizontal="center" vertical="center" wrapText="1"/>
    </xf>
    <xf numFmtId="0" fontId="255" fillId="0" borderId="31" xfId="0" applyFont="1" applyBorder="1" applyAlignment="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1205</v>
      </c>
      <c r="B1" s="1584" t="s">
        <v>1284</v>
      </c>
    </row>
    <row r="2" spans="1:2" s="1589" customFormat="1" ht="15" thickTop="1">
      <c r="A2" s="1587" t="s">
        <v>1206</v>
      </c>
      <c r="B2" s="1588" t="str">
        <f>'预评函-封皮'!B37:I37</f>
        <v>北京市北京经济技术开发区荣华南路12号1幢房地产抵押价值预评估</v>
      </c>
    </row>
    <row r="3" spans="1:2" s="1592" customFormat="1">
      <c r="A3" s="1590" t="s">
        <v>1207</v>
      </c>
      <c r="B3" s="1591" t="str">
        <f>'预评函-封皮'!B40</f>
        <v>北京兴基伟业投资管理有限公司</v>
      </c>
    </row>
    <row r="4" spans="1:2" s="1592" customFormat="1">
      <c r="A4" s="1590" t="s">
        <v>1208</v>
      </c>
      <c r="B4" s="1591" t="str">
        <f ca="1">'预评函-封皮'!B46</f>
        <v>郑燚（注册号：1120070131)、崔锴（注册号：1120100036)</v>
      </c>
    </row>
    <row r="5" spans="1:2" s="1586" customFormat="1" ht="15" thickBot="1">
      <c r="A5" s="1593" t="s">
        <v>1209</v>
      </c>
      <c r="B5" s="1594" t="str">
        <f>'预评函-封皮'!B49</f>
        <v>康正预评字2019-1-0328-P01号</v>
      </c>
    </row>
    <row r="6" spans="1:2" s="1589" customFormat="1" ht="15" thickTop="1">
      <c r="A6" s="1587" t="s">
        <v>1210</v>
      </c>
      <c r="B6" s="1588" t="str">
        <f>'预评函-1'!A4</f>
        <v>受贵公司委托，我公司对北京市北京经济技术开发区荣华南路12号1幢房地产抵押价值进行了预评估。</v>
      </c>
    </row>
    <row r="7" spans="1:2" s="1592" customFormat="1">
      <c r="A7" s="1590" t="s">
        <v>1250</v>
      </c>
      <c r="B7" s="1591" t="str">
        <f>'预评函-1'!A7</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2" s="1592" customFormat="1">
      <c r="A8" s="1590" t="s">
        <v>1251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1252</v>
      </c>
      <c r="B9" s="1591" t="str">
        <f>'预评函-1'!A10</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0" spans="1:2" s="1592" customFormat="1">
      <c r="A10" s="1590" t="s">
        <v>1253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1211</v>
      </c>
      <c r="B11" s="1591" t="str">
        <f>'预评函-1'!A13</f>
        <v>为估价委托人在向工商银行开发区支行办理贷款手续过程中，确定房地产抵押贷款额度提供参考依据而评估房地产抵押价值。</v>
      </c>
    </row>
    <row r="12" spans="1:2" s="1592" customFormat="1">
      <c r="A12" s="1590" t="s">
        <v>1212</v>
      </c>
      <c r="B12" s="1591" t="str">
        <f>'预评函-1'!A15</f>
        <v>2019年5月20日（评估专业人员实地查勘之日）</v>
      </c>
    </row>
    <row r="13" spans="1:2" s="1592" customFormat="1">
      <c r="A13" s="1590" t="s">
        <v>1213</v>
      </c>
      <c r="B13" s="1591" t="str">
        <f>'预评函-1'!A18</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4" spans="1:2" s="1592" customFormat="1">
      <c r="A14" s="1590" t="s">
        <v>1214</v>
      </c>
      <c r="B14" s="1591" t="str">
        <f>'预评函-1'!A19</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1215</v>
      </c>
      <c r="B15" s="1591" t="str">
        <f>'预评函-1'!A20</f>
        <v>本次估价的“房地产抵押价值”是指估价对象在价值时点的“房地产价值”扣减估价师于价值时点所知悉的法定优先受偿款后的余额。</v>
      </c>
    </row>
    <row r="16" spans="1:2" s="1592" customFormat="1">
      <c r="A16" s="1590" t="s">
        <v>1216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1217</v>
      </c>
      <c r="B17" s="1591" t="str">
        <f>'预评函-1'!A22</f>
        <v/>
      </c>
    </row>
    <row r="18" spans="1:2" s="1586" customFormat="1" ht="15" thickBot="1">
      <c r="A18" s="1593" t="s">
        <v>1218</v>
      </c>
      <c r="B18" s="1594" t="str">
        <f>'预评函-1'!A24</f>
        <v>本次评估采用的主估价方法为成本法和收益法。</v>
      </c>
    </row>
    <row r="19" spans="1:2" s="1589" customFormat="1" ht="15" thickTop="1">
      <c r="A19" s="1587" t="s">
        <v>1219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1220</v>
      </c>
      <c r="B20" s="1591">
        <f ca="1">'预评函-2'!D5</f>
        <v>129006</v>
      </c>
    </row>
    <row r="21" spans="1:2" s="1592" customFormat="1">
      <c r="A21" s="1590" t="s">
        <v>1221</v>
      </c>
      <c r="B21" s="1591">
        <f ca="1">'预评函-2'!D7</f>
        <v>23041</v>
      </c>
    </row>
    <row r="22" spans="1:2" s="1592" customFormat="1">
      <c r="A22" s="1590" t="s">
        <v>1222</v>
      </c>
      <c r="B22" s="1591" t="str">
        <f ca="1">'预评函-2'!D6</f>
        <v>壹拾贰亿玖仟零陆万元整</v>
      </c>
    </row>
    <row r="23" spans="1:2" s="1592" customFormat="1">
      <c r="A23" s="1590" t="s">
        <v>1273</v>
      </c>
      <c r="B23" s="1591" t="str">
        <f>'预评函-2'!B8</f>
        <v>2.估价师知悉的法定优先受偿款</v>
      </c>
    </row>
    <row r="24" spans="1:2" s="1592" customFormat="1">
      <c r="A24" s="1590" t="s">
        <v>1279</v>
      </c>
      <c r="B24" s="1591">
        <f>'预评函-2'!D8</f>
        <v>0</v>
      </c>
    </row>
    <row r="25" spans="1:2" s="1592" customFormat="1">
      <c r="A25" s="1590" t="s">
        <v>1223</v>
      </c>
      <c r="B25" s="1591" t="str">
        <f>'预评函-2'!D9</f>
        <v>零元整</v>
      </c>
    </row>
    <row r="26" spans="1:2" s="1592" customFormat="1">
      <c r="A26" s="1590" t="s">
        <v>1224</v>
      </c>
      <c r="B26" s="1591">
        <f>'预评函-2'!D10</f>
        <v>0</v>
      </c>
    </row>
    <row r="27" spans="1:2" s="1592" customFormat="1">
      <c r="A27" s="1590" t="s">
        <v>1225</v>
      </c>
      <c r="B27" s="1591">
        <f>'预评函-2'!D11</f>
        <v>0</v>
      </c>
    </row>
    <row r="28" spans="1:2" s="1592" customFormat="1">
      <c r="A28" s="1590" t="s">
        <v>1226</v>
      </c>
      <c r="B28" s="1591">
        <f>'预评函-2'!D12</f>
        <v>0</v>
      </c>
    </row>
    <row r="29" spans="1:2" s="1592" customFormat="1">
      <c r="A29" s="1590" t="s">
        <v>1277</v>
      </c>
      <c r="B29" s="1591" t="str">
        <f>'预评函-2'!B13</f>
        <v>3.房地产抵押价值</v>
      </c>
    </row>
    <row r="30" spans="1:2" s="1592" customFormat="1">
      <c r="A30" s="1590" t="s">
        <v>1278</v>
      </c>
      <c r="B30" s="1591">
        <f ca="1">'预评函-2'!D13</f>
        <v>129006</v>
      </c>
    </row>
    <row r="31" spans="1:2" s="1592" customFormat="1">
      <c r="A31" s="1590" t="s">
        <v>1260</v>
      </c>
      <c r="B31" s="1591">
        <f ca="1">'预评函-2'!D15</f>
        <v>23041</v>
      </c>
    </row>
    <row r="32" spans="1:2" s="1592" customFormat="1">
      <c r="A32" s="1590" t="s">
        <v>1227</v>
      </c>
      <c r="B32" s="1591" t="str">
        <f ca="1">'预评函-2'!D14</f>
        <v>壹拾贰亿玖仟零陆万元整</v>
      </c>
    </row>
    <row r="33" spans="1:2" s="1592" customFormat="1">
      <c r="A33" s="1590" t="s">
        <v>1262</v>
      </c>
      <c r="B33" s="1591" t="str">
        <f>'预评函-2'!B16</f>
        <v>——</v>
      </c>
    </row>
    <row r="34" spans="1:2" s="1592" customFormat="1">
      <c r="A34" s="1590" t="s">
        <v>1280</v>
      </c>
      <c r="B34" s="1591" t="str">
        <f>'预评函-2'!D16</f>
        <v>——</v>
      </c>
    </row>
    <row r="35" spans="1:2" s="1592" customFormat="1">
      <c r="A35" s="1590" t="s">
        <v>1261</v>
      </c>
      <c r="B35" s="1591" t="str">
        <f>'预评函-2'!D18</f>
        <v>——</v>
      </c>
    </row>
    <row r="36" spans="1:2" s="1592" customFormat="1">
      <c r="A36" s="1590" t="s">
        <v>1228</v>
      </c>
      <c r="B36" s="1591" t="e">
        <f>'预评函-2'!D17</f>
        <v>#VALUE!</v>
      </c>
    </row>
    <row r="37" spans="1:2" s="1592" customFormat="1">
      <c r="A37" s="1590" t="s">
        <v>1263</v>
      </c>
      <c r="B37" s="1591" t="str">
        <f>'预评函-2'!B19</f>
        <v>——</v>
      </c>
    </row>
    <row r="38" spans="1:2" s="1592" customFormat="1">
      <c r="A38" s="1590" t="s">
        <v>1281</v>
      </c>
      <c r="B38" s="1591" t="str">
        <f>'预评函-2'!D19</f>
        <v>——</v>
      </c>
    </row>
    <row r="39" spans="1:2" s="1592" customFormat="1">
      <c r="A39" s="1590" t="s">
        <v>1229</v>
      </c>
      <c r="B39" s="1591" t="str">
        <f>'预评函-2'!D21</f>
        <v>——</v>
      </c>
    </row>
    <row r="40" spans="1:2" s="1592" customFormat="1">
      <c r="A40" s="1590" t="s">
        <v>1230</v>
      </c>
      <c r="B40" s="1591" t="e">
        <f>'预评函-2'!D20</f>
        <v>#VALUE!</v>
      </c>
    </row>
    <row r="41" spans="1:2" s="1592" customFormat="1">
      <c r="A41" s="1590" t="s">
        <v>1276</v>
      </c>
      <c r="B41" s="1591" t="str">
        <f>'预评函-3'!A4</f>
        <v>北京市北京经济技术开发区荣华南路12号1幢房地产</v>
      </c>
    </row>
    <row r="42" spans="1:2" s="1592" customFormat="1">
      <c r="A42" s="1590" t="s">
        <v>1274</v>
      </c>
      <c r="B42" s="1591" t="str">
        <f>'预评函-3'!B2</f>
        <v>建筑面积</v>
      </c>
    </row>
    <row r="43" spans="1:2" s="1592" customFormat="1">
      <c r="A43" s="1590" t="s">
        <v>1275</v>
      </c>
      <c r="B43" s="1591">
        <f>'预评函-3'!B4</f>
        <v>55990.490000000005</v>
      </c>
    </row>
    <row r="44" spans="1:2" s="1592" customFormat="1">
      <c r="A44" s="1590" t="s">
        <v>1259</v>
      </c>
      <c r="B44" s="1591" t="str">
        <f>'预评函-3'!C2</f>
        <v>(分摊)土地面积</v>
      </c>
    </row>
    <row r="45" spans="1:2" s="1592" customFormat="1">
      <c r="A45" s="1590" t="s">
        <v>1231</v>
      </c>
      <c r="B45" s="1591">
        <f>'预评函-3'!C4</f>
        <v>12625.6</v>
      </c>
    </row>
    <row r="46" spans="1:2" s="1592" customFormat="1">
      <c r="A46" s="1590" t="s">
        <v>1257</v>
      </c>
      <c r="B46" s="1591" t="str">
        <f>'预评函-3'!D2</f>
        <v>出让国有建设用地使用权价值</v>
      </c>
    </row>
    <row r="47" spans="1:2" s="1592" customFormat="1">
      <c r="A47" s="1590" t="s">
        <v>1232</v>
      </c>
      <c r="B47" s="1591">
        <f ca="1">'预评函-3'!D4</f>
        <v>72630</v>
      </c>
    </row>
    <row r="48" spans="1:2" s="1592" customFormat="1">
      <c r="A48" s="1590" t="s">
        <v>1233</v>
      </c>
      <c r="B48" s="1591">
        <f ca="1">'预评函-3'!E4</f>
        <v>12972</v>
      </c>
    </row>
    <row r="49" spans="1:2" s="1592" customFormat="1">
      <c r="A49" s="1590" t="s">
        <v>1234</v>
      </c>
      <c r="B49" s="1591" t="str">
        <f ca="1">'预评函-3'!D5</f>
        <v>柒亿贰仟陆佰叁拾万元整</v>
      </c>
    </row>
    <row r="50" spans="1:2" s="1592" customFormat="1">
      <c r="A50" s="1590" t="s">
        <v>1258</v>
      </c>
      <c r="B50" s="1591" t="str">
        <f>'预评函-3'!F2</f>
        <v>建筑物价值</v>
      </c>
    </row>
    <row r="51" spans="1:2" s="1592" customFormat="1">
      <c r="A51" s="1590" t="s">
        <v>1235</v>
      </c>
      <c r="B51" s="1591">
        <f ca="1">'预评函-3'!F4</f>
        <v>56376</v>
      </c>
    </row>
    <row r="52" spans="1:2" s="1592" customFormat="1">
      <c r="A52" s="1590" t="s">
        <v>1236</v>
      </c>
      <c r="B52" s="1591">
        <f ca="1">'预评函-3'!G4</f>
        <v>10069</v>
      </c>
    </row>
    <row r="53" spans="1:2" s="1592" customFormat="1">
      <c r="A53" s="1590" t="s">
        <v>1264</v>
      </c>
      <c r="B53" s="1591" t="str">
        <f ca="1">'预评函-3'!F5</f>
        <v>伍亿陆仟叁佰柒拾陆万元整</v>
      </c>
    </row>
    <row r="54" spans="1:2" s="1592" customFormat="1">
      <c r="A54" s="1590" t="s">
        <v>1282</v>
      </c>
      <c r="B54" s="1591" t="str">
        <f>'预评函-3'!A8</f>
        <v>房地产抵押价值</v>
      </c>
    </row>
    <row r="55" spans="1:2" s="1592" customFormat="1">
      <c r="A55" s="1590" t="s">
        <v>1265</v>
      </c>
      <c r="B55" s="1591" t="str">
        <f>'预评函-3'!A10</f>
        <v/>
      </c>
    </row>
    <row r="56" spans="1:2" s="1592" customFormat="1">
      <c r="A56" s="1590" t="s">
        <v>1266</v>
      </c>
      <c r="B56" s="1591" t="str">
        <f>'预评函-3'!A12</f>
        <v/>
      </c>
    </row>
    <row r="57" spans="1:2" s="1586" customFormat="1" ht="15" thickBot="1">
      <c r="A57" s="1593" t="s">
        <v>1283</v>
      </c>
      <c r="B57" s="1594" t="str">
        <f>'预评函-3'!A6</f>
        <v>估价师知悉的法定优先受偿款</v>
      </c>
    </row>
    <row r="58" spans="1:2" s="1589" customFormat="1" ht="15" thickTop="1">
      <c r="A58" s="1587" t="s">
        <v>1237</v>
      </c>
      <c r="B58" s="1588" t="str">
        <f>'预评函-4'!A12</f>
        <v>2.本《评估意见函》仅供金融机构进行内部审核使用，不做其他目的之用。</v>
      </c>
    </row>
    <row r="59" spans="1:2" s="1592" customFormat="1">
      <c r="A59" s="1590" t="s">
        <v>1238</v>
      </c>
      <c r="B59" s="1591" t="str">
        <f>'预评函-4'!A13</f>
        <v>3.抵押双方在办理抵押登记手续时，应使用本公司出具的正式《房地产评估报告》，特提醒报告使用者注意。</v>
      </c>
    </row>
    <row r="60" spans="1:2" s="1592" customFormat="1">
      <c r="A60" s="1590" t="s">
        <v>1239</v>
      </c>
      <c r="B60" s="1591" t="str">
        <f>'预评函-4'!A14</f>
        <v>4.本次评估估价师所知悉的法定优先受偿款情况说明如下：</v>
      </c>
    </row>
    <row r="61" spans="1:2" s="1592" customFormat="1">
      <c r="A61" s="1590" t="s">
        <v>1240</v>
      </c>
      <c r="B61" s="1591" t="str">
        <f>'预评函-4'!A15</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1241</v>
      </c>
      <c r="B62" s="1591" t="str">
        <f>'预评函-4'!A16</f>
        <v>（2）根据《工程款支付情况说明》，截至价值时点，估价对象不存在应付未付工程款项。（只要没有施工方盖章的，均“设定”进行表述）</v>
      </c>
    </row>
    <row r="63" spans="1:2" s="1592" customFormat="1">
      <c r="A63" s="1590" t="s">
        <v>1242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1254</v>
      </c>
      <c r="B64" s="1591" t="str">
        <f>'预评函-4'!A18</f>
        <v>故，本次评估不存在估价师知悉的法定优先受偿款</v>
      </c>
    </row>
    <row r="65" spans="1:2" s="1592" customFormat="1">
      <c r="A65" s="1590" t="s">
        <v>1243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1244</v>
      </c>
      <c r="B66" s="1591" t="str">
        <f>'预评函-4'!A20</f>
        <v>——</v>
      </c>
    </row>
    <row r="67" spans="1:2" s="1592" customFormat="1">
      <c r="A67" s="1590" t="s">
        <v>1255</v>
      </c>
      <c r="B67" s="1591" t="str">
        <f>'预评函-4'!A21</f>
        <v>——</v>
      </c>
    </row>
    <row r="68" spans="1:2" s="1592" customFormat="1">
      <c r="A68" s="1590" t="s">
        <v>1256</v>
      </c>
      <c r="B68" s="1591" t="str">
        <f>'预评函-4'!A22</f>
        <v>8.其他需特殊说明事项：无（注意调整序号）</v>
      </c>
    </row>
    <row r="69" spans="1:2" s="1586" customFormat="1" ht="15" thickBot="1">
      <c r="A69" s="1593" t="s">
        <v>1245</v>
      </c>
      <c r="B69" s="1595">
        <f>'预评函-4'!C31</f>
        <v>42551</v>
      </c>
    </row>
    <row r="70" spans="1:2" ht="15" thickTop="1">
      <c r="A70" s="1596" t="s">
        <v>1246</v>
      </c>
      <c r="B70" s="1597" t="str">
        <f>'预评函-4'!A4</f>
        <v>郑燚</v>
      </c>
    </row>
    <row r="71" spans="1:2">
      <c r="A71" s="1590" t="s">
        <v>1247</v>
      </c>
      <c r="B71" s="1591">
        <f ca="1">'预评函-4'!B4</f>
        <v>1120070131</v>
      </c>
    </row>
    <row r="72" spans="1:2">
      <c r="A72" s="1590" t="s">
        <v>1248</v>
      </c>
      <c r="B72" s="1599" t="str">
        <f>'预评函-4'!A5</f>
        <v>崔锴</v>
      </c>
    </row>
    <row r="73" spans="1:2" s="1586" customFormat="1" ht="15" thickBot="1">
      <c r="A73" s="1593" t="s">
        <v>1249</v>
      </c>
      <c r="B73" s="1594">
        <f ca="1">'预评函-4'!B5</f>
        <v>1120100036</v>
      </c>
    </row>
    <row r="74" spans="1:2" ht="15" thickTop="1">
      <c r="A74" s="1583" t="s">
        <v>1285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1676</v>
      </c>
      <c r="C1" s="2008" t="s">
        <v>759</v>
      </c>
      <c r="D1" s="2009" t="s">
        <v>1677</v>
      </c>
      <c r="E1" s="2009" t="s">
        <v>1678</v>
      </c>
      <c r="F1" s="2009" t="s">
        <v>1679</v>
      </c>
      <c r="G1" s="2009" t="s">
        <v>1680</v>
      </c>
      <c r="H1" s="2009" t="s">
        <v>1681</v>
      </c>
      <c r="I1" s="2009" t="s">
        <v>1682</v>
      </c>
      <c r="J1" s="2009" t="s">
        <v>1683</v>
      </c>
      <c r="K1" s="2009" t="s">
        <v>1684</v>
      </c>
      <c r="L1" s="2009" t="s">
        <v>1685</v>
      </c>
      <c r="M1" s="2009" t="s">
        <v>1686</v>
      </c>
      <c r="N1" s="2009" t="s">
        <v>1687</v>
      </c>
      <c r="O1" s="2009" t="s">
        <v>1688</v>
      </c>
      <c r="P1" s="2010" t="s">
        <v>753</v>
      </c>
      <c r="Q1" s="2010" t="s">
        <v>1131</v>
      </c>
      <c r="R1" s="2009" t="s">
        <v>1125</v>
      </c>
      <c r="S1" s="2009" t="s">
        <v>1689</v>
      </c>
      <c r="T1" s="2011" t="s">
        <v>1690</v>
      </c>
      <c r="U1" s="2009" t="s">
        <v>1691</v>
      </c>
      <c r="V1" s="2009" t="s">
        <v>1692</v>
      </c>
      <c r="W1" s="2009" t="s">
        <v>755</v>
      </c>
    </row>
    <row r="2" spans="1:23">
      <c r="A2" s="2013" t="s">
        <v>22</v>
      </c>
      <c r="B2" s="2013" t="s">
        <v>1693</v>
      </c>
      <c r="C2" s="2014" t="s">
        <v>760</v>
      </c>
      <c r="D2" s="2015" t="s">
        <v>1694</v>
      </c>
      <c r="E2" s="2015" t="s">
        <v>1695</v>
      </c>
      <c r="F2" s="2015" t="s">
        <v>1696</v>
      </c>
      <c r="G2" s="2015">
        <v>40</v>
      </c>
      <c r="H2" s="2015" t="s">
        <v>1696</v>
      </c>
      <c r="I2" s="2015" t="s">
        <v>1697</v>
      </c>
      <c r="J2" s="2015" t="s">
        <v>1698</v>
      </c>
      <c r="K2" s="2015" t="s">
        <v>1699</v>
      </c>
      <c r="L2" s="2015" t="s">
        <v>1699</v>
      </c>
      <c r="M2" s="2015" t="s">
        <v>1699</v>
      </c>
      <c r="N2" s="2015" t="s">
        <v>1699</v>
      </c>
      <c r="O2" s="2015" t="s">
        <v>1699</v>
      </c>
      <c r="P2" s="2015" t="s">
        <v>1699</v>
      </c>
      <c r="Q2" s="2015" t="s">
        <v>1699</v>
      </c>
      <c r="R2" s="2015" t="s">
        <v>1127</v>
      </c>
      <c r="S2" s="2015" t="s">
        <v>1699</v>
      </c>
      <c r="T2" s="2015" t="s">
        <v>1700</v>
      </c>
      <c r="U2" s="2015" t="s">
        <v>1699</v>
      </c>
      <c r="V2" s="2015" t="s">
        <v>1701</v>
      </c>
      <c r="W2" s="2015" t="s">
        <v>1699</v>
      </c>
    </row>
    <row r="3" spans="1:23">
      <c r="A3" s="2013" t="s">
        <v>1702</v>
      </c>
      <c r="B3" s="2016" t="s">
        <v>1132</v>
      </c>
      <c r="C3" s="2017" t="s">
        <v>761</v>
      </c>
      <c r="D3" s="2015" t="s">
        <v>1703</v>
      </c>
      <c r="E3" s="2015" t="s">
        <v>16</v>
      </c>
      <c r="F3" s="2015" t="s">
        <v>1704</v>
      </c>
      <c r="G3" s="2015">
        <v>50</v>
      </c>
      <c r="H3" s="2015" t="s">
        <v>1704</v>
      </c>
      <c r="I3" s="2015" t="s">
        <v>1705</v>
      </c>
      <c r="J3" s="2015" t="s">
        <v>1706</v>
      </c>
      <c r="K3" s="2015" t="s">
        <v>1707</v>
      </c>
      <c r="L3" s="2015" t="s">
        <v>1707</v>
      </c>
      <c r="M3" s="2015" t="s">
        <v>1707</v>
      </c>
      <c r="N3" s="2015" t="s">
        <v>1707</v>
      </c>
      <c r="O3" s="2015" t="s">
        <v>1707</v>
      </c>
      <c r="P3" s="2015" t="s">
        <v>1707</v>
      </c>
      <c r="Q3" s="2015" t="s">
        <v>1707</v>
      </c>
      <c r="R3" s="2015" t="s">
        <v>1126</v>
      </c>
      <c r="S3" s="2015" t="s">
        <v>1707</v>
      </c>
      <c r="T3" s="2015" t="s">
        <v>1708</v>
      </c>
      <c r="U3" s="2015" t="s">
        <v>1707</v>
      </c>
      <c r="V3" s="2015" t="s">
        <v>1709</v>
      </c>
      <c r="W3" s="2015" t="s">
        <v>1707</v>
      </c>
    </row>
    <row r="4" spans="1:23">
      <c r="A4" s="2013" t="s">
        <v>1710</v>
      </c>
      <c r="B4" s="2013" t="s">
        <v>1711</v>
      </c>
      <c r="C4" s="2014" t="s">
        <v>762</v>
      </c>
      <c r="D4" s="2015" t="s">
        <v>865</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1128</v>
      </c>
      <c r="S4" s="2015" t="s">
        <v>1715</v>
      </c>
      <c r="T4" s="2015" t="s">
        <v>1716</v>
      </c>
      <c r="U4" s="2015" t="s">
        <v>1715</v>
      </c>
      <c r="W4" s="2015" t="s">
        <v>1715</v>
      </c>
    </row>
    <row r="5" spans="1:23">
      <c r="A5" s="2013" t="s">
        <v>1717</v>
      </c>
      <c r="B5" s="2013" t="s">
        <v>1718</v>
      </c>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1129</v>
      </c>
      <c r="S5" s="2015" t="s">
        <v>1722</v>
      </c>
      <c r="T5" s="2015" t="s">
        <v>1723</v>
      </c>
      <c r="U5" s="2015" t="s">
        <v>1722</v>
      </c>
      <c r="W5" s="2015" t="s">
        <v>1722</v>
      </c>
    </row>
    <row r="6" spans="1:23">
      <c r="A6" s="2013" t="s">
        <v>1724</v>
      </c>
      <c r="B6" s="2016" t="s">
        <v>1133</v>
      </c>
      <c r="C6" s="2019" t="s">
        <v>30</v>
      </c>
      <c r="F6" s="2015" t="s">
        <v>1720</v>
      </c>
      <c r="H6" s="2015" t="s">
        <v>1725</v>
      </c>
      <c r="I6" s="2015" t="s">
        <v>1726</v>
      </c>
      <c r="K6" s="2015" t="s">
        <v>1727</v>
      </c>
      <c r="L6" s="2015" t="s">
        <v>1727</v>
      </c>
      <c r="M6" s="2015" t="s">
        <v>1727</v>
      </c>
      <c r="N6" s="2015" t="s">
        <v>1727</v>
      </c>
      <c r="O6" s="2015" t="s">
        <v>1727</v>
      </c>
      <c r="P6" s="2015" t="s">
        <v>1727</v>
      </c>
      <c r="Q6" s="2015" t="s">
        <v>1727</v>
      </c>
      <c r="R6" s="2015" t="s">
        <v>1130</v>
      </c>
      <c r="S6" s="2015" t="s">
        <v>1727</v>
      </c>
      <c r="T6" s="2015"/>
      <c r="U6" s="2015" t="s">
        <v>1727</v>
      </c>
      <c r="W6" s="2015" t="s">
        <v>1727</v>
      </c>
    </row>
    <row r="7" spans="1:23">
      <c r="A7" s="2013" t="s">
        <v>1728</v>
      </c>
      <c r="B7" s="2016" t="s">
        <v>1134</v>
      </c>
      <c r="C7" s="2014" t="s">
        <v>31</v>
      </c>
      <c r="F7" s="2015" t="s">
        <v>1729</v>
      </c>
      <c r="H7" s="2015" t="s">
        <v>1730</v>
      </c>
      <c r="I7" s="2015" t="s">
        <v>1731</v>
      </c>
    </row>
    <row r="8" spans="1:23">
      <c r="A8" s="2013" t="s">
        <v>1732</v>
      </c>
      <c r="B8" s="2013" t="s">
        <v>1733</v>
      </c>
      <c r="C8" s="2014" t="s">
        <v>764</v>
      </c>
      <c r="F8" s="2015" t="s">
        <v>1734</v>
      </c>
      <c r="H8" s="2015"/>
      <c r="I8" s="2015" t="s">
        <v>1735</v>
      </c>
    </row>
    <row r="9" spans="1:23">
      <c r="A9" s="2013" t="s">
        <v>1736</v>
      </c>
      <c r="B9" s="2013" t="s">
        <v>1737</v>
      </c>
      <c r="C9" s="2014" t="s">
        <v>765</v>
      </c>
      <c r="F9" s="2015" t="s">
        <v>1738</v>
      </c>
      <c r="H9" s="2015"/>
    </row>
    <row r="10" spans="1:23">
      <c r="A10" s="2013" t="s">
        <v>1739</v>
      </c>
      <c r="B10" s="2013" t="s">
        <v>1740</v>
      </c>
      <c r="C10" s="2014" t="s">
        <v>766</v>
      </c>
      <c r="F10" s="2015" t="s">
        <v>16</v>
      </c>
    </row>
    <row r="11" spans="1:23">
      <c r="A11" s="2013" t="s">
        <v>1741</v>
      </c>
      <c r="B11" s="2013" t="s">
        <v>1742</v>
      </c>
      <c r="C11" s="2014" t="s">
        <v>767</v>
      </c>
    </row>
    <row r="12" spans="1:23">
      <c r="A12" s="2013" t="s">
        <v>1743</v>
      </c>
      <c r="B12" s="2013" t="s">
        <v>1744</v>
      </c>
      <c r="C12" s="2014" t="s">
        <v>768</v>
      </c>
    </row>
    <row r="13" spans="1:23">
      <c r="A13" s="2013" t="s">
        <v>1745</v>
      </c>
      <c r="B13" s="2013" t="s">
        <v>1746</v>
      </c>
      <c r="C13" s="2014" t="s">
        <v>769</v>
      </c>
    </row>
    <row r="14" spans="1:23">
      <c r="A14" s="2013" t="s">
        <v>1747</v>
      </c>
      <c r="B14" s="2013" t="s">
        <v>1748</v>
      </c>
      <c r="C14" s="2015" t="s">
        <v>16</v>
      </c>
    </row>
    <row r="15" spans="1:23">
      <c r="A15" s="2013" t="s">
        <v>1749</v>
      </c>
      <c r="B15" s="2013" t="s">
        <v>1750</v>
      </c>
      <c r="C15" s="2014"/>
    </row>
    <row r="16" spans="1:23">
      <c r="A16" s="2013" t="s">
        <v>1751</v>
      </c>
      <c r="B16" s="2013" t="s">
        <v>756</v>
      </c>
      <c r="C16" s="2014"/>
    </row>
    <row r="17" spans="1:3">
      <c r="A17" s="2013" t="s">
        <v>1752</v>
      </c>
      <c r="B17" s="2013" t="s">
        <v>757</v>
      </c>
      <c r="C17" s="2014"/>
    </row>
    <row r="18" spans="1:3">
      <c r="A18" s="2013" t="s">
        <v>1753</v>
      </c>
      <c r="B18" s="2013" t="s">
        <v>757</v>
      </c>
      <c r="C18" s="2014"/>
    </row>
    <row r="19" spans="1:3">
      <c r="A19" s="2013" t="s">
        <v>1754</v>
      </c>
      <c r="B19" s="2013" t="s">
        <v>757</v>
      </c>
      <c r="C19" s="2014"/>
    </row>
    <row r="20" spans="1:3">
      <c r="A20" s="2013" t="s">
        <v>1755</v>
      </c>
      <c r="B20" s="2013" t="s">
        <v>757</v>
      </c>
      <c r="C20" s="2014"/>
    </row>
    <row r="21" spans="1:3">
      <c r="A21" s="2013" t="s">
        <v>1756</v>
      </c>
      <c r="B21" s="2013" t="s">
        <v>757</v>
      </c>
      <c r="C21" s="2014"/>
    </row>
    <row r="22" spans="1:3">
      <c r="A22" s="2013" t="s">
        <v>1757</v>
      </c>
      <c r="B22" s="2013" t="s">
        <v>757</v>
      </c>
      <c r="C22" s="2014"/>
    </row>
    <row r="23" spans="1:3">
      <c r="A23" s="2013" t="s">
        <v>1758</v>
      </c>
      <c r="B23" s="2013" t="s">
        <v>757</v>
      </c>
      <c r="C23" s="2014"/>
    </row>
    <row r="24" spans="1:3">
      <c r="A24" s="2013" t="s">
        <v>1759</v>
      </c>
      <c r="B24" s="2013" t="s">
        <v>757</v>
      </c>
      <c r="C24" s="2014"/>
    </row>
    <row r="25" spans="1:3">
      <c r="A25" s="2013" t="s">
        <v>1760</v>
      </c>
      <c r="B25" s="2013" t="s">
        <v>757</v>
      </c>
      <c r="C25" s="2014"/>
    </row>
    <row r="26" spans="1:3">
      <c r="A26" s="2013" t="s">
        <v>1761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为估价委托人在向工商银行开发区支行办理贷款手续过程中，确定房地产抵押贷款额度提供参考依据而评估房地产抵押价值。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基伟业投资管理有限公司拟使用北京市北京经济技术开发区荣华南路12号1幢房地产作为抵押担保物，向工商银行开发区支行办理贷款手续。工商银行开发区支行特委托北京康正宏基房地产评估有限公司对上述抵押物进行评估。本次评估为确定房地产抵押贷款额度提供参考依据而评估房地产抵押价值。</v>
      </c>
      <c r="D51" s="2021" t="s">
        <v>1270</v>
      </c>
    </row>
    <row r="52" spans="1:4">
      <c r="A52" s="2020" t="s">
        <v>855</v>
      </c>
      <c r="B52" s="2020" t="s">
        <v>856</v>
      </c>
      <c r="C52" s="2018" t="s">
        <v>857</v>
      </c>
      <c r="D52" s="2018" t="s">
        <v>858</v>
      </c>
    </row>
    <row r="53" spans="1:4">
      <c r="A53" s="301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7"/>
      <c r="B54" s="2021" t="s">
        <v>861</v>
      </c>
      <c r="C54" s="2018" t="s">
        <v>1267</v>
      </c>
    </row>
    <row r="55" spans="1:4">
      <c r="A55" s="3017"/>
      <c r="B55" s="2021" t="s">
        <v>862</v>
      </c>
      <c r="C55" s="2018" t="s">
        <v>1268</v>
      </c>
    </row>
    <row r="56" spans="1:4">
      <c r="A56" s="3017"/>
      <c r="B56" s="2021" t="s">
        <v>863</v>
      </c>
      <c r="C56" s="2018" t="s">
        <v>1272</v>
      </c>
    </row>
    <row r="57" spans="1:4">
      <c r="A57" s="3017"/>
      <c r="B57" s="2021" t="s">
        <v>864</v>
      </c>
      <c r="C57" s="2018" t="s">
        <v>1269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1762</v>
      </c>
      <c r="B1" s="3026" t="str">
        <f>IF(B10="北京市","北京市",C10)&amp;F10&amp;IF(结果表!G1="在建","出让国有建设用地使用权及在建建筑物",IF(结果表!G1="土地","出让国有建设用地使用权",))&amp;B9&amp;"预评估"</f>
        <v>北京市北京经济技术开发区荣华南路12号1幢房地产抵押价值预评估</v>
      </c>
      <c r="C1" s="3027"/>
      <c r="D1" s="3027"/>
      <c r="E1" s="3027"/>
      <c r="F1" s="3027"/>
      <c r="G1" s="3027"/>
      <c r="H1" s="3027"/>
      <c r="I1" s="302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北京市北京经济技术开发区荣华南路12号1幢房地产抵押价值</v>
      </c>
    </row>
    <row r="2" spans="1:19" ht="18" customHeight="1">
      <c r="A2" s="2025" t="s">
        <v>1763</v>
      </c>
      <c r="B2" s="1039" t="s">
        <v>3152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北京市北京经济技术开发区荣华南路12号1幢房地产</v>
      </c>
    </row>
    <row r="3" spans="1:19" ht="18" customHeight="1">
      <c r="A3" s="2034" t="s">
        <v>1764</v>
      </c>
      <c r="B3" s="2035">
        <v>43605</v>
      </c>
      <c r="C3" s="2036" t="s">
        <v>1765</v>
      </c>
      <c r="D3" s="2035">
        <f>B3</f>
        <v>43605</v>
      </c>
      <c r="E3" s="2025"/>
      <c r="F3" s="2025"/>
      <c r="G3" s="2025"/>
      <c r="H3" s="2025"/>
      <c r="I3" s="2025"/>
      <c r="J3" s="2025"/>
      <c r="K3" s="2026"/>
      <c r="L3" s="2027"/>
      <c r="M3" s="2027"/>
      <c r="N3" s="2028"/>
      <c r="O3" s="2029"/>
      <c r="P3" s="2028"/>
      <c r="Q3" s="2028"/>
      <c r="R3" s="2028"/>
      <c r="S3" s="2030"/>
    </row>
    <row r="4" spans="1:19" ht="18" customHeight="1" thickBot="1">
      <c r="A4" s="2037" t="s">
        <v>1766</v>
      </c>
      <c r="B4" s="2038" t="s">
        <v>3153</v>
      </c>
      <c r="C4" s="1037">
        <f ca="1">SUMIF(注册房地产估价师,B4,估价师及机构信息!B3:B24)</f>
        <v>1120070131</v>
      </c>
      <c r="D4" s="2038" t="s">
        <v>3154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1767</v>
      </c>
      <c r="B5" s="2951" t="s">
        <v>3036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1768</v>
      </c>
      <c r="B6" s="2952" t="s">
        <v>3039</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1769</v>
      </c>
      <c r="B7" s="2047" t="str">
        <f>B5</f>
        <v>北京兴基伟业投资管理有限公司</v>
      </c>
      <c r="C7" s="2048"/>
      <c r="D7" s="2049"/>
      <c r="E7" s="2033"/>
      <c r="F7" s="2041"/>
      <c r="G7" s="2041"/>
      <c r="H7" s="2041"/>
      <c r="I7" s="2041"/>
      <c r="J7" s="2041"/>
      <c r="K7" s="2051"/>
      <c r="L7" s="2027"/>
      <c r="M7" s="2027"/>
      <c r="N7" s="2028"/>
      <c r="O7" s="2029"/>
      <c r="P7" s="2028"/>
      <c r="Q7" s="2028"/>
      <c r="R7" s="2028"/>
    </row>
    <row r="8" spans="1:19" ht="18" customHeight="1">
      <c r="A8" s="2046" t="s">
        <v>1770</v>
      </c>
      <c r="B8" s="2052" t="s">
        <v>3037</v>
      </c>
      <c r="C8" s="2053"/>
      <c r="D8" s="3029" t="s">
        <v>1771</v>
      </c>
      <c r="E8" s="2054" t="s">
        <v>3038</v>
      </c>
      <c r="F8" s="2055"/>
      <c r="G8" s="2025"/>
      <c r="H8" s="2025"/>
      <c r="I8" s="2025"/>
      <c r="J8" s="2041"/>
      <c r="K8" s="2042"/>
      <c r="L8" s="2027"/>
      <c r="M8" s="2027"/>
      <c r="N8" s="2028"/>
      <c r="O8" s="2029"/>
      <c r="P8" s="2028"/>
      <c r="Q8" s="2028"/>
      <c r="R8" s="2028"/>
    </row>
    <row r="9" spans="1:19" ht="18" customHeight="1" thickBot="1">
      <c r="A9" s="2039" t="s">
        <v>1772</v>
      </c>
      <c r="B9" s="2056" t="s">
        <v>3038</v>
      </c>
      <c r="C9" s="2057"/>
      <c r="D9" s="3030"/>
      <c r="E9" s="2056" t="s">
        <v>70</v>
      </c>
      <c r="F9" s="2058"/>
      <c r="G9" s="2059"/>
      <c r="H9" s="2059"/>
      <c r="I9" s="2059"/>
      <c r="J9" s="2041"/>
      <c r="K9" s="2051"/>
      <c r="L9" s="2027"/>
      <c r="M9" s="2027"/>
      <c r="N9" s="2028"/>
      <c r="O9" s="2029"/>
      <c r="P9" s="2028"/>
      <c r="Q9" s="2028"/>
      <c r="R9" s="2028"/>
    </row>
    <row r="10" spans="1:19" ht="18" customHeight="1" thickTop="1">
      <c r="A10" s="2060" t="s">
        <v>1773</v>
      </c>
      <c r="B10" s="2061" t="s">
        <v>3040</v>
      </c>
      <c r="C10" s="2062"/>
      <c r="D10" s="2045"/>
      <c r="E10" s="2063" t="s">
        <v>1774</v>
      </c>
      <c r="F10" s="2064" t="s">
        <v>3148</v>
      </c>
      <c r="G10" s="2065"/>
      <c r="H10" s="2066"/>
      <c r="I10" s="2045"/>
      <c r="J10" s="2041"/>
      <c r="K10" s="2051"/>
      <c r="L10" s="2027"/>
      <c r="M10" s="2027"/>
      <c r="N10" s="2028"/>
      <c r="O10" s="2029"/>
      <c r="P10" s="2028"/>
      <c r="Q10" s="2028"/>
      <c r="R10" s="2028"/>
    </row>
    <row r="11" spans="1:19" ht="18" customHeight="1">
      <c r="A11" s="2067" t="s">
        <v>1775</v>
      </c>
      <c r="B11" s="2068" t="s">
        <v>3041</v>
      </c>
      <c r="C11" s="2953" t="str">
        <f>B5</f>
        <v>北京兴基伟业投资管理有限公司</v>
      </c>
      <c r="D11" s="2069"/>
      <c r="E11" s="2041"/>
      <c r="F11" s="2041"/>
      <c r="G11" s="2041"/>
      <c r="H11" s="2041"/>
      <c r="I11" s="2041"/>
      <c r="J11" s="2041"/>
      <c r="K11" s="2051"/>
      <c r="L11" s="2027"/>
      <c r="M11" s="2027"/>
      <c r="N11" s="2028"/>
      <c r="O11" s="2029"/>
      <c r="P11" s="2028"/>
      <c r="Q11" s="2028"/>
      <c r="R11" s="2028"/>
    </row>
    <row r="12" spans="1:19" ht="18" customHeight="1">
      <c r="A12" s="2070" t="s">
        <v>1776</v>
      </c>
      <c r="B12" s="2068" t="s">
        <v>3042</v>
      </c>
      <c r="C12" s="2071" t="s">
        <v>1777</v>
      </c>
      <c r="D12" s="2072" t="s">
        <v>1778</v>
      </c>
      <c r="E12" s="2072" t="s">
        <v>1779</v>
      </c>
      <c r="F12" s="2072" t="s">
        <v>1780</v>
      </c>
      <c r="G12" s="2072" t="s">
        <v>1781</v>
      </c>
      <c r="H12" s="2072" t="s">
        <v>1782</v>
      </c>
      <c r="I12" s="2072" t="s">
        <v>1783</v>
      </c>
      <c r="J12" s="2041"/>
      <c r="K12" s="2051"/>
      <c r="L12" s="2027"/>
      <c r="M12" s="2027"/>
      <c r="N12" s="2028"/>
      <c r="O12" s="2029"/>
      <c r="P12" s="2028"/>
      <c r="Q12" s="2028"/>
      <c r="R12" s="2028"/>
    </row>
    <row r="13" spans="1:19" ht="18" customHeight="1">
      <c r="A13" s="2073"/>
      <c r="B13" s="2074"/>
      <c r="C13" s="2075" t="s">
        <v>1784</v>
      </c>
      <c r="D13" s="2076"/>
      <c r="E13" s="2076">
        <v>51860</v>
      </c>
      <c r="F13" s="2076"/>
      <c r="G13" s="2076"/>
      <c r="H13" s="2076"/>
      <c r="I13" s="1047"/>
      <c r="J13" s="2041"/>
      <c r="K13" s="2051"/>
      <c r="L13" s="2027"/>
      <c r="M13" s="2027"/>
      <c r="N13" s="2028"/>
      <c r="O13" s="2029"/>
      <c r="P13" s="2028"/>
      <c r="Q13" s="2028"/>
      <c r="R13" s="2028"/>
    </row>
    <row r="14" spans="1:19" ht="18" customHeight="1">
      <c r="A14" s="2073"/>
      <c r="B14" s="2074"/>
      <c r="C14" s="2075" t="s">
        <v>1785</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1786</v>
      </c>
      <c r="D15" s="1049" t="str">
        <f>IF(B12="出让",IF(D13="","",ROUNDDOWN(MIN((D13-$D$3)/365,D14),2)),D14)</f>
        <v/>
      </c>
      <c r="E15" s="1049">
        <f>IF(B12="出让",IF(E13="","",ROUNDDOWN(MIN((E13-$D$3)/365,E14),2)),E14)</f>
        <v>22.61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1787</v>
      </c>
      <c r="B16" s="3036" t="s">
        <v>3043</v>
      </c>
      <c r="C16" s="3037"/>
      <c r="D16" s="3038"/>
      <c r="E16" s="2082" t="s">
        <v>1788</v>
      </c>
      <c r="F16" s="3039" t="s">
        <v>3044</v>
      </c>
      <c r="G16" s="3040"/>
      <c r="H16" s="3040"/>
      <c r="I16" s="3041"/>
      <c r="J16" s="2028"/>
      <c r="K16" s="2079"/>
      <c r="L16" s="2080"/>
      <c r="M16" s="2080"/>
      <c r="N16" s="2081"/>
      <c r="O16" s="2080"/>
      <c r="P16" s="2081"/>
      <c r="Q16" s="2028"/>
      <c r="R16" s="2028"/>
    </row>
    <row r="17" spans="1:22" ht="18" customHeight="1">
      <c r="A17" s="2083" t="s">
        <v>1789</v>
      </c>
      <c r="B17" s="2034" t="s">
        <v>1790</v>
      </c>
      <c r="C17" s="1054">
        <f>'数据-汇总表'!E3</f>
        <v>55990.490000000005</v>
      </c>
      <c r="D17" s="2084" t="s">
        <v>1791</v>
      </c>
      <c r="E17" s="3042" t="s">
        <v>3150</v>
      </c>
      <c r="F17" s="3043"/>
      <c r="G17" s="3043"/>
      <c r="H17" s="3043"/>
      <c r="I17" s="3044"/>
      <c r="J17" s="2028"/>
      <c r="K17" s="2085"/>
      <c r="L17" s="2080"/>
      <c r="M17" s="2080"/>
      <c r="N17" s="2081"/>
      <c r="O17" s="2080"/>
      <c r="P17" s="2081"/>
      <c r="Q17" s="2028"/>
      <c r="R17" s="2028"/>
      <c r="S17" s="2028"/>
      <c r="T17" s="2028"/>
      <c r="U17" s="2028"/>
      <c r="V17" s="2028"/>
    </row>
    <row r="18" spans="1:22" ht="36" customHeight="1" thickBot="1">
      <c r="A18" s="2086" t="s">
        <v>1792</v>
      </c>
      <c r="B18" s="2037" t="s">
        <v>1793</v>
      </c>
      <c r="C18" s="1443">
        <f>'数据-汇总表'!D3</f>
        <v>12625.6</v>
      </c>
      <c r="D18" s="2087" t="s">
        <v>1791</v>
      </c>
      <c r="E18" s="3045" t="s">
        <v>3151</v>
      </c>
      <c r="F18" s="3046"/>
      <c r="G18" s="3046"/>
      <c r="H18" s="3046"/>
      <c r="I18" s="3047"/>
      <c r="J18" s="2028"/>
      <c r="K18" s="2085"/>
      <c r="L18" s="2080"/>
      <c r="M18" s="2080"/>
      <c r="N18" s="2081"/>
      <c r="O18" s="2080"/>
      <c r="P18" s="2081"/>
      <c r="Q18" s="2028"/>
      <c r="R18" s="2028"/>
      <c r="S18" s="2028"/>
      <c r="T18" s="2028"/>
      <c r="U18" s="2028"/>
      <c r="V18" s="2028"/>
    </row>
    <row r="19" spans="1:22" ht="37.5" customHeight="1" thickTop="1" thickBot="1">
      <c r="A19" s="373" t="s">
        <v>1794</v>
      </c>
      <c r="B19" s="352" t="s">
        <v>1795</v>
      </c>
      <c r="C19" s="2088" t="s">
        <v>3045</v>
      </c>
      <c r="D19" s="2089" t="s">
        <v>1796</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1797</v>
      </c>
      <c r="B20" s="3032" t="s">
        <v>1798</v>
      </c>
      <c r="C20" s="3033"/>
      <c r="D20" s="3034" t="s">
        <v>1799</v>
      </c>
      <c r="E20" s="3035"/>
      <c r="F20" s="2094" t="s">
        <v>1800</v>
      </c>
      <c r="G20" s="2041"/>
      <c r="H20" s="2041"/>
      <c r="I20" s="2041"/>
      <c r="J20" s="2041"/>
      <c r="K20" s="3031" t="s">
        <v>1801</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根据估价对象《不动产权证书》复印件、《不动产权证书》复印件，截至价值时点，估价对象已设定抵押。</v>
      </c>
      <c r="M20" s="2027"/>
      <c r="N20" s="2081"/>
      <c r="O20" s="2080"/>
      <c r="P20" s="2081"/>
      <c r="Q20" s="2028"/>
      <c r="R20" s="2028"/>
      <c r="S20" s="2028"/>
      <c r="T20" s="2028"/>
      <c r="U20" s="2028"/>
      <c r="V20" s="2028"/>
    </row>
    <row r="21" spans="1:22" ht="24.75" customHeight="1">
      <c r="A21" s="2093"/>
      <c r="B21" s="2095" t="s">
        <v>3149</v>
      </c>
      <c r="C21" s="2096" t="s">
        <v>3046</v>
      </c>
      <c r="D21" s="2097" t="s">
        <v>1802</v>
      </c>
      <c r="E21" s="2098" t="s">
        <v>70</v>
      </c>
      <c r="F21" s="2099"/>
      <c r="G21" s="2041"/>
      <c r="H21" s="2041"/>
      <c r="I21" s="2041"/>
      <c r="J21" s="2041"/>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3149</v>
      </c>
      <c r="C22" s="2096" t="s">
        <v>1803</v>
      </c>
      <c r="D22" s="2025"/>
      <c r="E22" s="2025"/>
      <c r="F22" s="2101"/>
      <c r="G22" s="2041"/>
      <c r="H22" s="2041"/>
      <c r="I22" s="2041"/>
      <c r="J22" s="2041"/>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1804</v>
      </c>
      <c r="B23" s="183" t="s">
        <v>1805</v>
      </c>
      <c r="C23" s="2103"/>
      <c r="D23" s="2104" t="s">
        <v>1805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1806</v>
      </c>
      <c r="C24" s="2108"/>
      <c r="D24" s="2102" t="s">
        <v>1806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1807</v>
      </c>
      <c r="C25" s="2108"/>
      <c r="D25" s="2102" t="s">
        <v>1807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1808</v>
      </c>
      <c r="C26" s="2112"/>
      <c r="D26" s="2113" t="s">
        <v>1809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9" t="s">
        <v>1810</v>
      </c>
      <c r="B27" s="2060" t="s">
        <v>1811</v>
      </c>
      <c r="C27" s="2116" t="s">
        <v>3047</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9"/>
      <c r="B28" s="2034" t="s">
        <v>1812</v>
      </c>
      <c r="C28" s="2118" t="s">
        <v>3048</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9"/>
      <c r="B29" s="2034" t="s">
        <v>1813</v>
      </c>
      <c r="C29" s="2121" t="s">
        <v>3049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0"/>
      <c r="B30" s="2034" t="s">
        <v>1814</v>
      </c>
      <c r="C30" s="3021"/>
      <c r="D30" s="302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3" t="s">
        <v>1815</v>
      </c>
      <c r="B31" s="2123" t="s">
        <v>3050</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2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24"/>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1816</v>
      </c>
      <c r="B34" s="2130" t="s">
        <v>3051</v>
      </c>
      <c r="C34" s="2130" t="s">
        <v>3052</v>
      </c>
      <c r="D34" s="2130" t="s">
        <v>3053</v>
      </c>
      <c r="E34" s="2130" t="s">
        <v>3054</v>
      </c>
      <c r="F34" s="2130" t="s">
        <v>3055</v>
      </c>
      <c r="G34" s="2130" t="s">
        <v>3056</v>
      </c>
      <c r="H34" s="2130" t="s">
        <v>70</v>
      </c>
      <c r="I34" s="2041"/>
      <c r="J34" s="2041"/>
      <c r="K34" s="1794">
        <f>COUNTIF(B34:H34,"——")</f>
        <v>1</v>
      </c>
      <c r="L34" s="2071" t="s">
        <v>1817</v>
      </c>
      <c r="M34" s="2071" t="s">
        <v>1818</v>
      </c>
      <c r="N34" s="2071" t="s">
        <v>1819</v>
      </c>
      <c r="O34" s="2071" t="s">
        <v>1820</v>
      </c>
      <c r="P34" s="2071" t="s">
        <v>1821</v>
      </c>
      <c r="Q34" s="2071" t="s">
        <v>1822</v>
      </c>
      <c r="R34" s="2071" t="s">
        <v>1823</v>
      </c>
      <c r="S34" s="3018" t="s">
        <v>1824</v>
      </c>
      <c r="T34" s="2131" t="str">
        <f>NUMBERSTRING(7-K34,1)&amp;"通"</f>
        <v>六通</v>
      </c>
      <c r="U34" s="2028"/>
      <c r="V34" s="2028"/>
    </row>
    <row r="35" spans="1:22" ht="18" customHeight="1">
      <c r="A35" s="2132"/>
      <c r="B35" s="3025" t="s">
        <v>1825</v>
      </c>
      <c r="C35" s="3025"/>
      <c r="D35" s="3025"/>
      <c r="E35" s="3025"/>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8"/>
      <c r="T35" s="48" t="str">
        <f>IF(T34="一通",L35,IF(T34="二通",M35,IF(T34="三通",N35,IF(T34="四通",O35,IF(T34="五通",P35,IF(T34="六通",Q35,R35))))))</f>
        <v>通路、通电、通讯、通上水、通下水、燃气</v>
      </c>
      <c r="U35" s="2028"/>
      <c r="V35" s="2028"/>
    </row>
    <row r="36" spans="1:22" ht="18" customHeight="1">
      <c r="A36" s="2134"/>
      <c r="B36" s="2133" t="s">
        <v>1826</v>
      </c>
      <c r="C36" s="2133" t="s">
        <v>1827</v>
      </c>
      <c r="D36" s="2133" t="s">
        <v>1828</v>
      </c>
      <c r="E36" s="2133" t="s">
        <v>1829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1830</v>
      </c>
      <c r="B37" s="2137" t="s">
        <v>56</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1831</v>
      </c>
      <c r="B38" s="2139" t="s">
        <v>3057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1833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1834</v>
      </c>
      <c r="B42" s="1794" t="s">
        <v>1835</v>
      </c>
      <c r="C42" s="1794" t="s">
        <v>1836</v>
      </c>
      <c r="D42" s="1794" t="s">
        <v>1837</v>
      </c>
      <c r="E42" s="1794" t="s">
        <v>1838</v>
      </c>
      <c r="F42" s="1794" t="s">
        <v>1839</v>
      </c>
      <c r="G42" s="1794" t="s">
        <v>1840</v>
      </c>
      <c r="H42" s="1794" t="s">
        <v>1841</v>
      </c>
      <c r="I42" s="1794" t="s">
        <v>1842</v>
      </c>
      <c r="J42" s="2149" t="s">
        <v>1843</v>
      </c>
      <c r="K42" s="2072" t="s">
        <v>1844</v>
      </c>
      <c r="L42" s="2072" t="s">
        <v>1845</v>
      </c>
      <c r="M42" s="2072" t="s">
        <v>1846</v>
      </c>
      <c r="N42" s="1794" t="s">
        <v>1847</v>
      </c>
      <c r="O42" s="1794" t="s">
        <v>1848</v>
      </c>
      <c r="P42" s="1794" t="s">
        <v>1849</v>
      </c>
      <c r="Q42" s="2071" t="s">
        <v>1850</v>
      </c>
      <c r="R42" s="2071" t="s">
        <v>1851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1853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12625.6</v>
      </c>
      <c r="B3" s="14">
        <f>IF(C3="否",G5-AT5,G5)</f>
        <v>55990.490000000005</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2"/>
      <c r="C5" s="1802"/>
      <c r="D5" s="1805"/>
      <c r="E5" s="16" t="s">
        <v>1</v>
      </c>
      <c r="F5" s="16">
        <f>SUM(F13:F587)</f>
        <v>0</v>
      </c>
      <c r="G5" s="16">
        <f>SUM(G13:G587)</f>
        <v>55990.490000000005</v>
      </c>
      <c r="H5" s="16">
        <f t="shared" ref="H5:AT5" si="0">SUM(H13:H656)</f>
        <v>55990.490000000005</v>
      </c>
      <c r="I5" s="16">
        <f t="shared" si="0"/>
        <v>44527.51</v>
      </c>
      <c r="J5" s="16">
        <f t="shared" si="0"/>
        <v>0</v>
      </c>
      <c r="K5" s="16">
        <f t="shared" si="0"/>
        <v>11462.98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1861</v>
      </c>
      <c r="AW5" s="1802"/>
      <c r="AX5" s="1802"/>
      <c r="AY5" s="17" t="s">
        <v>3</v>
      </c>
      <c r="AZ5" s="18">
        <f t="shared" ref="AZ5:BT5" si="1">SUM(AZ13:AZ656)</f>
        <v>55990.490000000005</v>
      </c>
      <c r="BA5" s="18">
        <f t="shared" si="1"/>
        <v>55990.490000000005</v>
      </c>
      <c r="BB5" s="18">
        <f t="shared" si="1"/>
        <v>44527.51</v>
      </c>
      <c r="BC5" s="18">
        <f t="shared" si="1"/>
        <v>11462.98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12625.6</v>
      </c>
      <c r="F6" s="16" t="s">
        <v>1</v>
      </c>
      <c r="G6" s="16" t="s">
        <v>2</v>
      </c>
      <c r="H6" s="20">
        <f>SUMIF(I$12:AB$12,"总值",I6:AB6)</f>
        <v>12625.6</v>
      </c>
      <c r="I6" s="16">
        <f t="shared" ref="I6:AB6" si="2">ROUND($A$3*I5/$B$3,2)</f>
        <v>10040.75</v>
      </c>
      <c r="J6" s="16">
        <f t="shared" si="2"/>
        <v>0</v>
      </c>
      <c r="K6" s="16">
        <f t="shared" si="2"/>
        <v>2584.85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12625.6</v>
      </c>
      <c r="AZ6" s="16" t="s">
        <v>3</v>
      </c>
      <c r="BA6" s="16">
        <f>ROUND($AY$6*BA5/$AZ$5,2)</f>
        <v>12625.6</v>
      </c>
      <c r="BB6" s="16">
        <f>ROUND($AY$6*BB5/$AZ$5,2)</f>
        <v>10040.75</v>
      </c>
      <c r="BC6" s="16">
        <f t="shared" ref="BC6:BH6" si="4">ROUND($AY$6*BC5/$AZ$5,2)</f>
        <v>2584.85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1870</v>
      </c>
      <c r="AV7" s="23" t="s">
        <v>1871</v>
      </c>
      <c r="AW7" s="2163" t="s">
        <v>1872</v>
      </c>
      <c r="AX7" s="23" t="s">
        <v>1865</v>
      </c>
      <c r="AY7" s="1802"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7"/>
      <c r="K8" s="1817"/>
      <c r="L8" s="1817"/>
      <c r="M8" s="1817"/>
      <c r="N8" s="1817"/>
      <c r="O8" s="1817"/>
      <c r="P8" s="1817"/>
      <c r="Q8" s="1817"/>
      <c r="R8" s="1817"/>
      <c r="S8" s="1817"/>
      <c r="T8" s="1817"/>
      <c r="U8" s="1817"/>
      <c r="V8" s="2183"/>
      <c r="W8" s="1817"/>
      <c r="X8" s="1817"/>
      <c r="Y8" s="1817"/>
      <c r="Z8" s="1817"/>
      <c r="AA8" s="2183"/>
      <c r="AB8" s="2184"/>
      <c r="AC8" s="981" t="s">
        <v>1876</v>
      </c>
      <c r="AD8" s="2185"/>
      <c r="AE8" s="2177"/>
      <c r="AF8" s="1817"/>
      <c r="AG8" s="1817"/>
      <c r="AH8" s="1817"/>
      <c r="AI8" s="1817"/>
      <c r="AJ8" s="1817"/>
      <c r="AK8" s="1817"/>
      <c r="AL8" s="1817"/>
      <c r="AM8" s="1817"/>
      <c r="AN8" s="1817"/>
      <c r="AO8" s="1817"/>
      <c r="AP8" s="1817"/>
      <c r="AQ8" s="1817"/>
      <c r="AR8" s="1817"/>
      <c r="AS8" s="1817"/>
      <c r="AT8" s="1292" t="s">
        <v>1877</v>
      </c>
      <c r="AU8" s="2179" t="s">
        <v>1878</v>
      </c>
      <c r="AV8" s="1292"/>
      <c r="AW8" s="2162"/>
      <c r="AX8" s="1292"/>
      <c r="AY8" s="2163" t="s">
        <v>1879</v>
      </c>
      <c r="AZ8" s="1816" t="s">
        <v>1880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1881</v>
      </c>
      <c r="I9" s="2188" t="s">
        <v>3059</v>
      </c>
      <c r="J9" s="981"/>
      <c r="K9" s="2188" t="s">
        <v>3060</v>
      </c>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7"/>
      <c r="BD9" s="1337"/>
      <c r="BE9" s="1337"/>
      <c r="BF9" s="1337"/>
      <c r="BG9" s="1337"/>
      <c r="BH9" s="1337"/>
      <c r="BI9" s="1337"/>
      <c r="BJ9" s="1337"/>
      <c r="BK9" s="2193"/>
      <c r="BL9" s="15" t="s">
        <v>1886</v>
      </c>
      <c r="BM9" s="1817"/>
      <c r="BN9" s="2182"/>
      <c r="BO9" s="1817"/>
      <c r="BP9" s="1817"/>
      <c r="BQ9" s="1817"/>
      <c r="BR9" s="1817"/>
      <c r="BS9" s="1817"/>
      <c r="BT9" s="26"/>
    </row>
    <row r="10" spans="1:72" s="2186" customFormat="1" ht="12.75">
      <c r="A10" s="2179"/>
      <c r="B10" s="2179"/>
      <c r="C10" s="2179"/>
      <c r="D10" s="2179"/>
      <c r="E10" s="2179"/>
      <c r="F10" s="2179"/>
      <c r="G10" s="1292"/>
      <c r="H10" s="28"/>
      <c r="I10" s="2188" t="s">
        <v>1363</v>
      </c>
      <c r="J10" s="981"/>
      <c r="K10" s="2194" t="s">
        <v>1363</v>
      </c>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t="str">
        <f>K9</f>
        <v>地下</v>
      </c>
      <c r="BD10" s="29">
        <f>M9</f>
        <v>0</v>
      </c>
      <c r="BE10" s="29">
        <f>O9</f>
        <v>0</v>
      </c>
      <c r="BF10" s="29">
        <f>Q9</f>
        <v>0</v>
      </c>
      <c r="BG10" s="29">
        <f>S9</f>
        <v>0</v>
      </c>
      <c r="BH10" s="29">
        <f>U9</f>
        <v>0</v>
      </c>
      <c r="BI10" s="29">
        <f>W9</f>
        <v>0</v>
      </c>
      <c r="BJ10" s="29">
        <f>Y9</f>
        <v>0</v>
      </c>
      <c r="BK10" s="29">
        <f>AA9</f>
        <v>0</v>
      </c>
      <c r="BL10" s="25" t="s">
        <v>1881</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3048</v>
      </c>
      <c r="J11" s="2200"/>
      <c r="K11" s="2199" t="s">
        <v>3048</v>
      </c>
      <c r="L11" s="2200"/>
      <c r="M11" s="2199"/>
      <c r="N11" s="2200"/>
      <c r="O11" s="2199"/>
      <c r="P11" s="2200"/>
      <c r="Q11" s="2199"/>
      <c r="R11" s="2200"/>
      <c r="S11" s="2199"/>
      <c r="T11" s="2200"/>
      <c r="U11" s="2199"/>
      <c r="V11" s="2200"/>
      <c r="W11" s="2199"/>
      <c r="X11" s="2200"/>
      <c r="Y11" s="2199"/>
      <c r="Z11" s="2200"/>
      <c r="AA11" s="2199"/>
      <c r="AB11" s="2200"/>
      <c r="AC11" s="1292"/>
      <c r="AD11" s="2201" t="s">
        <v>1891</v>
      </c>
      <c r="AE11" s="1818"/>
      <c r="AF11" s="2201" t="s">
        <v>1891</v>
      </c>
      <c r="AG11" s="1818"/>
      <c r="AH11" s="2201" t="s">
        <v>1892</v>
      </c>
      <c r="AI11" s="2202"/>
      <c r="AJ11" s="2201" t="s">
        <v>1892</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1" t="s">
        <v>1894</v>
      </c>
      <c r="W12" s="11" t="s">
        <v>1893</v>
      </c>
      <c r="X12" s="11" t="s">
        <v>1894</v>
      </c>
      <c r="Y12" s="11" t="s">
        <v>1893</v>
      </c>
      <c r="Z12" s="11" t="s">
        <v>1894</v>
      </c>
      <c r="AA12" s="11" t="s">
        <v>1893</v>
      </c>
      <c r="AB12" s="11" t="s">
        <v>1894</v>
      </c>
      <c r="AC12" s="2206"/>
      <c r="AD12" s="1805"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t="str">
        <f>I11</f>
        <v>酒店</v>
      </c>
      <c r="BC12" s="2209" t="str">
        <f>K11</f>
        <v>酒店</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3058</v>
      </c>
      <c r="D13" s="2210" t="s">
        <v>3045</v>
      </c>
      <c r="E13" s="16">
        <f>IF($C$3="是",ROUND($A$3*G13/$B$3,2),ROUND($A$3*(G13-AT13)/$B$3,2))</f>
        <v>12625.6</v>
      </c>
      <c r="F13" s="32"/>
      <c r="G13" s="33">
        <f>H13+AC13+AT13</f>
        <v>55990.490000000005</v>
      </c>
      <c r="H13" s="20">
        <f>SUMIF(I$12:AB$12,"总值",I13:AB13)</f>
        <v>55990.490000000005</v>
      </c>
      <c r="I13" s="2211">
        <v>44527.51</v>
      </c>
      <c r="J13" s="2211"/>
      <c r="K13" s="2211">
        <v>11462.98</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1幢</v>
      </c>
      <c r="AY13" s="1805">
        <f>ROUND($AY$6*AZ13/$AZ$5,2)</f>
        <v>12625.6</v>
      </c>
      <c r="AZ13" s="16">
        <f>BA13+BL13</f>
        <v>55990.490000000005</v>
      </c>
      <c r="BA13" s="16">
        <f>SUM(BB13:BK13)</f>
        <v>55990.490000000005</v>
      </c>
      <c r="BB13" s="16">
        <f>IF($D13="是",I13-J13,0)</f>
        <v>44527.51</v>
      </c>
      <c r="BC13" s="16">
        <f>IF($D13="是",K13-L13,0)</f>
        <v>11462.98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1"/>
      <c r="C1" s="1391"/>
      <c r="D1" s="1391"/>
      <c r="E1" s="1391"/>
      <c r="F1" s="1391"/>
      <c r="G1" s="1391"/>
      <c r="H1" s="1391"/>
      <c r="I1" s="1391"/>
      <c r="J1" s="1391"/>
      <c r="K1" s="1391"/>
      <c r="L1" s="1391"/>
      <c r="M1" s="1391"/>
      <c r="N1" s="1391"/>
      <c r="O1" s="1391"/>
      <c r="P1" s="1391"/>
    </row>
    <row r="2" spans="1:16" ht="15">
      <c r="A2" s="3059" t="s">
        <v>1921</v>
      </c>
      <c r="B2" s="3059"/>
      <c r="C2" s="3059"/>
      <c r="D2" s="967" t="s">
        <v>1897</v>
      </c>
      <c r="E2" s="2224" t="s">
        <v>1898</v>
      </c>
      <c r="F2" s="1391"/>
      <c r="G2" s="2225"/>
      <c r="H2" s="2226"/>
      <c r="I2" s="2227" t="s">
        <v>1922</v>
      </c>
      <c r="J2" s="1391"/>
      <c r="K2" s="1391"/>
      <c r="L2" s="1391"/>
      <c r="M2" s="1391"/>
      <c r="N2" s="1426"/>
      <c r="O2" s="1391"/>
      <c r="P2" s="1391"/>
    </row>
    <row r="3" spans="1:16" ht="15.75" thickBot="1">
      <c r="A3" s="3060" t="s">
        <v>1895</v>
      </c>
      <c r="B3" s="3060"/>
      <c r="C3" s="3060"/>
      <c r="D3" s="46">
        <f>'数据-基础表'!AY6</f>
        <v>12625.6</v>
      </c>
      <c r="E3" s="46">
        <f>'数据-基础表'!AZ5</f>
        <v>55990.490000000005</v>
      </c>
      <c r="F3" s="1391"/>
      <c r="G3" s="1398"/>
      <c r="H3" s="1247" t="s">
        <v>1896</v>
      </c>
      <c r="I3" s="55">
        <f>ROUND('数据-基础表'!B3/'数据-基础表'!A3,2)</f>
        <v>4.43</v>
      </c>
      <c r="J3" s="1391"/>
      <c r="K3" s="1391"/>
      <c r="L3" s="1391"/>
      <c r="M3" s="1391"/>
      <c r="N3" s="1426"/>
      <c r="O3" s="1391"/>
      <c r="P3" s="1391"/>
    </row>
    <row r="4" spans="1:16" ht="15">
      <c r="A4" s="3061"/>
      <c r="B4" s="3062"/>
      <c r="C4" s="3063"/>
      <c r="D4" s="2228" t="s">
        <v>1897</v>
      </c>
      <c r="E4" s="2229" t="s">
        <v>1898</v>
      </c>
      <c r="F4" s="1391"/>
      <c r="G4" s="2230" t="s">
        <v>1923</v>
      </c>
      <c r="H4" s="1247" t="s">
        <v>1903</v>
      </c>
      <c r="I4" s="55">
        <f>ROUND(SUMIF('数据-基础表'!I9:AS9,"地上",'数据-基础表'!I5:AS5)/'数据-基础表'!A3,2)</f>
        <v>3.53</v>
      </c>
      <c r="J4" s="1391"/>
      <c r="K4" s="1391"/>
      <c r="L4" s="1391"/>
      <c r="M4" s="1391"/>
      <c r="N4" s="1426"/>
      <c r="O4" s="1391"/>
      <c r="P4" s="1391"/>
    </row>
    <row r="5" spans="1:16">
      <c r="A5" s="47" t="s">
        <v>1899</v>
      </c>
      <c r="B5" s="3064" t="s">
        <v>1900</v>
      </c>
      <c r="C5" s="3064"/>
      <c r="D5" s="48">
        <f>ROUND($D$3*E5/$E$3,2)</f>
        <v>0</v>
      </c>
      <c r="E5" s="49">
        <f>SUMIF('数据-基础表'!$11:$11,"住宅",'数据-基础表'!$5:$5)</f>
        <v>0</v>
      </c>
      <c r="F5" s="1391"/>
      <c r="G5" s="1398"/>
      <c r="H5" s="1247" t="s">
        <v>1896</v>
      </c>
      <c r="I5" s="55">
        <f>ROUND(E31/D31,2)</f>
        <v>4.43</v>
      </c>
      <c r="J5" s="1391"/>
      <c r="K5" s="1391"/>
      <c r="L5" s="1391"/>
      <c r="M5" s="1391"/>
      <c r="N5" s="1391"/>
      <c r="O5" s="1391"/>
      <c r="P5" s="1391"/>
    </row>
    <row r="6" spans="1:16" ht="15" thickBot="1">
      <c r="A6" s="2231"/>
      <c r="B6" s="3064" t="s">
        <v>1901</v>
      </c>
      <c r="C6" s="3064"/>
      <c r="D6" s="48">
        <f>ROUND($D$3*E6/$E$3,2)</f>
        <v>12625.6</v>
      </c>
      <c r="E6" s="49">
        <f>E3-E5</f>
        <v>55990.490000000005</v>
      </c>
      <c r="F6" s="1391"/>
      <c r="G6" s="2232" t="s">
        <v>1902</v>
      </c>
      <c r="H6" s="1398" t="s">
        <v>1903</v>
      </c>
      <c r="I6" s="939">
        <f>ROUND(F31/D31,2)</f>
        <v>3.53</v>
      </c>
      <c r="J6" s="1391"/>
      <c r="K6" s="1391"/>
      <c r="L6" s="1391"/>
      <c r="M6" s="1391"/>
      <c r="N6" s="1391"/>
      <c r="O6" s="1391"/>
      <c r="P6" s="1391"/>
    </row>
    <row r="7" spans="1:16" ht="15">
      <c r="A7" s="3056"/>
      <c r="B7" s="3057"/>
      <c r="C7" s="3058"/>
      <c r="D7" s="2228" t="s">
        <v>1897</v>
      </c>
      <c r="E7" s="2233" t="s">
        <v>1904</v>
      </c>
      <c r="F7" s="1391"/>
      <c r="G7" s="2225" t="s">
        <v>1905</v>
      </c>
      <c r="H7" s="64"/>
      <c r="I7" s="420"/>
      <c r="J7" s="1391"/>
      <c r="K7" s="1391"/>
      <c r="L7" s="1391"/>
      <c r="M7" s="1391"/>
      <c r="N7" s="1391"/>
      <c r="O7" s="1391"/>
      <c r="P7" s="1391"/>
    </row>
    <row r="8" spans="1:16">
      <c r="A8" s="47" t="s">
        <v>1906</v>
      </c>
      <c r="B8" s="50" t="s">
        <v>1907</v>
      </c>
      <c r="C8" s="48" t="s">
        <v>1908</v>
      </c>
      <c r="D8" s="48">
        <f t="shared" ref="D8:D15" si="0">ROUND($D$3*E8/$E$3,2)</f>
        <v>10040.75</v>
      </c>
      <c r="E8" s="51">
        <f>SUMIF('数据-基础表'!BB10:BK10,"地上",'数据-基础表'!BB5:BK5)</f>
        <v>44527.51</v>
      </c>
      <c r="F8" s="1391"/>
      <c r="G8" s="2234"/>
      <c r="H8" s="2234"/>
      <c r="I8" s="1391"/>
      <c r="J8" s="1391"/>
      <c r="K8" s="1391"/>
      <c r="L8" s="1391"/>
      <c r="M8" s="1391"/>
      <c r="N8" s="1391"/>
      <c r="O8" s="1391"/>
      <c r="P8" s="1391"/>
    </row>
    <row r="9" spans="1:16">
      <c r="A9" s="2235"/>
      <c r="B9" s="2236"/>
      <c r="C9" s="48" t="s">
        <v>1909</v>
      </c>
      <c r="D9" s="48">
        <f t="shared" si="0"/>
        <v>0</v>
      </c>
      <c r="E9" s="52">
        <v>0</v>
      </c>
      <c r="F9" s="1391"/>
      <c r="G9" s="2234"/>
      <c r="H9" s="2234"/>
      <c r="I9" s="1391"/>
      <c r="J9" s="1391"/>
      <c r="K9" s="1391"/>
      <c r="L9" s="1391"/>
      <c r="M9" s="1391"/>
      <c r="N9" s="1391"/>
      <c r="O9" s="1391"/>
      <c r="P9" s="1391"/>
    </row>
    <row r="10" spans="1:16">
      <c r="A10" s="2235"/>
      <c r="B10" s="2236"/>
      <c r="C10" s="48" t="s">
        <v>1918</v>
      </c>
      <c r="D10" s="48">
        <f t="shared" si="0"/>
        <v>2584.85</v>
      </c>
      <c r="E10" s="51">
        <f>SUMPRODUCT(('数据-基础表'!BB10:BK10="地下")*('数据-基础表'!BB11:BK11="商业")*('数据-基础表'!BB5:BK5))</f>
        <v>11462.98</v>
      </c>
      <c r="F10" s="1391"/>
      <c r="G10" s="2234"/>
      <c r="H10" s="2234"/>
      <c r="I10" s="1391"/>
      <c r="J10" s="1391"/>
      <c r="K10" s="1391"/>
      <c r="L10" s="1391"/>
      <c r="M10" s="1391"/>
      <c r="N10" s="1391"/>
      <c r="O10" s="1391"/>
      <c r="P10" s="1391"/>
    </row>
    <row r="11" spans="1:16">
      <c r="A11" s="2235"/>
      <c r="B11" s="2236"/>
      <c r="C11" s="48" t="s">
        <v>1910</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1911</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1912</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1924</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1919</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1913</v>
      </c>
      <c r="D16" s="50">
        <f>SUM(D8:D15)</f>
        <v>12625.6</v>
      </c>
      <c r="E16" s="53">
        <f>SUM(E8:E15)</f>
        <v>55990.490000000005</v>
      </c>
      <c r="F16" s="1391"/>
      <c r="G16" s="2234"/>
      <c r="H16" s="2237" t="s">
        <v>1925</v>
      </c>
      <c r="I16" s="2238"/>
      <c r="J16" s="1391"/>
      <c r="K16" s="3053" t="s">
        <v>1925</v>
      </c>
      <c r="L16" s="3054"/>
      <c r="M16" s="3054"/>
      <c r="N16" s="3054"/>
      <c r="O16" s="3054"/>
      <c r="P16" s="3055"/>
    </row>
    <row r="17" spans="1:19" ht="15">
      <c r="A17" s="2239" t="s">
        <v>1926</v>
      </c>
      <c r="B17" s="2240" t="s">
        <v>1927</v>
      </c>
      <c r="C17" s="2241" t="s">
        <v>1928</v>
      </c>
      <c r="D17" s="2242" t="s">
        <v>1916</v>
      </c>
      <c r="E17" s="2243" t="s">
        <v>1917</v>
      </c>
      <c r="F17" s="2244"/>
      <c r="G17" s="2245"/>
      <c r="H17" s="2246" t="s">
        <v>1929</v>
      </c>
      <c r="I17" s="2247" t="s">
        <v>1914</v>
      </c>
      <c r="J17" s="1391"/>
      <c r="K17" s="3050" t="s">
        <v>1930</v>
      </c>
      <c r="L17" s="3051"/>
      <c r="M17" s="3052"/>
      <c r="N17" s="3050" t="s">
        <v>1931</v>
      </c>
      <c r="O17" s="3051"/>
      <c r="P17" s="3052"/>
      <c r="R17" s="2225" t="s">
        <v>1932</v>
      </c>
      <c r="S17" s="64"/>
    </row>
    <row r="18" spans="1:19" ht="15">
      <c r="A18" s="2235"/>
      <c r="B18" s="2248"/>
      <c r="C18" s="2249"/>
      <c r="D18" s="2250"/>
      <c r="E18" s="2251" t="s">
        <v>1933</v>
      </c>
      <c r="F18" s="2252" t="s">
        <v>1934</v>
      </c>
      <c r="G18" s="2253" t="s">
        <v>1935</v>
      </c>
      <c r="H18" s="1262" t="s">
        <v>1936</v>
      </c>
      <c r="I18" s="2254" t="s">
        <v>1937</v>
      </c>
      <c r="J18" s="1391"/>
      <c r="K18" s="1262" t="s">
        <v>1938</v>
      </c>
      <c r="L18" s="2255" t="s">
        <v>1939</v>
      </c>
      <c r="M18" s="1046" t="s">
        <v>1940</v>
      </c>
      <c r="N18" s="1262" t="s">
        <v>1938</v>
      </c>
      <c r="O18" s="2255" t="s">
        <v>1939</v>
      </c>
      <c r="P18" s="1046" t="s">
        <v>1940</v>
      </c>
      <c r="R18" s="1247" t="s">
        <v>1941</v>
      </c>
      <c r="S18" s="1247" t="s">
        <v>1942</v>
      </c>
    </row>
    <row r="19" spans="1:19">
      <c r="A19" s="2256"/>
      <c r="B19" s="50" t="s">
        <v>1915</v>
      </c>
      <c r="C19" s="2973" t="s">
        <v>3138</v>
      </c>
      <c r="D19" s="48">
        <f>ROUND($D$3*E19/$E$3,2)</f>
        <v>12625.6</v>
      </c>
      <c r="E19" s="56">
        <f t="shared" ref="E19:E26" si="1">SUM(F19:G19)</f>
        <v>55990.490000000005</v>
      </c>
      <c r="F19" s="57">
        <f>'数据-基础表'!I13</f>
        <v>44527.51</v>
      </c>
      <c r="G19" s="58">
        <f>'数据-基础表'!K13</f>
        <v>11462.98</v>
      </c>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8"/>
      <c r="O19" s="2259"/>
      <c r="P19" s="1402">
        <f>N19+O19</f>
        <v>0</v>
      </c>
      <c r="R19" s="1247">
        <f t="shared" ref="R19:S26" si="5">D19+H19</f>
        <v>12625.6</v>
      </c>
      <c r="S19" s="1248">
        <f t="shared" si="5"/>
        <v>55990.490000000005</v>
      </c>
    </row>
    <row r="20" spans="1:19">
      <c r="A20" s="2260"/>
      <c r="B20" s="50" t="s">
        <v>1943</v>
      </c>
      <c r="C20" s="2973"/>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8"/>
      <c r="O20" s="2259"/>
      <c r="P20" s="1402">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1"/>
      <c r="K21" s="1390">
        <f t="shared" si="3"/>
        <v>0</v>
      </c>
      <c r="L21" s="1247">
        <f t="shared" si="4"/>
        <v>0</v>
      </c>
      <c r="M21" s="1402">
        <f t="shared" si="8"/>
        <v>0</v>
      </c>
      <c r="N21" s="2258"/>
      <c r="O21" s="2259"/>
      <c r="P21" s="1402">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8"/>
      <c r="O22" s="2259"/>
      <c r="P22" s="1402">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8"/>
      <c r="O23" s="2259"/>
      <c r="P23" s="1402">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8"/>
      <c r="O24" s="2259"/>
      <c r="P24" s="1402">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8"/>
      <c r="O25" s="2259"/>
      <c r="P25" s="1402">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7">
        <f t="shared" si="5"/>
        <v>0</v>
      </c>
      <c r="S26" s="1248">
        <f t="shared" si="5"/>
        <v>0</v>
      </c>
    </row>
    <row r="27" spans="1:19" ht="15.75" thickBot="1">
      <c r="A27" s="2260"/>
      <c r="B27" s="48"/>
      <c r="C27" s="2263" t="s">
        <v>1944</v>
      </c>
      <c r="D27" s="1392">
        <f>SUM(D19:D26)</f>
        <v>12625.6</v>
      </c>
      <c r="E27" s="1393">
        <f>IF(SUM(E19:E26)='数据-基础表'!BA5,SUM(E19:E26),IF(F27="地上面积有误","面积有误","地下面积有误"))</f>
        <v>55990.490000000005</v>
      </c>
      <c r="F27" s="1392">
        <f>IF(SUM(F19:F26)=E8,SUM(F19:F26),"地上面积有误")</f>
        <v>44527.51</v>
      </c>
      <c r="G27" s="1394">
        <f>SUM(G19:G26)</f>
        <v>11462.98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12625.6</v>
      </c>
      <c r="S27" s="1247">
        <f>IF(SUM(S19:S26)=$E$3,SUM(S19:S26),SUM(S19:S26)&amp;"误差"&amp;ROUND(SUM(S19:S26)-E3,2))</f>
        <v>55990.490000000005</v>
      </c>
    </row>
    <row r="28" spans="1:19">
      <c r="A28" s="2260"/>
      <c r="B28" s="50" t="s">
        <v>1945</v>
      </c>
      <c r="C28" s="1259" t="s">
        <v>1946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1945</v>
      </c>
      <c r="C29" s="2264" t="s">
        <v>1947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1944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1948</v>
      </c>
      <c r="D31" s="729">
        <f>D27+D30</f>
        <v>12625.6</v>
      </c>
      <c r="E31" s="729">
        <f>E27+E30</f>
        <v>55990.490000000005</v>
      </c>
      <c r="F31" s="730">
        <f>F27+F30</f>
        <v>44527.51</v>
      </c>
      <c r="G31" s="731">
        <f>G27+G30</f>
        <v>11462.98</v>
      </c>
      <c r="H31" s="1391"/>
      <c r="I31" s="1391"/>
      <c r="J31" s="1391"/>
      <c r="K31" s="1391"/>
      <c r="L31" s="1391"/>
      <c r="M31" s="1391"/>
      <c r="N31" s="1391"/>
      <c r="O31" s="1391"/>
      <c r="P31" s="1391"/>
    </row>
    <row r="32" spans="1:19">
      <c r="A32" s="2230"/>
      <c r="B32" s="2230" t="s">
        <v>1949</v>
      </c>
      <c r="C32" s="2230"/>
      <c r="D32" s="2230"/>
      <c r="E32" s="1274">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9.2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1951</v>
      </c>
      <c r="B2" s="1266">
        <f>项目基本情况!D3</f>
        <v>43605</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3121</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1363</v>
      </c>
      <c r="D6" s="1051">
        <f>SUMIF(项目基本情况!D$12:I$12,C6,项目基本情况!D$14:I$14)</f>
        <v>40</v>
      </c>
      <c r="E6" s="1048">
        <f>IF(B6="","",SUMIF(项目基本情况!D$12:I$12,C6,项目基本情况!D$13:I$13))</f>
        <v>51860</v>
      </c>
      <c r="F6" s="72">
        <f>SUMIF(项目基本情况!D$12:I$12,C6,项目基本情况!D$15:I$15)</f>
        <v>22.61</v>
      </c>
      <c r="G6" s="73">
        <f ca="1">IF(ISERROR(ROUND(POWER(1+H6,D6-F6)*(POWER(1+H6,F6)-1)/(POWER(1+H6,D6)-1),3)),0,ROUND(POWER(1+H6,D6-F6)*(POWER(1+H6,F6)-1)/(POWER(1+H6,D6)-1),3))</f>
        <v>0.79200000000000004</v>
      </c>
      <c r="H6" s="802">
        <f ca="1">基准地价修正!G20</f>
        <v>5.3999999999999999E-2</v>
      </c>
      <c r="I6" s="802">
        <v>0.06</v>
      </c>
      <c r="J6" s="74">
        <v>8.5000000000000006E-2</v>
      </c>
      <c r="K6" s="1251">
        <f>SUMIF('数据-汇总表'!C$19:C$33,A6,'数据-汇总表'!E$19:E$33)</f>
        <v>55990.490000000005</v>
      </c>
      <c r="L6" s="803">
        <v>8000</v>
      </c>
      <c r="M6" s="75">
        <f t="shared" ref="M6:M14" si="0">ROUND(K6*L6/10000,0)</f>
        <v>44792</v>
      </c>
      <c r="N6" s="801">
        <f>ROUND(1-(2019-2008)/60,2)</f>
        <v>0.82</v>
      </c>
      <c r="O6" s="75" t="str">
        <f>IF($N$5="成新度","——",ROUND(M6*N6,0))</f>
        <v>——</v>
      </c>
      <c r="P6" s="76" t="str">
        <f>IF($N$5="成新度","——",M6-O6)</f>
        <v>——</v>
      </c>
      <c r="Q6" s="804">
        <v>0.25</v>
      </c>
      <c r="R6" s="77">
        <f ca="1">SUMIF('数据-汇总表'!C$19:C$33,A6,'数据-汇总表'!R$19:R$27)</f>
        <v>12625.6</v>
      </c>
      <c r="S6" s="54">
        <f>IF('数据-汇总表'!$I$17="按面积比例",SUMIF('数据-汇总表'!C$19:C$33,A6,'数据-汇总表'!K$19:K$33),SUMIF('数据-汇总表'!C$19:C$33,A6,'数据-汇总表'!N$19:N$33))</f>
        <v>0</v>
      </c>
      <c r="T6" s="1442">
        <f>ROUND($L$14*S6/10000,0)</f>
        <v>0</v>
      </c>
      <c r="U6" s="805">
        <f>酒店收入计算!E26*10000</f>
        <v>97497789.999999985</v>
      </c>
      <c r="V6" s="806">
        <v>0.03</v>
      </c>
      <c r="W6" s="79">
        <v>0</v>
      </c>
      <c r="X6" s="1261"/>
      <c r="Y6" s="80">
        <f>N6</f>
        <v>0.82</v>
      </c>
      <c r="Z6" s="81"/>
      <c r="AA6" s="74"/>
      <c r="AB6" s="74"/>
      <c r="AC6" s="1261"/>
      <c r="AD6" s="82"/>
      <c r="AE6" s="1262">
        <f ca="1">IF(AN6="",0,SUMIF(INDIRECT("'"&amp;AN6&amp;"'"&amp;"!E:E"),$AE$5,INDIRECT("'"&amp;AN6&amp;"'"&amp;"!F:F")))</f>
        <v>22.61</v>
      </c>
      <c r="AF6" s="1803"/>
      <c r="AG6" s="147">
        <f>IF(AF6="",0,AE6-AF6)</f>
        <v>0</v>
      </c>
      <c r="AH6" s="83">
        <v>1</v>
      </c>
      <c r="AI6" s="85">
        <v>1</v>
      </c>
      <c r="AJ6" s="86"/>
      <c r="AK6" s="87">
        <v>0.01</v>
      </c>
      <c r="AL6" s="88">
        <v>1E-3</v>
      </c>
      <c r="AM6" s="89">
        <v>0.01</v>
      </c>
      <c r="AN6" s="2306" t="s">
        <v>3124</v>
      </c>
      <c r="AO6" s="55">
        <f ca="1">SUMIF(INDIRECT("'"&amp;AN6&amp;"'"&amp;"!A:A"),"总价",INDIRECT("'"&amp;AN6&amp;"'"&amp;"!B:B"))</f>
        <v>123530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1999</v>
      </c>
      <c r="B16" s="97"/>
      <c r="C16" s="1005"/>
      <c r="D16" s="2311"/>
      <c r="E16" s="97"/>
      <c r="F16" s="97"/>
      <c r="G16" s="98">
        <f ca="1">ROUND(SUMPRODUCT(G6:G13,K6:K13)/SUMPRODUCT((G6:G13&gt;0)*(K6:K13)),3)</f>
        <v>0.79200000000000004</v>
      </c>
      <c r="H16" s="99">
        <f ca="1">ROUND(SUMPRODUCT(H6:H13,K6:K13)/SUMPRODUCT((H6:H13&gt;0)*(K6:K13)),3)</f>
        <v>5.3999999999999999E-2</v>
      </c>
      <c r="I16" s="100"/>
      <c r="J16" s="100"/>
      <c r="K16" s="101">
        <f>SUM(K6:K15)</f>
        <v>55990.490000000005</v>
      </c>
      <c r="L16" s="102">
        <f>ROUND(M16*10000/SUM(K6:K14),0)</f>
        <v>8000</v>
      </c>
      <c r="M16" s="102">
        <f>SUM(M6:M14)</f>
        <v>44792</v>
      </c>
      <c r="N16" s="103">
        <f>ROUND(SUMPRODUCT(M6:M14,N6:N14)/M16,3)</f>
        <v>0.82</v>
      </c>
      <c r="O16" s="102">
        <f>SUM(O6:O14)</f>
        <v>0</v>
      </c>
      <c r="P16" s="102">
        <f>SUM(P6:P14)</f>
        <v>0</v>
      </c>
      <c r="Q16" s="104">
        <f>ROUND(SUMPRODUCT(Q6:Q13,K6:K13)/SUMPRODUCT((Q6:Q13&gt;0)*(K6:K13)),2)</f>
        <v>0.25</v>
      </c>
      <c r="R16" s="1255">
        <f ca="1">SUM(R6:R13)</f>
        <v>12625.6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2000</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2001</v>
      </c>
      <c r="B19" s="112">
        <v>0</v>
      </c>
      <c r="C19" s="2274" t="s">
        <v>2002</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2003</v>
      </c>
      <c r="B20" s="113">
        <v>2.5</v>
      </c>
      <c r="C20" s="2274" t="s">
        <v>2004</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2005</v>
      </c>
      <c r="B21" s="113">
        <v>2.5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2006</v>
      </c>
      <c r="B22" s="114">
        <f>B19+B20</f>
        <v>2.5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2007</v>
      </c>
      <c r="B23" s="114">
        <f>B19+B21</f>
        <v>2.5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2008</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2009</v>
      </c>
      <c r="B26" s="2317" t="s">
        <v>2010</v>
      </c>
      <c r="C26" s="2318" t="s">
        <v>2011</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2012</v>
      </c>
      <c r="B27" s="116"/>
      <c r="C27" s="1763" t="s">
        <v>2013</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190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1064</v>
      </c>
      <c r="C29" s="1763" t="s">
        <v>2016</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0.05</v>
      </c>
      <c r="C33" s="1762" t="s">
        <v>2021</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v>
      </c>
      <c r="C34" s="1762" t="s">
        <v>2023</v>
      </c>
      <c r="D34" s="2275" t="s">
        <v>2024</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200</v>
      </c>
      <c r="C35" s="1762" t="s">
        <v>2026</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2" t="s">
        <v>2028</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2029</v>
      </c>
      <c r="B37" s="124">
        <v>2.5000000000000001E-2</v>
      </c>
      <c r="C37" s="1762" t="s">
        <v>2030</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2031</v>
      </c>
      <c r="B38" s="122">
        <v>2.5000000000000001E-2</v>
      </c>
      <c r="C38" s="1762" t="s">
        <v>2030</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2032</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2033</v>
      </c>
      <c r="B40" s="1300">
        <f ca="1">存贷款利率!G1</f>
        <v>4.7500000000000001E-2</v>
      </c>
      <c r="C40" s="1762" t="s">
        <v>2034</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2035</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2036</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2037</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2038</v>
      </c>
      <c r="B44" s="128">
        <v>0.05</v>
      </c>
      <c r="C44" s="1762" t="s">
        <v>2039</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2040</v>
      </c>
      <c r="B45" s="126">
        <v>0.03</v>
      </c>
      <c r="C45" s="1763" t="s">
        <v>2041</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2042</v>
      </c>
      <c r="B46" s="126">
        <v>0.02</v>
      </c>
      <c r="C46" s="1763" t="s">
        <v>2043</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2044</v>
      </c>
      <c r="B47" s="129">
        <v>0</v>
      </c>
      <c r="C47" s="1763" t="s">
        <v>2045</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2046</v>
      </c>
      <c r="B48" s="130">
        <v>0.03</v>
      </c>
      <c r="C48" s="1770" t="s">
        <v>2047</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2048</v>
      </c>
      <c r="B49" s="126">
        <v>5.0000000000000001E-4</v>
      </c>
      <c r="C49" s="1770" t="s">
        <v>2049</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2050</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2051</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2052</v>
      </c>
      <c r="B52" s="133">
        <f>SUMIF(A54:A63,B53,B54:B63)</f>
        <v>3</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2053</v>
      </c>
      <c r="B53" s="2333" t="s">
        <v>523</v>
      </c>
      <c r="C53" s="1426" t="s">
        <v>2054</v>
      </c>
      <c r="D53" s="2334" t="s">
        <v>2055</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2056</v>
      </c>
      <c r="B54" s="84">
        <f>C54</f>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2057</v>
      </c>
      <c r="B55" s="84">
        <f t="shared" ref="B55:B59" si="12">C55</f>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2058</v>
      </c>
      <c r="B56" s="84">
        <f t="shared" si="12"/>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2059</v>
      </c>
      <c r="B57" s="84">
        <f t="shared" si="12"/>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2060</v>
      </c>
      <c r="B58" s="84">
        <f t="shared" si="12"/>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2061</v>
      </c>
      <c r="B59" s="84">
        <f t="shared" si="12"/>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2062</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2063</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2064</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2065</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5" t="s">
        <v>2066</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4"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4" t="s">
        <v>2078</v>
      </c>
      <c r="C5" s="2371" t="s">
        <v>2079</v>
      </c>
      <c r="D5" s="2368"/>
      <c r="E5" s="2372"/>
      <c r="F5" s="1794" t="s">
        <v>2080</v>
      </c>
      <c r="G5" s="2373" t="s">
        <v>2081</v>
      </c>
      <c r="H5" s="2365"/>
      <c r="I5" s="2365"/>
      <c r="J5" s="2365"/>
      <c r="K5" s="2365"/>
      <c r="L5" s="2365"/>
      <c r="M5" s="2365"/>
      <c r="N5" s="2365"/>
      <c r="O5" s="2365"/>
      <c r="P5" s="2365"/>
      <c r="Q5" s="2365"/>
      <c r="R5" s="2365"/>
    </row>
    <row r="6" spans="1:29" ht="54">
      <c r="A6" s="431"/>
      <c r="B6" s="1794" t="s">
        <v>2082</v>
      </c>
      <c r="C6" s="2373" t="s">
        <v>2077</v>
      </c>
      <c r="D6" s="2368"/>
      <c r="E6" s="2372"/>
      <c r="F6" s="1794" t="s">
        <v>2083</v>
      </c>
      <c r="G6" s="2373" t="s">
        <v>2084</v>
      </c>
      <c r="H6" s="2365"/>
      <c r="I6" s="2365"/>
      <c r="J6" s="2365"/>
      <c r="K6" s="2365"/>
      <c r="L6" s="2365"/>
      <c r="M6" s="2365"/>
      <c r="N6" s="2365"/>
      <c r="O6" s="2365"/>
      <c r="P6" s="2365"/>
      <c r="Q6" s="2365"/>
      <c r="R6" s="2365"/>
    </row>
    <row r="7" spans="1:29" ht="41.25" thickBot="1">
      <c r="A7" s="431"/>
      <c r="B7" s="1794"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4" t="s">
        <v>2083</v>
      </c>
      <c r="C8" s="2373" t="s">
        <v>2084</v>
      </c>
      <c r="D8" s="2374"/>
      <c r="E8" s="2374"/>
      <c r="F8" s="1133"/>
      <c r="G8" s="1133"/>
      <c r="H8" s="2365"/>
      <c r="I8" s="2365"/>
      <c r="J8" s="2365"/>
      <c r="K8" s="2365"/>
      <c r="L8" s="2365"/>
      <c r="M8" s="2365"/>
      <c r="N8" s="2365"/>
      <c r="O8" s="2365"/>
      <c r="P8" s="2365"/>
      <c r="Q8" s="2365"/>
      <c r="R8" s="2365"/>
    </row>
    <row r="9" spans="1:29" ht="27">
      <c r="A9" s="431"/>
      <c r="B9" s="1794"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8"/>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8"/>
      <c r="D19" s="2368"/>
      <c r="E19" s="2404"/>
      <c r="F19" s="1794"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4" t="s">
        <v>2099</v>
      </c>
      <c r="G20" s="136" t="str">
        <f>G6</f>
        <v>估价对象所在区域基础设施水平</v>
      </c>
    </row>
    <row r="21" spans="1:18" ht="28.5">
      <c r="A21" s="645"/>
      <c r="B21" s="1794" t="s">
        <v>2080</v>
      </c>
      <c r="C21" s="136" t="str">
        <f>C7</f>
        <v>估价对象所在区域公共配套设施齐备情况</v>
      </c>
      <c r="D21" s="2368"/>
      <c r="E21" s="2404"/>
      <c r="F21" s="2405" t="s">
        <v>2100</v>
      </c>
      <c r="G21" s="2406"/>
    </row>
    <row r="22" spans="1:18" ht="13.5" customHeight="1">
      <c r="A22" s="645"/>
      <c r="B22" s="1794" t="s">
        <v>2083</v>
      </c>
      <c r="C22" s="136" t="str">
        <f>C8</f>
        <v>估价对象所在区域基础设施水平</v>
      </c>
      <c r="D22" s="2368"/>
      <c r="E22" s="2404"/>
      <c r="F22" s="2405" t="s">
        <v>2089</v>
      </c>
      <c r="G22" s="1568"/>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37" customWidth="1"/>
    <col min="2" max="9" width="15.75" style="1737" customWidth="1"/>
    <col min="10" max="16384" width="9" style="1737"/>
  </cols>
  <sheetData>
    <row r="1" spans="1:10" ht="16.5">
      <c r="A1" s="1742" t="s">
        <v>1351</v>
      </c>
      <c r="B1" s="1742">
        <f>SUM(B14:B23)</f>
        <v>55990.490000000005</v>
      </c>
      <c r="C1" s="1741"/>
      <c r="D1" s="1741"/>
      <c r="E1" s="1741"/>
      <c r="F1" s="1741"/>
      <c r="G1" s="1739"/>
    </row>
    <row r="2" spans="1:10" ht="16.5">
      <c r="A2" s="1742" t="s">
        <v>1339</v>
      </c>
      <c r="B2" s="1742">
        <f>SUM(C14:C23)</f>
        <v>12625.6</v>
      </c>
      <c r="C2" s="1741"/>
      <c r="D2" s="1741"/>
      <c r="E2" s="1741"/>
      <c r="F2" s="1741"/>
      <c r="G2" s="1739"/>
    </row>
    <row r="3" spans="1:10" ht="16.5">
      <c r="A3" s="1742" t="s">
        <v>1348</v>
      </c>
      <c r="B3" s="1743">
        <f>项目基本情况!D3</f>
        <v>43605</v>
      </c>
      <c r="C3" s="1741"/>
      <c r="D3" s="1741"/>
      <c r="E3" s="1741"/>
      <c r="F3" s="1741"/>
      <c r="G3" s="1739"/>
    </row>
    <row r="4" spans="1:10" ht="33">
      <c r="A4" s="1742" t="s">
        <v>1347</v>
      </c>
      <c r="B4" s="1742" t="s">
        <v>1346</v>
      </c>
      <c r="C4" s="1742" t="s">
        <v>1345</v>
      </c>
      <c r="D4" s="1742" t="s">
        <v>1344</v>
      </c>
      <c r="E4" s="1741"/>
      <c r="F4" s="1739"/>
      <c r="G4" s="1739"/>
    </row>
    <row r="5" spans="1:10" ht="16.5">
      <c r="A5" s="1742" t="s">
        <v>1343</v>
      </c>
      <c r="B5" s="1742">
        <f ca="1">SUM(D14:D23)</f>
        <v>129006</v>
      </c>
      <c r="C5" s="1742">
        <f ca="1">ROUND(B5*10000/$B$1,0)</f>
        <v>23041</v>
      </c>
      <c r="D5" s="1742">
        <f ca="1">ROUND(B5*10000/$B$2,0)</f>
        <v>102178</v>
      </c>
      <c r="E5" s="1741"/>
      <c r="F5" s="1739"/>
      <c r="G5" s="1739"/>
    </row>
    <row r="6" spans="1:10" ht="16.5">
      <c r="A6" s="1742" t="s">
        <v>1342</v>
      </c>
      <c r="B6" s="1742">
        <f ca="1">SUM(G14:G23)</f>
        <v>129006</v>
      </c>
      <c r="C6" s="1742">
        <f ca="1">ROUND(B6*10000/$B$1,0)</f>
        <v>23041</v>
      </c>
      <c r="D6" s="1742">
        <f ca="1">ROUND(B6*10000/$B$2,0)</f>
        <v>102178</v>
      </c>
      <c r="E6" s="1741"/>
      <c r="F6" s="1739"/>
      <c r="G6" s="1739"/>
    </row>
    <row r="7" spans="1:10" ht="16.5">
      <c r="A7" s="1742" t="s">
        <v>1350</v>
      </c>
      <c r="B7" s="1742">
        <f>SUM(H14:H23)</f>
        <v>0</v>
      </c>
      <c r="C7" s="1742">
        <f>ROUND(B7*10000/$B$1,0)</f>
        <v>0</v>
      </c>
      <c r="D7" s="1742">
        <f>ROUND(B7*10000/$B$2,0)</f>
        <v>0</v>
      </c>
      <c r="E7" s="1741"/>
      <c r="F7" s="1739"/>
      <c r="G7" s="1739"/>
    </row>
    <row r="8" spans="1:10" ht="16.5">
      <c r="A8" s="1742" t="s">
        <v>1271</v>
      </c>
      <c r="B8" s="1742">
        <f>SUM(I14:I23)</f>
        <v>0</v>
      </c>
      <c r="C8" s="1742">
        <f>ROUND(B8*10000/$B$1,0)</f>
        <v>0</v>
      </c>
      <c r="D8" s="1742">
        <f>ROUND(B8*10000/$B$2,0)</f>
        <v>0</v>
      </c>
      <c r="E8" s="1741"/>
      <c r="F8" s="1739"/>
      <c r="G8" s="1739"/>
    </row>
    <row r="9" spans="1:10" ht="16.5">
      <c r="A9" s="1742" t="s">
        <v>1341</v>
      </c>
      <c r="B9" s="1744"/>
      <c r="C9" s="1741"/>
      <c r="D9" s="1741"/>
      <c r="E9" s="1741"/>
      <c r="F9" s="1739"/>
      <c r="G9" s="1739"/>
    </row>
    <row r="10" spans="1:10" ht="16.5">
      <c r="A10" s="1742" t="s">
        <v>1340</v>
      </c>
      <c r="B10" s="1744"/>
      <c r="C10" s="1741"/>
      <c r="D10" s="1741"/>
      <c r="E10" s="1741"/>
      <c r="F10" s="1739"/>
      <c r="G10" s="1739"/>
    </row>
    <row r="11" spans="1:10" ht="16.5">
      <c r="A11" s="1742" t="s">
        <v>1356</v>
      </c>
      <c r="B11" s="1744"/>
      <c r="C11" s="1741"/>
      <c r="D11" s="1741"/>
      <c r="E11" s="1741"/>
      <c r="F11" s="1739"/>
      <c r="G11" s="1739"/>
    </row>
    <row r="12" spans="1:10" ht="16.5">
      <c r="A12" s="1741"/>
      <c r="B12" s="1741"/>
      <c r="C12" s="1741"/>
      <c r="D12" s="1741"/>
      <c r="E12" s="1741"/>
      <c r="F12" s="1739"/>
      <c r="G12" s="1739"/>
    </row>
    <row r="13" spans="1:10" ht="33">
      <c r="A13" s="1747" t="s">
        <v>1355</v>
      </c>
      <c r="B13" s="1740" t="s">
        <v>1352</v>
      </c>
      <c r="C13" s="1740" t="s">
        <v>1354</v>
      </c>
      <c r="D13" s="1740" t="s">
        <v>1353</v>
      </c>
      <c r="E13" s="1742" t="s">
        <v>1345</v>
      </c>
      <c r="F13" s="1742" t="s">
        <v>1344</v>
      </c>
      <c r="G13" s="1740" t="s">
        <v>1338</v>
      </c>
      <c r="H13" s="1740" t="s">
        <v>1349</v>
      </c>
      <c r="I13" s="1740" t="s">
        <v>1337</v>
      </c>
      <c r="J13" s="1739"/>
    </row>
    <row r="14" spans="1:10" ht="16.5">
      <c r="A14" s="1738" t="s">
        <v>1336</v>
      </c>
      <c r="B14" s="1740">
        <f>结果表!B118</f>
        <v>55990.490000000005</v>
      </c>
      <c r="C14" s="1740">
        <f>结果表!C118</f>
        <v>12625.6</v>
      </c>
      <c r="D14" s="1740">
        <f ca="1">结果表!H118</f>
        <v>129006</v>
      </c>
      <c r="E14" s="1740">
        <f ca="1">ROUND(D14*10000/B14,0)</f>
        <v>23041</v>
      </c>
      <c r="F14" s="1740">
        <f ca="1">ROUND(D14*10000/C14,0)</f>
        <v>102178</v>
      </c>
      <c r="G14" s="1740">
        <f ca="1">结果表!D122</f>
        <v>129006</v>
      </c>
      <c r="H14" s="1740" t="str">
        <f>结果表!D124</f>
        <v>——</v>
      </c>
      <c r="I14" s="1740" t="str">
        <f>结果表!D126</f>
        <v>——</v>
      </c>
      <c r="J14" s="1739"/>
    </row>
    <row r="15" spans="1:10" ht="16.5">
      <c r="A15" s="1738" t="s">
        <v>1335</v>
      </c>
      <c r="B15" s="1745"/>
      <c r="C15" s="1745"/>
      <c r="D15" s="1745"/>
      <c r="E15" s="1740" t="e">
        <f t="shared" ref="E15:E23" si="0">ROUND(D15*10000/B15,0)</f>
        <v>#DIV/0!</v>
      </c>
      <c r="F15" s="1740" t="e">
        <f t="shared" ref="F15:F23" si="1">ROUND(D15*10000/C15,0)</f>
        <v>#DIV/0!</v>
      </c>
      <c r="G15" s="1746"/>
      <c r="H15" s="1746"/>
      <c r="I15" s="1745"/>
      <c r="J15" s="1739"/>
    </row>
    <row r="16" spans="1:10" ht="16.5">
      <c r="A16" s="1738" t="s">
        <v>1334</v>
      </c>
      <c r="B16" s="1745"/>
      <c r="C16" s="1745"/>
      <c r="D16" s="1745"/>
      <c r="E16" s="1740" t="e">
        <f t="shared" si="0"/>
        <v>#DIV/0!</v>
      </c>
      <c r="F16" s="1740" t="e">
        <f t="shared" si="1"/>
        <v>#DIV/0!</v>
      </c>
      <c r="G16" s="1746"/>
      <c r="H16" s="1746"/>
      <c r="I16" s="1745"/>
    </row>
    <row r="17" spans="1:9" ht="16.5">
      <c r="A17" s="1738" t="s">
        <v>1333</v>
      </c>
      <c r="B17" s="1745"/>
      <c r="C17" s="1745"/>
      <c r="D17" s="1745"/>
      <c r="E17" s="1740" t="e">
        <f t="shared" si="0"/>
        <v>#DIV/0!</v>
      </c>
      <c r="F17" s="1740" t="e">
        <f t="shared" si="1"/>
        <v>#DIV/0!</v>
      </c>
      <c r="G17" s="1746"/>
      <c r="H17" s="1746"/>
      <c r="I17" s="1745"/>
    </row>
    <row r="18" spans="1:9" ht="16.5">
      <c r="A18" s="1738" t="s">
        <v>1332</v>
      </c>
      <c r="B18" s="1745"/>
      <c r="C18" s="1745"/>
      <c r="D18" s="1745"/>
      <c r="E18" s="1740" t="e">
        <f t="shared" si="0"/>
        <v>#DIV/0!</v>
      </c>
      <c r="F18" s="1740" t="e">
        <f t="shared" si="1"/>
        <v>#DIV/0!</v>
      </c>
      <c r="G18" s="1745"/>
      <c r="H18" s="1745"/>
      <c r="I18" s="1745"/>
    </row>
    <row r="19" spans="1:9" ht="16.5">
      <c r="A19" s="1738" t="s">
        <v>1331</v>
      </c>
      <c r="B19" s="1745"/>
      <c r="C19" s="1745"/>
      <c r="D19" s="1745"/>
      <c r="E19" s="1740" t="e">
        <f t="shared" si="0"/>
        <v>#DIV/0!</v>
      </c>
      <c r="F19" s="1740" t="e">
        <f t="shared" si="1"/>
        <v>#DIV/0!</v>
      </c>
      <c r="G19" s="1745"/>
      <c r="H19" s="1745"/>
      <c r="I19" s="1745"/>
    </row>
    <row r="20" spans="1:9" ht="16.5">
      <c r="A20" s="1738" t="s">
        <v>1330</v>
      </c>
      <c r="B20" s="1745"/>
      <c r="C20" s="1745"/>
      <c r="D20" s="1745"/>
      <c r="E20" s="1740" t="e">
        <f t="shared" si="0"/>
        <v>#DIV/0!</v>
      </c>
      <c r="F20" s="1740" t="e">
        <f t="shared" si="1"/>
        <v>#DIV/0!</v>
      </c>
      <c r="G20" s="1745"/>
      <c r="H20" s="1745"/>
      <c r="I20" s="1745"/>
    </row>
    <row r="21" spans="1:9" ht="16.5">
      <c r="A21" s="1738" t="s">
        <v>1329</v>
      </c>
      <c r="B21" s="1745"/>
      <c r="C21" s="1745"/>
      <c r="D21" s="1745"/>
      <c r="E21" s="1740" t="e">
        <f t="shared" si="0"/>
        <v>#DIV/0!</v>
      </c>
      <c r="F21" s="1740" t="e">
        <f t="shared" si="1"/>
        <v>#DIV/0!</v>
      </c>
      <c r="G21" s="1745"/>
      <c r="H21" s="1745"/>
      <c r="I21" s="1745"/>
    </row>
    <row r="22" spans="1:9" ht="16.5">
      <c r="A22" s="1738" t="s">
        <v>1328</v>
      </c>
      <c r="B22" s="1745"/>
      <c r="C22" s="1745"/>
      <c r="D22" s="1745"/>
      <c r="E22" s="1740" t="e">
        <f t="shared" si="0"/>
        <v>#DIV/0!</v>
      </c>
      <c r="F22" s="1740" t="e">
        <f t="shared" si="1"/>
        <v>#DIV/0!</v>
      </c>
      <c r="G22" s="1745"/>
      <c r="H22" s="1745"/>
      <c r="I22" s="1745"/>
    </row>
    <row r="23" spans="1:9" ht="16.5">
      <c r="A23" s="1738" t="s">
        <v>1327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K131" sqref="K131"/>
    </sheetView>
  </sheetViews>
  <sheetFormatPr defaultColWidth="12.625" defaultRowHeight="21.75" customHeight="1"/>
  <cols>
    <col min="1" max="2" width="12.625" style="2422"/>
    <col min="3" max="3" width="12.625" style="2422" customWidth="1"/>
    <col min="4" max="4" width="14.37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t="s">
        <v>1363</v>
      </c>
      <c r="D1" s="2416"/>
      <c r="E1" s="2416"/>
      <c r="F1" s="2418" t="s">
        <v>2104</v>
      </c>
      <c r="G1" s="2068" t="s">
        <v>3050</v>
      </c>
      <c r="H1" s="2419" t="str">
        <f>IF(G1="现房","——","估价对象范围")</f>
        <v>——</v>
      </c>
      <c r="I1" s="2420" t="s">
        <v>3122</v>
      </c>
    </row>
    <row r="2" spans="1:12" ht="21.75" customHeight="1" thickBot="1">
      <c r="A2" s="3100" t="str">
        <f>项目基本情况!S2</f>
        <v>北京市北京经济技术开发区荣华南路12号1幢房地产</v>
      </c>
      <c r="B2" s="3101"/>
      <c r="C2" s="3101"/>
      <c r="D2" s="3101"/>
      <c r="E2" s="3101"/>
      <c r="F2" s="3101"/>
      <c r="G2" s="3101"/>
      <c r="H2" s="3101"/>
      <c r="I2" s="3102"/>
    </row>
    <row r="3" spans="1:12" ht="12.75">
      <c r="A3" s="3104" t="s">
        <v>2105</v>
      </c>
      <c r="B3" s="3105"/>
      <c r="C3" s="3105"/>
      <c r="D3" s="3105"/>
      <c r="E3" s="3105"/>
      <c r="F3" s="3105"/>
      <c r="G3" s="3105"/>
      <c r="H3" s="3105"/>
      <c r="I3" s="3105"/>
    </row>
    <row r="4" spans="1:12" ht="14.25">
      <c r="A4" s="2423" t="s">
        <v>2106</v>
      </c>
      <c r="B4" s="2424" t="s">
        <v>2107</v>
      </c>
      <c r="C4" s="2425" t="s">
        <v>3123</v>
      </c>
      <c r="D4" s="2425" t="s">
        <v>3125</v>
      </c>
      <c r="E4" s="3097" t="s">
        <v>2108</v>
      </c>
      <c r="F4" s="3098"/>
      <c r="G4" s="3098"/>
      <c r="H4" s="3098"/>
      <c r="I4" s="310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80" t="s">
        <v>2109</v>
      </c>
      <c r="B5" s="3018">
        <v>25</v>
      </c>
      <c r="C5" s="3083"/>
      <c r="D5" s="3103"/>
      <c r="E5" s="140" t="s">
        <v>2110</v>
      </c>
      <c r="F5" s="2427"/>
      <c r="G5" s="2427"/>
      <c r="H5" s="2427"/>
      <c r="I5" s="1830"/>
    </row>
    <row r="6" spans="1:12" ht="12.75">
      <c r="A6" s="3080"/>
      <c r="B6" s="3018"/>
      <c r="C6" s="3084"/>
      <c r="D6" s="3103"/>
      <c r="E6" s="140" t="s">
        <v>2111</v>
      </c>
      <c r="F6" s="2427"/>
      <c r="G6" s="2427"/>
      <c r="H6" s="2427"/>
      <c r="I6" s="1830"/>
    </row>
    <row r="7" spans="1:12" ht="12.75">
      <c r="A7" s="3080"/>
      <c r="B7" s="3018"/>
      <c r="C7" s="3085"/>
      <c r="D7" s="3103"/>
      <c r="E7" s="140" t="s">
        <v>2112</v>
      </c>
      <c r="F7" s="2427"/>
      <c r="G7" s="2427"/>
      <c r="H7" s="2427"/>
      <c r="I7" s="1830"/>
    </row>
    <row r="8" spans="1:12" ht="12.75">
      <c r="A8" s="3080" t="s">
        <v>2113</v>
      </c>
      <c r="B8" s="3018">
        <v>15</v>
      </c>
      <c r="C8" s="3083"/>
      <c r="D8" s="3103"/>
      <c r="E8" s="140" t="s">
        <v>2114</v>
      </c>
      <c r="F8" s="2427"/>
      <c r="G8" s="2427"/>
      <c r="H8" s="2427"/>
      <c r="I8" s="1830"/>
    </row>
    <row r="9" spans="1:12" ht="12.75">
      <c r="A9" s="3080"/>
      <c r="B9" s="3018"/>
      <c r="C9" s="3085"/>
      <c r="D9" s="3103"/>
      <c r="E9" s="140" t="s">
        <v>2115</v>
      </c>
      <c r="F9" s="2427"/>
      <c r="G9" s="2427"/>
      <c r="H9" s="2427"/>
      <c r="I9" s="1830"/>
    </row>
    <row r="10" spans="1:12" ht="12.75">
      <c r="A10" s="3080" t="s">
        <v>2116</v>
      </c>
      <c r="B10" s="3018">
        <v>15</v>
      </c>
      <c r="C10" s="3083"/>
      <c r="D10" s="3103"/>
      <c r="E10" s="140" t="s">
        <v>2117</v>
      </c>
      <c r="F10" s="2427"/>
      <c r="G10" s="2427"/>
      <c r="H10" s="2427"/>
      <c r="I10" s="1830"/>
    </row>
    <row r="11" spans="1:12" ht="12.75">
      <c r="A11" s="3080"/>
      <c r="B11" s="3018"/>
      <c r="C11" s="3085"/>
      <c r="D11" s="3103"/>
      <c r="E11" s="140" t="s">
        <v>2118</v>
      </c>
      <c r="F11" s="2427"/>
      <c r="G11" s="2427"/>
      <c r="H11" s="2427"/>
      <c r="I11" s="1830"/>
    </row>
    <row r="12" spans="1:12" ht="12.75">
      <c r="A12" s="3080" t="s">
        <v>2119</v>
      </c>
      <c r="B12" s="3018">
        <v>15</v>
      </c>
      <c r="C12" s="3083"/>
      <c r="D12" s="3103"/>
      <c r="E12" s="140" t="s">
        <v>2120</v>
      </c>
      <c r="F12" s="2427"/>
      <c r="G12" s="2427"/>
      <c r="H12" s="2427"/>
      <c r="I12" s="1830"/>
    </row>
    <row r="13" spans="1:12" ht="12.75">
      <c r="A13" s="3080"/>
      <c r="B13" s="3018"/>
      <c r="C13" s="3085"/>
      <c r="D13" s="3103"/>
      <c r="E13" s="140" t="s">
        <v>2121</v>
      </c>
      <c r="F13" s="2427"/>
      <c r="G13" s="2427"/>
      <c r="H13" s="2427"/>
      <c r="I13" s="1830"/>
    </row>
    <row r="14" spans="1:12" ht="12.75">
      <c r="A14" s="3080" t="s">
        <v>2122</v>
      </c>
      <c r="B14" s="3018">
        <v>30</v>
      </c>
      <c r="C14" s="3083">
        <v>5</v>
      </c>
      <c r="D14" s="3103">
        <v>5</v>
      </c>
      <c r="E14" s="140" t="s">
        <v>2123</v>
      </c>
      <c r="F14" s="2427"/>
      <c r="G14" s="2427"/>
      <c r="H14" s="2427"/>
      <c r="I14" s="1830"/>
    </row>
    <row r="15" spans="1:12" ht="12.75">
      <c r="A15" s="3080"/>
      <c r="B15" s="3018"/>
      <c r="C15" s="3084"/>
      <c r="D15" s="3103"/>
      <c r="E15" s="140" t="s">
        <v>2124</v>
      </c>
      <c r="F15" s="2427"/>
      <c r="G15" s="2427"/>
      <c r="H15" s="2427"/>
      <c r="I15" s="1830"/>
    </row>
    <row r="16" spans="1:12" ht="12.75">
      <c r="A16" s="3080"/>
      <c r="B16" s="3018"/>
      <c r="C16" s="3085"/>
      <c r="D16" s="3103"/>
      <c r="E16" s="140" t="s">
        <v>2125</v>
      </c>
      <c r="F16" s="2427"/>
      <c r="G16" s="2427"/>
      <c r="H16" s="2427"/>
      <c r="I16" s="1830"/>
    </row>
    <row r="17" spans="1:35" ht="15">
      <c r="A17" s="2428" t="s">
        <v>2126</v>
      </c>
      <c r="B17" s="64"/>
      <c r="C17" s="141">
        <f>SUM(C5:C16)</f>
        <v>5</v>
      </c>
      <c r="D17" s="141">
        <f>SUM(D5:D16)</f>
        <v>5</v>
      </c>
      <c r="E17" s="138"/>
      <c r="F17" s="138"/>
      <c r="G17" s="138"/>
      <c r="H17" s="138"/>
      <c r="I17" s="138"/>
      <c r="K17" s="2426"/>
      <c r="L17" s="2429" t="s">
        <v>2127</v>
      </c>
      <c r="M17" s="2429" t="s">
        <v>2128</v>
      </c>
    </row>
    <row r="18" spans="1:35" ht="15.75" thickBot="1">
      <c r="A18" s="2430" t="s">
        <v>2129</v>
      </c>
      <c r="B18" s="2431"/>
      <c r="C18" s="142">
        <f>ROUND(C17/SUM(C17:D17),2)</f>
        <v>0.5</v>
      </c>
      <c r="D18" s="142">
        <f>1-C18</f>
        <v>0.5</v>
      </c>
      <c r="E18" s="138"/>
      <c r="F18" s="138"/>
      <c r="G18" s="138"/>
      <c r="H18" s="138"/>
      <c r="I18" s="138"/>
      <c r="K18" s="2426" t="s">
        <v>2130</v>
      </c>
      <c r="L18" s="2426">
        <f>IF(C1="",'数据-汇总表'!E3,SUMIF(项目类型,C1,'数据-汇总表'!E17:E26)+SUMIF(项目类型,C1,'数据-汇总表'!I17:I26))</f>
        <v>55990.490000000005</v>
      </c>
      <c r="M18" s="2426">
        <f>IF(C1="",'数据-汇总表'!E3,SUMIF(项目类型,C1,'数据-汇总表'!E17:E26))</f>
        <v>55990.490000000005</v>
      </c>
    </row>
    <row r="19" spans="1:35" ht="15">
      <c r="A19" s="2432" t="s">
        <v>2131</v>
      </c>
      <c r="B19" s="2433" t="s">
        <v>2132</v>
      </c>
      <c r="C19" s="143">
        <f ca="1">SUMIF(INDIRECT("'"&amp;C4&amp;"'"&amp;"!A:A"),结果表!B19,INDIRECT("'"&amp;C4&amp;"'"&amp;"!B:B"))</f>
        <v>134481</v>
      </c>
      <c r="D19" s="144">
        <f ca="1">SUMIF(INDIRECT("'"&amp;D4&amp;"'"&amp;"!A:A"),结果表!B19,INDIRECT("'"&amp;D4&amp;"'"&amp;"!B:B"))</f>
        <v>123530</v>
      </c>
      <c r="E19" s="2432" t="s">
        <v>2133</v>
      </c>
      <c r="F19" s="2433" t="s">
        <v>2132</v>
      </c>
      <c r="G19" s="145">
        <f ca="1">ROUND(C19*$C$18+D19*$D$18,0)</f>
        <v>129006</v>
      </c>
      <c r="H19" s="2434" t="s">
        <v>2134</v>
      </c>
      <c r="I19" s="138"/>
      <c r="K19" s="2426" t="s">
        <v>2135</v>
      </c>
      <c r="L19" s="2426">
        <f>IF(C1="",'数据-汇总表'!D3,SUMIF(项目类型,C1,'数据-汇总表'!D17:D26)+SUMIF(项目类型,C1,'数据-汇总表'!H17:H27))</f>
        <v>12625.6</v>
      </c>
      <c r="M19" s="2426">
        <f>IF(C1="",'数据-汇总表'!D3,SUMIF(项目类型,C1,'数据-汇总表'!D17:D26))</f>
        <v>12625.6</v>
      </c>
    </row>
    <row r="20" spans="1:35" ht="15">
      <c r="A20" s="2435"/>
      <c r="B20" s="1247" t="s">
        <v>2136</v>
      </c>
      <c r="C20" s="146">
        <f ca="1">SUMIF(INDIRECT("'"&amp;C4&amp;"'"&amp;"!A:A"),结果表!B20,INDIRECT("'"&amp;C4&amp;"'"&amp;"!B:B"))</f>
        <v>24019</v>
      </c>
      <c r="D20" s="147">
        <f ca="1">SUMIF(INDIRECT("'"&amp;D4&amp;"'"&amp;"!A:A"),结果表!B20,INDIRECT("'"&amp;D4&amp;"'"&amp;"!B:B"))</f>
        <v>22063</v>
      </c>
      <c r="E20" s="2435"/>
      <c r="F20" s="1247" t="s">
        <v>2136</v>
      </c>
      <c r="G20" s="148">
        <f ca="1">ROUND(C20*$C$18+D20*$D$18,0)</f>
        <v>23041</v>
      </c>
      <c r="H20" s="980" t="s">
        <v>2137</v>
      </c>
      <c r="I20" s="138"/>
    </row>
    <row r="21" spans="1:35" ht="15" customHeight="1" thickBot="1">
      <c r="A21" s="1000"/>
      <c r="B21" s="2436" t="s">
        <v>2138</v>
      </c>
      <c r="C21" s="789">
        <f ca="1">ROUND(C19*10000/L19,0)</f>
        <v>106515</v>
      </c>
      <c r="D21" s="790">
        <f ca="1">ROUND(D19*10000/L19,0)</f>
        <v>97841</v>
      </c>
      <c r="E21" s="1000"/>
      <c r="F21" s="2436" t="s">
        <v>2138</v>
      </c>
      <c r="G21" s="149">
        <f ca="1">ROUND(G19*10000/L19,0)</f>
        <v>102178</v>
      </c>
      <c r="H21" s="2437" t="s">
        <v>2137</v>
      </c>
      <c r="I21" s="138"/>
    </row>
    <row r="22" spans="1:35" ht="15" thickBot="1">
      <c r="A22" s="2278" t="s">
        <v>2139</v>
      </c>
      <c r="B22" s="2438"/>
      <c r="C22" s="2439"/>
      <c r="D22" s="791">
        <f ca="1">IF(C19&lt;D19,D19/C19-1,C19/D19-1)</f>
        <v>8.8650530235570235E-2</v>
      </c>
      <c r="E22" s="138"/>
      <c r="F22" s="138"/>
      <c r="G22" s="138"/>
      <c r="H22" s="138"/>
      <c r="I22" s="138"/>
    </row>
    <row r="23" spans="1:35" ht="13.5" thickBot="1">
      <c r="A23" s="2416"/>
      <c r="B23" s="2416"/>
      <c r="C23" s="2416"/>
      <c r="D23" s="2416"/>
      <c r="E23" s="138"/>
      <c r="F23" s="138"/>
      <c r="G23" s="138"/>
      <c r="H23" s="138"/>
      <c r="I23" s="138"/>
    </row>
    <row r="24" spans="1:35" ht="14.25">
      <c r="A24" s="3074" t="s">
        <v>2140</v>
      </c>
      <c r="B24" s="2433" t="s">
        <v>2132</v>
      </c>
      <c r="C24" s="145">
        <f>IF(B30=0,0,D30)</f>
        <v>0</v>
      </c>
      <c r="D24" s="2440"/>
      <c r="E24" s="138"/>
      <c r="F24" s="138"/>
      <c r="G24" s="138"/>
      <c r="H24" s="138"/>
      <c r="I24" s="138"/>
    </row>
    <row r="25" spans="1:35" ht="14.25">
      <c r="A25" s="3075"/>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3017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129006</v>
      </c>
      <c r="D32" s="2447" t="s">
        <v>2147</v>
      </c>
      <c r="E32" s="138"/>
      <c r="F32" s="138"/>
      <c r="G32" s="138"/>
      <c r="H32" s="138"/>
      <c r="I32" s="138"/>
    </row>
    <row r="33" spans="1:15" ht="15">
      <c r="A33" s="957" t="s">
        <v>2148</v>
      </c>
      <c r="B33" s="2448"/>
      <c r="C33" s="2449" t="s">
        <v>3155</v>
      </c>
      <c r="D33" s="2450" t="s">
        <v>3123</v>
      </c>
      <c r="E33" s="2451" t="s">
        <v>2149</v>
      </c>
      <c r="F33" s="2452" t="str">
        <f>IF(D32="楼面单价","取值（单价）","取值（总价）")</f>
        <v>取值（总价）</v>
      </c>
      <c r="G33" s="138"/>
      <c r="H33" s="138"/>
      <c r="I33" s="138"/>
    </row>
    <row r="34" spans="1:15" ht="15">
      <c r="A34" s="2453"/>
      <c r="B34" s="2454" t="s">
        <v>2150</v>
      </c>
      <c r="C34" s="157">
        <f ca="1">IF(C33="自定义",F34,C32-C35)</f>
        <v>72630</v>
      </c>
      <c r="D34" s="1055">
        <f ca="1">IF(C33="自定义",ROUND(C34/C32,3),IF(C33="收益比率",SUMIF(INDIRECT("'"&amp;D33&amp;"'"&amp;"!b:b"),"土地收益比率",INDIRECT("'"&amp;D33&amp;"'"&amp;"!c:c")),SUMIF(INDIRECT("'"&amp;D33&amp;"'"&amp;"!b:b"),"土地成本比率",INDIRECT("'"&amp;D33&amp;"'"&amp;"!c:c"))))</f>
        <v>0.56299999999999994</v>
      </c>
      <c r="E34" s="2455" t="s">
        <v>2151</v>
      </c>
      <c r="F34" s="1735"/>
      <c r="G34" s="138"/>
      <c r="H34" s="138"/>
      <c r="I34" s="138"/>
    </row>
    <row r="35" spans="1:15" ht="15.75" thickBot="1">
      <c r="A35" s="2456"/>
      <c r="B35" s="2457" t="s">
        <v>2152</v>
      </c>
      <c r="C35" s="1440">
        <f ca="1">IF(C33="自定义",F35,ROUND(C32*D35,0))</f>
        <v>56376</v>
      </c>
      <c r="D35" s="1441">
        <f ca="1">IF(C33="自定义",ROUND(C35/C32,3),IF(C33="收益比率",SUMIF(INDIRECT("'"&amp;D33&amp;"'"&amp;"!b:b"),"建筑物收益比率",INDIRECT("'"&amp;D33&amp;"'"&amp;"!c:c")),SUMIF(INDIRECT("'"&amp;D33&amp;"'"&amp;"!b:b"),"建筑物成本比率",INDIRECT("'"&amp;D33&amp;"'"&amp;"!c:c"))))</f>
        <v>0.437</v>
      </c>
      <c r="E35" s="2458" t="s">
        <v>2153</v>
      </c>
      <c r="F35" s="163"/>
      <c r="G35" s="138"/>
      <c r="H35" s="138"/>
      <c r="I35" s="138"/>
    </row>
    <row r="36" spans="1:15" ht="15.75" thickBot="1">
      <c r="A36" s="3092" t="s">
        <v>2154</v>
      </c>
      <c r="B36" s="2459" t="s">
        <v>2155</v>
      </c>
      <c r="C36" s="154"/>
      <c r="D36" s="2460"/>
      <c r="E36" s="2461"/>
      <c r="F36" s="2462"/>
      <c r="G36" s="138"/>
      <c r="H36" s="138"/>
      <c r="I36" s="138"/>
    </row>
    <row r="37" spans="1:15" ht="15.75" thickBot="1">
      <c r="A37" s="3093"/>
      <c r="B37" s="2264" t="s">
        <v>2156</v>
      </c>
      <c r="C37" s="156"/>
      <c r="D37" s="1391"/>
      <c r="E37" s="1391"/>
      <c r="F37" s="2462"/>
      <c r="G37" s="138"/>
      <c r="H37" s="138"/>
      <c r="I37" s="138"/>
    </row>
    <row r="38" spans="1:15" ht="15.75" thickBot="1">
      <c r="A38" s="3094"/>
      <c r="B38" s="2463" t="s">
        <v>2157</v>
      </c>
      <c r="C38" s="727"/>
      <c r="D38" s="2464" t="s">
        <v>2158</v>
      </c>
      <c r="E38" s="1391"/>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071" t="s">
        <v>2168</v>
      </c>
      <c r="B45" s="3072"/>
      <c r="C45" s="3073"/>
      <c r="D45" s="164">
        <f ca="1">ROUND(H101*F45,0)</f>
        <v>129006</v>
      </c>
      <c r="E45" s="165" t="s">
        <v>2169</v>
      </c>
      <c r="F45" s="166">
        <v>1</v>
      </c>
      <c r="G45" s="167" t="s">
        <v>2170</v>
      </c>
      <c r="H45" s="138"/>
      <c r="I45" s="138"/>
      <c r="J45" s="3131" t="s">
        <v>2171</v>
      </c>
      <c r="K45" s="3131"/>
      <c r="L45" s="3131"/>
      <c r="M45" s="3131"/>
      <c r="N45" s="3131"/>
      <c r="O45" s="3131"/>
    </row>
    <row r="46" spans="1:15" ht="14.25" customHeight="1">
      <c r="A46" s="3068" t="s">
        <v>2172</v>
      </c>
      <c r="B46" s="3069"/>
      <c r="C46" s="3069"/>
      <c r="D46" s="3069"/>
      <c r="E46" s="3069"/>
      <c r="F46" s="3069"/>
      <c r="G46" s="3070"/>
      <c r="H46" s="2478"/>
      <c r="I46" s="168"/>
      <c r="J46" s="1808">
        <v>1</v>
      </c>
      <c r="K46" s="3131" t="s">
        <v>2173</v>
      </c>
      <c r="L46" s="3131"/>
      <c r="M46" s="3151"/>
      <c r="N46" s="3151"/>
      <c r="O46" s="3151"/>
    </row>
    <row r="47" spans="1:15" ht="12" customHeight="1">
      <c r="A47" s="169" t="s">
        <v>2174</v>
      </c>
      <c r="B47" s="170"/>
      <c r="C47" s="171"/>
      <c r="D47" s="172" t="s">
        <v>2175</v>
      </c>
      <c r="E47" s="24" t="s">
        <v>2176</v>
      </c>
      <c r="F47" s="173" t="s">
        <v>2177</v>
      </c>
      <c r="G47" s="174" t="s">
        <v>2178</v>
      </c>
      <c r="H47" s="2478"/>
      <c r="I47" s="168"/>
      <c r="J47" s="1808">
        <v>2</v>
      </c>
      <c r="K47" s="3131" t="s">
        <v>2179</v>
      </c>
      <c r="L47" s="3131"/>
      <c r="M47" s="3152">
        <f>'数据-取费表'!B2</f>
        <v>43605</v>
      </c>
      <c r="N47" s="3152"/>
      <c r="O47" s="3152"/>
    </row>
    <row r="48" spans="1:15" ht="25.5">
      <c r="A48" s="3099" t="s">
        <v>2180</v>
      </c>
      <c r="B48" s="3082"/>
      <c r="C48" s="3082"/>
      <c r="D48" s="140">
        <f>IF(H48="情况1",0,IF(H48="情况2",D52,IF(H48="情况3",D53,IF(H48="情况4",D54))))</f>
        <v>0</v>
      </c>
      <c r="E48" s="1797" t="str">
        <f>IF(H48="情况4","(销售额-原购置价)×税（费）率","销售额×税（费）率")</f>
        <v>销售额×税（费）率</v>
      </c>
      <c r="F48" s="175" t="str">
        <f>IF(H48="情况1","免征",'数据-取费表'!B41)</f>
        <v>免征</v>
      </c>
      <c r="G48" s="2479" t="s">
        <v>2181</v>
      </c>
      <c r="H48" s="2480" t="s">
        <v>2182</v>
      </c>
      <c r="I48" s="2478"/>
      <c r="J48" s="1808">
        <v>3</v>
      </c>
      <c r="K48" s="3131" t="s">
        <v>2183</v>
      </c>
      <c r="L48" s="3131"/>
      <c r="M48" s="3153">
        <f ca="1">H101</f>
        <v>129006</v>
      </c>
      <c r="N48" s="3153"/>
      <c r="O48" s="3153"/>
    </row>
    <row r="49" spans="1:35" ht="25.5" customHeight="1">
      <c r="A49" s="176" t="s">
        <v>2184</v>
      </c>
      <c r="B49" s="3067" t="s">
        <v>2185</v>
      </c>
      <c r="C49" s="3067"/>
      <c r="D49" s="177">
        <v>0</v>
      </c>
      <c r="E49" s="23" t="s">
        <v>2186</v>
      </c>
      <c r="F49" s="28" t="s">
        <v>34</v>
      </c>
      <c r="G49" s="3137"/>
      <c r="H49" s="138"/>
      <c r="I49" s="2481"/>
      <c r="J49" s="1808">
        <v>4</v>
      </c>
      <c r="K49" s="3131" t="str">
        <f>IF(项目基本情况!E8="房地产抵押价值","房地产抵押价值","抵押担保权已注销时的房地产抵押价值")</f>
        <v>房地产抵押价值</v>
      </c>
      <c r="L49" s="3131"/>
      <c r="M49" s="3153">
        <f ca="1">IF(项目基本情况!E8="房地产抵押价值",H107,H109)</f>
        <v>129006</v>
      </c>
      <c r="N49" s="3153"/>
      <c r="O49" s="3153"/>
    </row>
    <row r="50" spans="1:35" ht="25.5" customHeight="1">
      <c r="A50" s="178"/>
      <c r="B50" s="3067" t="s">
        <v>2187</v>
      </c>
      <c r="C50" s="3067"/>
      <c r="D50" s="179"/>
      <c r="E50" s="31"/>
      <c r="F50" s="180"/>
      <c r="G50" s="3138"/>
      <c r="H50" s="138"/>
      <c r="I50" s="2481"/>
      <c r="J50" s="3131" t="s">
        <v>2188</v>
      </c>
      <c r="K50" s="3131"/>
      <c r="L50" s="3131"/>
      <c r="M50" s="3131"/>
      <c r="N50" s="3131"/>
      <c r="O50" s="3131"/>
    </row>
    <row r="51" spans="1:35" ht="12" customHeight="1">
      <c r="A51" s="181"/>
      <c r="B51" s="3067" t="s">
        <v>2189</v>
      </c>
      <c r="C51" s="3067"/>
      <c r="D51" s="182"/>
      <c r="E51" s="30"/>
      <c r="F51" s="180"/>
      <c r="G51" s="3139"/>
      <c r="H51" s="138"/>
      <c r="I51" s="2481"/>
      <c r="J51" s="2482" t="s">
        <v>2190</v>
      </c>
      <c r="K51" s="3131" t="s">
        <v>2191</v>
      </c>
      <c r="L51" s="3131"/>
      <c r="M51" s="2482" t="s">
        <v>2192</v>
      </c>
      <c r="N51" s="2482" t="s">
        <v>2193</v>
      </c>
      <c r="O51" s="2482" t="s">
        <v>2194</v>
      </c>
    </row>
    <row r="52" spans="1:35" ht="24" customHeight="1">
      <c r="A52" s="183" t="s">
        <v>2195</v>
      </c>
      <c r="B52" s="3067" t="s">
        <v>2196</v>
      </c>
      <c r="C52" s="3067"/>
      <c r="D52" s="182">
        <f ca="1">ROUND(D45*'数据-取费表'!B41/(1+'数据-取费表'!C42),0)</f>
        <v>6757</v>
      </c>
      <c r="E52" s="11" t="s">
        <v>2197</v>
      </c>
      <c r="F52" s="184">
        <f>'数据-取费表'!B41</f>
        <v>5.5000000000000007E-2</v>
      </c>
      <c r="G52" s="2483"/>
      <c r="H52" s="138"/>
      <c r="I52" s="2481"/>
      <c r="J52" s="1808">
        <v>1</v>
      </c>
      <c r="K52" s="3132" t="s">
        <v>2198</v>
      </c>
      <c r="L52" s="3132"/>
      <c r="M52" s="1750">
        <f>D48</f>
        <v>0</v>
      </c>
      <c r="N52" s="1808" t="str">
        <f>E48</f>
        <v>销售额×税（费）率</v>
      </c>
      <c r="O52" s="1751" t="str">
        <f>F48</f>
        <v>免征</v>
      </c>
    </row>
    <row r="53" spans="1:35" ht="12" customHeight="1">
      <c r="A53" s="183" t="s">
        <v>2199</v>
      </c>
      <c r="B53" s="3090" t="s">
        <v>2200</v>
      </c>
      <c r="C53" s="3091"/>
      <c r="D53" s="182">
        <f ca="1">ROUND(D45*'数据-取费表'!B41/(1+'数据-取费表'!C42),0)</f>
        <v>6757</v>
      </c>
      <c r="E53" s="11" t="s">
        <v>2197</v>
      </c>
      <c r="F53" s="184">
        <f>'数据-取费表'!B41</f>
        <v>5.5000000000000007E-2</v>
      </c>
      <c r="G53" s="2483"/>
      <c r="H53" s="138"/>
      <c r="I53" s="2481"/>
      <c r="J53" s="1808">
        <v>2</v>
      </c>
      <c r="K53" s="3132" t="s">
        <v>2201</v>
      </c>
      <c r="L53" s="3132"/>
      <c r="M53" s="1750">
        <f t="shared" ref="M53:O54" ca="1" si="0">D55</f>
        <v>65</v>
      </c>
      <c r="N53" s="1808" t="str">
        <f t="shared" si="0"/>
        <v>销售额×税（费）率</v>
      </c>
      <c r="O53" s="1751">
        <f t="shared" si="0"/>
        <v>5.0000000000000001E-4</v>
      </c>
    </row>
    <row r="54" spans="1:35" ht="12" customHeight="1">
      <c r="A54" s="183" t="s">
        <v>2202</v>
      </c>
      <c r="B54" s="3090" t="s">
        <v>2203</v>
      </c>
      <c r="C54" s="3091"/>
      <c r="D54" s="182">
        <f ca="1">C68</f>
        <v>6757</v>
      </c>
      <c r="E54" s="30" t="s">
        <v>2204</v>
      </c>
      <c r="F54" s="184">
        <f>'数据-取费表'!B41</f>
        <v>5.5000000000000007E-2</v>
      </c>
      <c r="G54" s="2483"/>
      <c r="H54" s="2484"/>
      <c r="I54" s="2481"/>
      <c r="J54" s="1808">
        <v>3</v>
      </c>
      <c r="K54" s="3132" t="s">
        <v>2205</v>
      </c>
      <c r="L54" s="3132"/>
      <c r="M54" s="1750">
        <f t="shared" ca="1" si="0"/>
        <v>73135</v>
      </c>
      <c r="N54" s="1808" t="str">
        <f t="shared" si="0"/>
        <v>增值额×税（费）率</v>
      </c>
      <c r="O54" s="1752" t="str">
        <f t="shared" si="0"/>
        <v>——</v>
      </c>
    </row>
    <row r="55" spans="1:35" ht="24" customHeight="1">
      <c r="A55" s="3081" t="s">
        <v>2206</v>
      </c>
      <c r="B55" s="3082"/>
      <c r="C55" s="3082"/>
      <c r="D55" s="185">
        <f ca="1">IF(H55="个人住宅",0,ROUND(D45*I55,0))</f>
        <v>65</v>
      </c>
      <c r="E55" s="11" t="s">
        <v>2207</v>
      </c>
      <c r="F55" s="184">
        <f>IF(H55="正常",I55,"免征")</f>
        <v>5.0000000000000001E-4</v>
      </c>
      <c r="G55" s="2483"/>
      <c r="H55" s="2480" t="s">
        <v>2208</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081" t="s">
        <v>2209</v>
      </c>
      <c r="B56" s="3082"/>
      <c r="C56" s="3082"/>
      <c r="D56" s="185">
        <f ca="1">IF(H56="个人住宅",D57,D58)</f>
        <v>73135</v>
      </c>
      <c r="E56" s="11" t="s">
        <v>2210</v>
      </c>
      <c r="F56" s="184" t="str">
        <f>IF(H56="正常",F58,"免征")</f>
        <v>——</v>
      </c>
      <c r="G56" s="2485" t="s">
        <v>2211</v>
      </c>
      <c r="H56" s="2486" t="s">
        <v>2208</v>
      </c>
      <c r="I56" s="2487"/>
      <c r="J56" s="1808" t="str">
        <f>IF(项目基本情况!K6="上海银行",IF(J55="",4,J55+1),"")</f>
        <v/>
      </c>
      <c r="K56" s="3155" t="str">
        <f>IF(项目基本情况!K6="上海银行","其他处置费用","")</f>
        <v/>
      </c>
      <c r="L56" s="3156"/>
      <c r="M56" s="1750" t="str">
        <f>IF(项目基本情况!K6="上海银行",M69,"")</f>
        <v/>
      </c>
      <c r="N56" s="3158" t="str">
        <f>IF(项目基本情况!K6="上海银行","包含处置中涉及的律师、诉讼、拍卖、评估等费用","")</f>
        <v/>
      </c>
      <c r="O56" s="3159"/>
    </row>
    <row r="57" spans="1:35" ht="12.75">
      <c r="A57" s="183" t="s">
        <v>2184</v>
      </c>
      <c r="B57" s="3097" t="s">
        <v>2212</v>
      </c>
      <c r="C57" s="3106"/>
      <c r="D57" s="187">
        <v>0</v>
      </c>
      <c r="E57" s="23" t="s">
        <v>2186</v>
      </c>
      <c r="F57" s="155"/>
      <c r="G57" s="2483"/>
      <c r="H57" s="2487"/>
      <c r="I57" s="2487"/>
      <c r="J57" s="3132">
        <f>IF(AND(J55="",J56=""),4,IF(项目基本情况!K6="上海银行",结果表!J56+1,结果表!J55+1))</f>
        <v>4</v>
      </c>
      <c r="K57" s="3132" t="s">
        <v>2213</v>
      </c>
      <c r="L57" s="2488" t="s">
        <v>2214</v>
      </c>
      <c r="M57" s="1755"/>
      <c r="N57" s="1756">
        <f ca="1">SUMIF(M52:M56,"&lt;9e307")</f>
        <v>73200</v>
      </c>
      <c r="O57" s="2489"/>
      <c r="P57" s="1749">
        <f ca="1">N57/M49</f>
        <v>0.56741546904795126</v>
      </c>
    </row>
    <row r="58" spans="1:35" ht="24.75">
      <c r="A58" s="183" t="s">
        <v>2195</v>
      </c>
      <c r="B58" s="3097" t="s">
        <v>2215</v>
      </c>
      <c r="C58" s="3098"/>
      <c r="D58" s="185">
        <f ca="1">IF(H58="转让取得",C81,C97)</f>
        <v>73135</v>
      </c>
      <c r="E58" s="11" t="s">
        <v>2210</v>
      </c>
      <c r="F58" s="24" t="s">
        <v>34</v>
      </c>
      <c r="G58" s="2483"/>
      <c r="H58" s="2486" t="s">
        <v>2216</v>
      </c>
      <c r="I58" s="2487"/>
      <c r="J58" s="3132"/>
      <c r="K58" s="3132"/>
      <c r="L58" s="2488" t="s">
        <v>2217</v>
      </c>
      <c r="M58" s="1757"/>
      <c r="N58" s="2490" t="str">
        <f ca="1">NUMBERSTRING(INT(N57*10000),2)&amp;"元整"</f>
        <v>柒亿叁仟贰佰万元整</v>
      </c>
      <c r="O58" s="2491"/>
    </row>
    <row r="59" spans="1:35" ht="24.75" thickBot="1">
      <c r="A59" s="3135" t="s">
        <v>2218</v>
      </c>
      <c r="B59" s="3136"/>
      <c r="C59" s="3136"/>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33">
        <f>J57+1</f>
        <v>5</v>
      </c>
      <c r="K59" s="3132" t="s">
        <v>2220</v>
      </c>
      <c r="L59" s="1808" t="s">
        <v>2214</v>
      </c>
      <c r="M59" s="1758"/>
      <c r="N59" s="1759">
        <f ca="1">M49-N57</f>
        <v>55806</v>
      </c>
      <c r="O59" s="2493"/>
    </row>
    <row r="60" spans="1:35" ht="12" customHeight="1">
      <c r="A60" s="2494"/>
      <c r="B60" s="2416"/>
      <c r="C60" s="2416"/>
      <c r="D60" s="2416"/>
      <c r="E60" s="2163"/>
      <c r="F60" s="2487"/>
      <c r="G60" s="2487"/>
      <c r="H60" s="2495"/>
      <c r="I60" s="138"/>
      <c r="J60" s="3134"/>
      <c r="K60" s="3132"/>
      <c r="L60" s="2488" t="s">
        <v>2217</v>
      </c>
      <c r="M60" s="1757"/>
      <c r="N60" s="2490" t="str">
        <f ca="1">NUMBERSTRING(INT(N59*10000),2)&amp;"元整"</f>
        <v>伍亿伍仟捌佰零陆万元整</v>
      </c>
      <c r="O60" s="2491"/>
    </row>
    <row r="61" spans="1:35" ht="13.5" thickBot="1">
      <c r="A61" s="3079" t="s">
        <v>2221</v>
      </c>
      <c r="B61" s="3079"/>
      <c r="C61" s="3079"/>
      <c r="D61" s="3079"/>
      <c r="E61" s="3079"/>
      <c r="F61" s="2487"/>
      <c r="G61" s="2487"/>
      <c r="H61" s="2495"/>
      <c r="I61" s="138"/>
      <c r="J61" s="1808">
        <f>J59+1</f>
        <v>6</v>
      </c>
      <c r="K61" s="3132" t="s">
        <v>2222</v>
      </c>
      <c r="L61" s="3132"/>
      <c r="M61" s="1760"/>
      <c r="N61" s="1761">
        <f ca="1">ROUND(N59*10000/'数据-汇总表'!E3,0)</f>
        <v>9967</v>
      </c>
      <c r="O61" s="2496"/>
    </row>
    <row r="62" spans="1:35" ht="12.75">
      <c r="A62" s="3095" t="s">
        <v>2223</v>
      </c>
      <c r="B62" s="3096"/>
      <c r="C62" s="1800"/>
      <c r="D62" s="1800" t="s">
        <v>2224</v>
      </c>
      <c r="E62" s="192" t="s">
        <v>2225</v>
      </c>
      <c r="F62" s="2487"/>
      <c r="G62" s="2487"/>
      <c r="H62" s="2495"/>
      <c r="I62" s="138"/>
    </row>
    <row r="63" spans="1:35" ht="12.75">
      <c r="A63" s="203" t="s">
        <v>775</v>
      </c>
      <c r="B63" s="193" t="s">
        <v>2226</v>
      </c>
      <c r="C63" s="194">
        <f ca="1">ROUND((C64+C65)/(1+'数据-取费表'!C42),0)</f>
        <v>122863</v>
      </c>
      <c r="D63" s="195"/>
      <c r="E63" s="196"/>
      <c r="F63" s="2487"/>
      <c r="G63" s="2487"/>
      <c r="H63" s="2495"/>
      <c r="I63" s="138"/>
      <c r="J63" s="3157" t="s">
        <v>2227</v>
      </c>
      <c r="K63" s="2497" t="s">
        <v>2228</v>
      </c>
      <c r="L63" s="1748">
        <f ca="1">IF(M49&gt;10000,M49*0.5%,IF(AND(M49&gt;1000,M49&lt;=10000),M49*1%,IF(AND(M49&gt;100,M49&lt;=1000),M49*3%,IF(AND(M49&gt;10,M49&lt;=100),M49*5%,M49*8%))))</f>
        <v>645.03</v>
      </c>
      <c r="M63" s="24">
        <f ca="1">ROUND(L63,1)</f>
        <v>645</v>
      </c>
      <c r="Z63" s="2421"/>
      <c r="AI63" s="2422"/>
    </row>
    <row r="64" spans="1:35" ht="14.25" customHeight="1">
      <c r="A64" s="197" t="s">
        <v>770</v>
      </c>
      <c r="B64" s="198" t="s">
        <v>2229</v>
      </c>
      <c r="C64" s="199">
        <f ca="1">D45</f>
        <v>129006</v>
      </c>
      <c r="D64" s="200" t="s">
        <v>32</v>
      </c>
      <c r="E64" s="201"/>
      <c r="F64" s="2487"/>
      <c r="G64" s="2487"/>
      <c r="H64" s="2495"/>
      <c r="I64" s="138"/>
      <c r="J64" s="3157"/>
      <c r="K64" s="2497" t="s">
        <v>2230</v>
      </c>
      <c r="L64" s="1748">
        <f ca="1">IF(M49&gt;2000,M49*0.5%,IF(AND(M49&gt;1000,M49&lt;=2000),M49*0.6%,IF(AND(M49&gt;500,M49&lt;=1000),M49*0.7%,IF(AND(M49&gt;200,M49&lt;=500),M49*0.8%,IF(AND(M49&gt;100,M49&lt;=200),M49*0.9%,IF(AND(M49&gt;50,M49&lt;=100),M49*1%,IF(AND(M49&gt;20,M49&lt;=50),M49*1.5%,IF(AND(M49&gt;10,M49&lt;=20),M49*2%,IF(AND(M49&gt;1,M49&lt;=10),M49*2.5%)))))))))</f>
        <v>645.03</v>
      </c>
      <c r="M64" s="24">
        <f t="shared" ref="M64:M65" ca="1" si="1">ROUND(L64,1)</f>
        <v>645</v>
      </c>
      <c r="N64" s="138" t="s">
        <v>2231</v>
      </c>
      <c r="Z64" s="2421"/>
      <c r="AI64" s="2422"/>
    </row>
    <row r="65" spans="1:35" ht="14.25" customHeight="1">
      <c r="A65" s="197" t="s">
        <v>771</v>
      </c>
      <c r="B65" s="198" t="s">
        <v>2232</v>
      </c>
      <c r="C65" s="202"/>
      <c r="D65" s="200"/>
      <c r="E65" s="201"/>
      <c r="F65" s="2487"/>
      <c r="G65" s="2487"/>
      <c r="H65" s="2495"/>
      <c r="I65" s="138"/>
      <c r="J65" s="3157"/>
      <c r="K65" s="2497" t="s">
        <v>2233</v>
      </c>
      <c r="L65" s="1748">
        <f ca="1">IF(M49&gt;1000,M49*0.1%,IF(AND(M49&gt;500,M49&lt;=1000),M49*0.5%,IF(AND(M49&gt;50,M49&lt;=500),M49*1%,IF(AND(M49&gt;1,M49&lt;=50),M49*1.5%))))</f>
        <v>129.006</v>
      </c>
      <c r="M65" s="24">
        <f t="shared" ca="1" si="1"/>
        <v>129</v>
      </c>
      <c r="N65" s="138" t="s">
        <v>2231</v>
      </c>
      <c r="Z65" s="2421"/>
      <c r="AI65" s="2422"/>
    </row>
    <row r="66" spans="1:35" ht="14.25" customHeight="1">
      <c r="A66" s="203" t="s">
        <v>772</v>
      </c>
      <c r="B66" s="204" t="s">
        <v>2234</v>
      </c>
      <c r="C66" s="205"/>
      <c r="D66" s="206" t="s">
        <v>32</v>
      </c>
      <c r="E66" s="1772" t="s">
        <v>1357</v>
      </c>
      <c r="F66" s="2487"/>
      <c r="G66" s="2487"/>
      <c r="H66" s="2495"/>
      <c r="I66" s="138"/>
      <c r="J66" s="3157"/>
      <c r="K66" s="2497" t="s">
        <v>2235</v>
      </c>
      <c r="L66" s="1748">
        <f ca="1">M49*0.5%</f>
        <v>645.03</v>
      </c>
      <c r="M66" s="24">
        <f ca="1">IF(L66&gt;0.5,0.5,ROUND(L66,0))</f>
        <v>0.5</v>
      </c>
      <c r="N66" s="138" t="s">
        <v>2236</v>
      </c>
      <c r="Z66" s="2421"/>
      <c r="AI66" s="2422"/>
    </row>
    <row r="67" spans="1:35" ht="14.25" customHeight="1">
      <c r="A67" s="203" t="s">
        <v>773</v>
      </c>
      <c r="B67" s="204" t="s">
        <v>2237</v>
      </c>
      <c r="C67" s="207">
        <f ca="1">C63-C66</f>
        <v>122863</v>
      </c>
      <c r="D67" s="200" t="s">
        <v>32</v>
      </c>
      <c r="E67" s="201"/>
      <c r="F67" s="2487"/>
      <c r="G67" s="2487"/>
      <c r="H67" s="2495"/>
      <c r="I67" s="138"/>
      <c r="J67" s="3157"/>
      <c r="K67" s="2497" t="s">
        <v>2238</v>
      </c>
      <c r="L67" s="1748">
        <f ca="1">IF(M49&gt;=10000,(8.25+(M49-10000)*0.01%),IF(AND(M49&gt;=8000,M49&lt;10000),(7.85+(M49-8000)*0.02%),IF(AND(M49&gt;=5000,M49&lt;8000),(6.65+(M49-5000)*0.04%),IF(AND(M49&gt;=2000,M49&lt;5000),(4.25+(PM49-2000)*0.08%),IF(AND(M49&gt;=1000,M49&lt;2000),(2.75+(M49-1000)*0.15%),IF(AND(M49&gt;=100,M49&lt;1000),(0.5+(M49-100)*0.25%),IF(AND(M49&gt;0,M49&lt;100),M49*0.5%)))))))</f>
        <v>20.150600000000001</v>
      </c>
      <c r="M67" s="24">
        <f ca="1">ROUND(L67*0.9,1)</f>
        <v>18.100000000000001</v>
      </c>
      <c r="Z67" s="2421"/>
      <c r="AI67" s="2422"/>
    </row>
    <row r="68" spans="1:35" ht="14.25" customHeight="1" thickBot="1">
      <c r="A68" s="208" t="s">
        <v>774</v>
      </c>
      <c r="B68" s="209" t="s">
        <v>2239</v>
      </c>
      <c r="C68" s="210">
        <f ca="1">IF(C67&lt;=0,0,ROUND(C67*D68,0))</f>
        <v>6757</v>
      </c>
      <c r="D68" s="211">
        <f>'数据-取费表'!B41</f>
        <v>5.5000000000000007E-2</v>
      </c>
      <c r="E68" s="212"/>
      <c r="F68" s="2487"/>
      <c r="G68" s="2487"/>
      <c r="H68" s="2495"/>
      <c r="I68" s="138"/>
      <c r="J68" s="3157"/>
      <c r="K68" s="2497" t="s">
        <v>2240</v>
      </c>
      <c r="L68" s="1748">
        <f ca="1">IF(M49&gt;10000,M49*0.5%,IF(AND(M49&gt;5000,M49&lt;=10000),M49*1%,IF(AND(M49&gt;1000,M49&lt;=5000),M49*2%,IF(AND(M49&gt;200,M49&lt;=1000),M49*3%,M49*5%))))</f>
        <v>645.03</v>
      </c>
      <c r="M68" s="24">
        <f ca="1">ROUND(L68,1)</f>
        <v>645</v>
      </c>
      <c r="Z68" s="2421"/>
      <c r="AI68" s="2422"/>
    </row>
    <row r="69" spans="1:35" s="2444" customFormat="1" ht="16.5" customHeight="1">
      <c r="A69" s="2498"/>
      <c r="B69" s="2499"/>
      <c r="C69" s="2500"/>
      <c r="D69" s="2501"/>
      <c r="E69" s="2502"/>
      <c r="F69" s="2163"/>
      <c r="G69" s="2163"/>
      <c r="H69" s="2162"/>
      <c r="I69" s="2416"/>
      <c r="J69" s="3157"/>
      <c r="K69" s="2497" t="s">
        <v>2241</v>
      </c>
      <c r="L69" s="2503"/>
      <c r="M69" s="24">
        <f ca="1">ROUND(SUM(M63:M68),0)</f>
        <v>2083</v>
      </c>
      <c r="N69" s="1749">
        <f ca="1">M69/M49</f>
        <v>1.6146535820039377E-2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6" t="s">
        <v>2242</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5" t="s">
        <v>2223</v>
      </c>
      <c r="B71" s="3096"/>
      <c r="C71" s="1800"/>
      <c r="D71" s="1800"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122863</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614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090" t="s">
        <v>2251</v>
      </c>
      <c r="F76" s="3067"/>
      <c r="G76" s="3067"/>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614</v>
      </c>
      <c r="D78" s="226">
        <f>'数据-取费表'!B43</f>
        <v>5.000000000000001E-3</v>
      </c>
      <c r="E78" s="3076" t="s">
        <v>2256</v>
      </c>
      <c r="F78" s="3077"/>
      <c r="G78" s="3077"/>
      <c r="H78" s="308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122249</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199.1026058631922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73135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6" t="s">
        <v>2260</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5" t="s">
        <v>2223</v>
      </c>
      <c r="B84" s="3096"/>
      <c r="C84" s="1800"/>
      <c r="D84" s="1800"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122863</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614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6"/>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076" t="s">
        <v>2269</v>
      </c>
      <c r="F91" s="3077"/>
      <c r="G91" s="3077"/>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076" t="s">
        <v>2273</v>
      </c>
      <c r="F92" s="3077"/>
      <c r="G92" s="3077"/>
      <c r="H92" s="308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614</v>
      </c>
      <c r="D93" s="226">
        <f>'数据-取费表'!B43</f>
        <v>5.000000000000001E-3</v>
      </c>
      <c r="E93" s="3076" t="s">
        <v>2256</v>
      </c>
      <c r="F93" s="3077"/>
      <c r="G93" s="3077"/>
      <c r="H93" s="308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087" t="s">
        <v>2277</v>
      </c>
      <c r="F94" s="3088"/>
      <c r="G94" s="3088"/>
      <c r="H94" s="308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122249</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199.1026058631922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73135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61" t="s">
        <v>2279</v>
      </c>
      <c r="B100" s="3062"/>
      <c r="C100" s="3062"/>
      <c r="D100" s="3078"/>
      <c r="E100" s="3062" t="s">
        <v>2280</v>
      </c>
      <c r="F100" s="3062"/>
      <c r="G100" s="3062"/>
      <c r="H100" s="3078"/>
      <c r="I100" s="138"/>
    </row>
    <row r="101" spans="1:35" ht="18.75" customHeight="1">
      <c r="A101" s="3140" t="s">
        <v>2281</v>
      </c>
      <c r="B101" s="3141"/>
      <c r="C101" s="736" t="str">
        <f>C4</f>
        <v>成本法</v>
      </c>
      <c r="D101" s="737" t="str">
        <f>D4</f>
        <v>收益法（汇总）</v>
      </c>
      <c r="E101" s="3154" t="s">
        <v>2282</v>
      </c>
      <c r="F101" s="3108"/>
      <c r="G101" s="2518" t="s">
        <v>2283</v>
      </c>
      <c r="H101" s="1045">
        <f ca="1">H118</f>
        <v>129006</v>
      </c>
      <c r="I101" s="138"/>
    </row>
    <row r="102" spans="1:35" ht="18.75" customHeight="1">
      <c r="A102" s="3110" t="s">
        <v>2284</v>
      </c>
      <c r="B102" s="2518" t="s">
        <v>2283</v>
      </c>
      <c r="C102" s="736">
        <f ca="1">C19</f>
        <v>134481</v>
      </c>
      <c r="D102" s="737">
        <f ca="1">D19</f>
        <v>123530</v>
      </c>
      <c r="E102" s="3154"/>
      <c r="F102" s="3108"/>
      <c r="G102" s="2518" t="s">
        <v>2285</v>
      </c>
      <c r="H102" s="371">
        <f ca="1">I118</f>
        <v>23041</v>
      </c>
      <c r="I102" s="138"/>
    </row>
    <row r="103" spans="1:35" ht="42.75" customHeight="1">
      <c r="A103" s="3110"/>
      <c r="B103" s="2518" t="s">
        <v>2285</v>
      </c>
      <c r="C103" s="738">
        <f ca="1">C20</f>
        <v>24019</v>
      </c>
      <c r="D103" s="739">
        <f ca="1">D20</f>
        <v>22063</v>
      </c>
      <c r="E103" s="3149" t="s">
        <v>2286</v>
      </c>
      <c r="F103" s="3150"/>
      <c r="G103" s="2519" t="s">
        <v>2287</v>
      </c>
      <c r="H103" s="1045">
        <f>IF(D36="正常操作",H104+H105+H106,H105+H106)</f>
        <v>0</v>
      </c>
      <c r="I103" s="138"/>
    </row>
    <row r="104" spans="1:35" ht="18.75" customHeight="1">
      <c r="A104" s="3110" t="s">
        <v>2288</v>
      </c>
      <c r="B104" s="2520" t="s">
        <v>2283</v>
      </c>
      <c r="C104" s="740">
        <f ca="1">H118</f>
        <v>129006</v>
      </c>
      <c r="D104" s="741"/>
      <c r="E104" s="2264" t="s">
        <v>2289</v>
      </c>
      <c r="F104" s="2255"/>
      <c r="G104" s="2519" t="s">
        <v>2287</v>
      </c>
      <c r="H104" s="1046">
        <f>IF(D36="同一抵押权人同一抵押物续贷",C36&amp;"（未扣减，详见特别提示）",C36)</f>
        <v>0</v>
      </c>
      <c r="I104" s="138"/>
    </row>
    <row r="105" spans="1:35" ht="18.75" customHeight="1" thickBot="1">
      <c r="A105" s="3111"/>
      <c r="B105" s="2521" t="s">
        <v>2285</v>
      </c>
      <c r="C105" s="742">
        <f ca="1">I118</f>
        <v>23041</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07" t="str">
        <f>IF(项目基本情况!E8="已注销","——","3.房地产抵押价值")</f>
        <v>3.房地产抵押价值</v>
      </c>
      <c r="F107" s="3108"/>
      <c r="G107" s="2518" t="s">
        <v>2283</v>
      </c>
      <c r="H107" s="1045">
        <f ca="1">IF(E107="——","——",H101-H103)</f>
        <v>129006</v>
      </c>
      <c r="I107" s="138"/>
    </row>
    <row r="108" spans="1:35" ht="18.75" customHeight="1">
      <c r="A108" s="138"/>
      <c r="B108" s="138"/>
      <c r="C108" s="138"/>
      <c r="D108" s="138"/>
      <c r="E108" s="3107"/>
      <c r="F108" s="3108"/>
      <c r="G108" s="2518" t="s">
        <v>2285</v>
      </c>
      <c r="H108" s="371">
        <f ca="1">ROUND(H107*10000/'数据-汇总表'!E3,0)</f>
        <v>23041</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8" t="s">
        <v>2283</v>
      </c>
      <c r="H109" s="348" t="str">
        <f>IF(E109="——","——",H101-H105-H106)</f>
        <v>——</v>
      </c>
      <c r="I109" s="138"/>
    </row>
    <row r="110" spans="1:35" ht="18.75" customHeight="1">
      <c r="A110" s="138"/>
      <c r="B110" s="138"/>
      <c r="C110" s="138"/>
      <c r="D110" s="138"/>
      <c r="E110" s="3107"/>
      <c r="F110" s="3108"/>
      <c r="G110" s="2518" t="s">
        <v>2285</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8" t="s">
        <v>2283</v>
      </c>
      <c r="H111" s="1045" t="str">
        <f>IF(E111="——","——",N59)</f>
        <v>——</v>
      </c>
      <c r="I111" s="138"/>
    </row>
    <row r="112" spans="1:35" ht="18.75" customHeight="1" thickBot="1">
      <c r="A112" s="138"/>
      <c r="B112" s="138"/>
      <c r="C112" s="138"/>
      <c r="D112" s="138"/>
      <c r="E112" s="3144"/>
      <c r="F112" s="3145"/>
      <c r="G112" s="2523" t="s">
        <v>2285</v>
      </c>
      <c r="H112" s="790" t="str">
        <f>IF(E111="——","——",N61)</f>
        <v>——</v>
      </c>
      <c r="I112" s="138"/>
    </row>
    <row r="113" spans="1:11" ht="18.75" customHeight="1">
      <c r="A113" s="138"/>
      <c r="B113" s="138"/>
      <c r="C113" s="138"/>
      <c r="D113" s="138"/>
      <c r="E113" s="3112" t="s">
        <v>2291</v>
      </c>
      <c r="F113" s="3112"/>
      <c r="G113" s="3112"/>
      <c r="H113" s="3112"/>
      <c r="I113" s="138"/>
    </row>
    <row r="114" spans="1:11" ht="3.75" customHeight="1">
      <c r="A114" s="2416"/>
      <c r="B114" s="2416"/>
      <c r="C114" s="2416"/>
      <c r="D114" s="2416"/>
      <c r="E114" s="2494"/>
      <c r="F114" s="2494"/>
      <c r="G114" s="2494"/>
      <c r="H114" s="2494"/>
      <c r="I114" s="2416"/>
    </row>
    <row r="115" spans="1:11" ht="18.75" customHeight="1">
      <c r="A115" s="3125" t="s">
        <v>2293</v>
      </c>
      <c r="B115" s="3126"/>
      <c r="C115" s="3126"/>
      <c r="D115" s="3126"/>
      <c r="E115" s="3126"/>
      <c r="F115" s="3126"/>
      <c r="G115" s="3126"/>
      <c r="H115" s="3126"/>
      <c r="I115" s="3127"/>
    </row>
    <row r="116" spans="1:11" ht="27" customHeight="1">
      <c r="A116" s="3018" t="s">
        <v>2294</v>
      </c>
      <c r="B116" s="3113" t="s">
        <v>3156</v>
      </c>
      <c r="C116" s="3113" t="s">
        <v>3157</v>
      </c>
      <c r="D116" s="3129" t="s">
        <v>3158</v>
      </c>
      <c r="E116" s="3130"/>
      <c r="F116" s="3121" t="s">
        <v>3159</v>
      </c>
      <c r="G116" s="3121"/>
      <c r="H116" s="3018" t="s">
        <v>2295</v>
      </c>
      <c r="I116" s="3018"/>
    </row>
    <row r="117" spans="1:11" ht="18.75" customHeight="1">
      <c r="A117" s="3018"/>
      <c r="B117" s="3114"/>
      <c r="C117" s="3114"/>
      <c r="D117" s="1794" t="s">
        <v>2296</v>
      </c>
      <c r="E117" s="1794" t="s">
        <v>2297</v>
      </c>
      <c r="F117" s="1794" t="s">
        <v>2296</v>
      </c>
      <c r="G117" s="1794" t="s">
        <v>2298</v>
      </c>
      <c r="H117" s="1794" t="s">
        <v>2296</v>
      </c>
      <c r="I117" s="1794" t="s">
        <v>2298</v>
      </c>
    </row>
    <row r="118" spans="1:11" ht="24.75" customHeight="1">
      <c r="A118" s="2524" t="str">
        <f>项目基本情况!S2</f>
        <v>北京市北京经济技术开发区荣华南路12号1幢房地产</v>
      </c>
      <c r="B118" s="1794">
        <f>M18</f>
        <v>55990.490000000005</v>
      </c>
      <c r="C118" s="1794">
        <f>M19</f>
        <v>12625.6</v>
      </c>
      <c r="D118" s="1794">
        <f ca="1">ROUND(IF(D32="总价",C34,E118*B118/10000),0)</f>
        <v>72630</v>
      </c>
      <c r="E118" s="1794">
        <f ca="1">ROUND(IF(C33="自定义",IF(D32="楼面单价",C34,D118*10000/B118),I118-G118),0)</f>
        <v>12972</v>
      </c>
      <c r="F118" s="1794">
        <f ca="1">ROUND(IF(D32="总价",C35,G118*B118/10000),0)</f>
        <v>56376</v>
      </c>
      <c r="G118" s="1794">
        <f ca="1">ROUND(IF(D32="楼面单价",C35,F118*10000/B118),0)</f>
        <v>10069</v>
      </c>
      <c r="H118" s="1794">
        <f ca="1">ROUND(IF(D32="总价",C32,I118*B118/10000),0)</f>
        <v>129006</v>
      </c>
      <c r="I118" s="1794">
        <f ca="1">ROUND(IF(D32="楼面单价",C32,H118*10000/B118),0)</f>
        <v>23041</v>
      </c>
    </row>
    <row r="119" spans="1:11" ht="26.25" customHeight="1">
      <c r="A119" s="3018" t="s">
        <v>2299</v>
      </c>
      <c r="B119" s="3018"/>
      <c r="C119" s="3018"/>
      <c r="D119" s="3118" t="str">
        <f ca="1">NUMBERSTRING(INT(D118*10000),2)&amp;"元整"</f>
        <v>柒亿贰仟陆佰叁拾万元整</v>
      </c>
      <c r="E119" s="3120"/>
      <c r="F119" s="3118" t="str">
        <f ca="1">NUMBERSTRING(INT(F118*10000),2)&amp;"元整"</f>
        <v>伍亿陆仟叁佰柒拾陆万元整</v>
      </c>
      <c r="G119" s="3120"/>
      <c r="H119" s="3118" t="str">
        <f ca="1">NUMBERSTRING(INT(H118*10000),2)&amp;"元整"</f>
        <v>壹拾贰亿玖仟零陆万元整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1" t="str">
        <f>IF(D120=0,"故，本次评估不存在"&amp;A120,"故，本次评估"&amp;A120&amp;"为人民币"&amp;D120&amp;"万元整。")</f>
        <v>故，本次评估不存在估价师知悉的法定优先受偿款</v>
      </c>
    </row>
    <row r="121" spans="1:11" ht="18.75" customHeight="1">
      <c r="A121" s="3122" t="s">
        <v>2299</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129006</v>
      </c>
      <c r="E122" s="3147"/>
      <c r="F122" s="3147"/>
      <c r="G122" s="3147"/>
      <c r="H122" s="3147"/>
      <c r="I122" s="3148"/>
    </row>
    <row r="123" spans="1:11" ht="18.75" customHeight="1">
      <c r="A123" s="3018" t="s">
        <v>2299</v>
      </c>
      <c r="B123" s="3018"/>
      <c r="C123" s="3018"/>
      <c r="D123" s="3118" t="str">
        <f ca="1">NUMBERSTRING(INT(D122*10000),2)&amp;"元整"</f>
        <v>壹拾贰亿玖仟零陆万元整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2299</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2299</v>
      </c>
      <c r="B127" s="3018"/>
      <c r="C127" s="3018"/>
      <c r="D127" s="3118" t="e">
        <f>NUMBERSTRING(INT(D126*10000),2)&amp;"元整"</f>
        <v>#VALUE!</v>
      </c>
      <c r="E127" s="3119"/>
      <c r="F127" s="3119"/>
      <c r="G127" s="3119"/>
      <c r="H127" s="3119"/>
      <c r="I127" s="3120"/>
    </row>
    <row r="128" spans="1:11" ht="21.75" customHeight="1">
      <c r="A128" s="3128" t="s">
        <v>2300</v>
      </c>
      <c r="B128" s="3128"/>
      <c r="C128" s="3128"/>
      <c r="D128" s="3128"/>
      <c r="E128" s="3128"/>
      <c r="F128" s="3128"/>
      <c r="G128" s="3128"/>
      <c r="H128" s="3128"/>
      <c r="I128" s="3128"/>
    </row>
    <row r="129" spans="1:35" ht="21.75" customHeight="1">
      <c r="A129" s="2525" t="s">
        <v>2301</v>
      </c>
      <c r="B129" s="2526"/>
      <c r="C129" s="2527" t="s">
        <v>2302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2303</v>
      </c>
      <c r="G135" s="2542"/>
      <c r="H135" s="2542"/>
      <c r="I135" s="2543" t="s">
        <v>2304</v>
      </c>
    </row>
    <row r="136" spans="1:35" ht="21.75" customHeight="1">
      <c r="A136" s="795"/>
      <c r="B136" s="2544" t="s">
        <v>2305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2306</v>
      </c>
    </row>
    <row r="139" spans="1:35" ht="21.75" customHeight="1">
      <c r="A139" s="795"/>
      <c r="B139" s="2544" t="s">
        <v>2307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2308</v>
      </c>
      <c r="B1" s="1936" t="s">
        <v>1363</v>
      </c>
      <c r="C1" s="242"/>
      <c r="D1" s="242"/>
      <c r="E1" s="242"/>
      <c r="F1" s="242"/>
      <c r="G1" s="1378">
        <f>MATCH(B1,'数据-取费表'!A6:A16,0)+5</f>
        <v>6</v>
      </c>
    </row>
    <row r="2" spans="1:9" s="244" customFormat="1" ht="18" customHeight="1">
      <c r="A2" s="245" t="s">
        <v>2309</v>
      </c>
      <c r="B2" s="246">
        <f ca="1">IF(D2="——",C52,C52-E2)</f>
        <v>134481</v>
      </c>
      <c r="C2" s="243" t="s">
        <v>2310</v>
      </c>
      <c r="D2" s="2547" t="s">
        <v>70</v>
      </c>
      <c r="E2" s="1439" t="e">
        <f ca="1">SUMIF(INDIRECT("'"&amp;G2&amp;"'"&amp;"!A:A"),"承租人权益价值",INDIRECT("'"&amp;G2&amp;"'"&amp;"!c:c"))</f>
        <v>#REF!</v>
      </c>
      <c r="F2" s="2548" t="s">
        <v>2310</v>
      </c>
      <c r="G2" s="2549"/>
    </row>
    <row r="3" spans="1:9" s="244" customFormat="1" ht="18" customHeight="1" thickBot="1">
      <c r="A3" s="247" t="s">
        <v>2311</v>
      </c>
      <c r="B3" s="248">
        <f ca="1">ROUND(B2*10000/(IF(B1="",'数据-汇总表'!E3,INDIRECT("'数据-取费表'!k"&amp;$G$1))),0)</f>
        <v>24019</v>
      </c>
      <c r="C3" s="243" t="s">
        <v>2312</v>
      </c>
      <c r="D3" s="243"/>
      <c r="E3" s="243"/>
      <c r="F3" s="243"/>
      <c r="G3" s="243"/>
    </row>
    <row r="4" spans="1:9" s="252" customFormat="1" ht="15.75">
      <c r="A4" s="249" t="s">
        <v>2313</v>
      </c>
      <c r="B4" s="250"/>
      <c r="C4" s="250"/>
      <c r="D4" s="250"/>
      <c r="E4" s="250"/>
      <c r="F4" s="250"/>
      <c r="G4" s="251"/>
    </row>
    <row r="5" spans="1:9" s="258" customFormat="1" ht="13.5" customHeight="1">
      <c r="A5" s="299" t="s">
        <v>2314</v>
      </c>
      <c r="B5" s="254" t="s">
        <v>2315</v>
      </c>
      <c r="C5" s="255">
        <f ca="1">C6+C7+C8</f>
        <v>49280</v>
      </c>
      <c r="D5" s="255" t="s">
        <v>2316</v>
      </c>
      <c r="E5" s="256" t="s">
        <v>2317</v>
      </c>
      <c r="F5" s="256" t="s">
        <v>2318</v>
      </c>
      <c r="G5" s="257"/>
    </row>
    <row r="6" spans="1:9" s="258" customFormat="1" ht="13.5" customHeight="1">
      <c r="A6" s="949" t="s">
        <v>2319</v>
      </c>
      <c r="B6" s="259" t="s">
        <v>2320</v>
      </c>
      <c r="C6" s="260">
        <f ca="1">基准地价修正!B2</f>
        <v>46789</v>
      </c>
      <c r="D6" s="261"/>
      <c r="E6" s="262"/>
      <c r="F6" s="262"/>
      <c r="G6" s="263"/>
    </row>
    <row r="7" spans="1:9" s="258" customFormat="1" ht="13.5" customHeight="1">
      <c r="A7" s="949" t="s">
        <v>2321</v>
      </c>
      <c r="B7" s="259" t="s">
        <v>2322</v>
      </c>
      <c r="C7" s="264">
        <f ca="1">ROUND(C6*F7,0)</f>
        <v>1427</v>
      </c>
      <c r="D7" s="264"/>
      <c r="E7" s="262"/>
      <c r="F7" s="265">
        <f>'数据-取费表'!B48+'数据-取费表'!B49</f>
        <v>3.0499999999999999E-2</v>
      </c>
      <c r="G7" s="263"/>
    </row>
    <row r="8" spans="1:9" s="267" customFormat="1">
      <c r="A8" s="949" t="s">
        <v>2323</v>
      </c>
      <c r="B8" s="259" t="s">
        <v>2324</v>
      </c>
      <c r="C8" s="264">
        <f ca="1">IF(G8="已包含在土地购买价格中","0",IF(B1="",'数据-取费表'!B29,IF(G9="全部缴纳",C9+C10,H9)))</f>
        <v>1064</v>
      </c>
      <c r="D8" s="266"/>
      <c r="E8" s="264"/>
      <c r="F8" s="265"/>
      <c r="G8" s="2550" t="s">
        <v>3136</v>
      </c>
    </row>
    <row r="9" spans="1:9" s="258" customFormat="1" ht="13.5" customHeight="1">
      <c r="A9" s="950" t="s">
        <v>800</v>
      </c>
      <c r="B9" s="268" t="s">
        <v>2325</v>
      </c>
      <c r="C9" s="269">
        <f ca="1">ROUND(D9*E9/10000,0)</f>
        <v>0</v>
      </c>
      <c r="D9" s="1032">
        <f ca="1">IF(B1="",'数据-汇总表'!E5,IF(INDIRECT("'数据-取费表'!c"&amp;$G$1)="住宅",INDIRECT("'数据-取费表'!k"&amp;$G$1),0))</f>
        <v>0</v>
      </c>
      <c r="E9" s="269">
        <f>'数据-取费表'!B27</f>
        <v>0</v>
      </c>
      <c r="F9" s="265"/>
      <c r="G9" s="2551" t="s">
        <v>3135</v>
      </c>
      <c r="H9" s="1389"/>
      <c r="I9" s="2552" t="s">
        <v>2326</v>
      </c>
    </row>
    <row r="10" spans="1:9" s="258" customFormat="1" ht="13.5" customHeight="1">
      <c r="A10" s="950" t="s">
        <v>801</v>
      </c>
      <c r="B10" s="268" t="s">
        <v>2327</v>
      </c>
      <c r="C10" s="269">
        <f ca="1">ROUND(D10*E10/10000,0)</f>
        <v>1064</v>
      </c>
      <c r="D10" s="1032">
        <f ca="1">IF(B1="",'数据-汇总表'!E6,IF(INDIRECT("'数据-取费表'!c"&amp;$G$1)="住宅",INDIRECT("'数据-取费表'!s"&amp;$G$1),INDIRECT("'数据-取费表'!k"&amp;$G$1)+INDIRECT("'数据-取费表'!s"&amp;$G$1)))</f>
        <v>55990.490000000005</v>
      </c>
      <c r="E10" s="269">
        <f>'数据-取费表'!B28</f>
        <v>190</v>
      </c>
      <c r="F10" s="265"/>
      <c r="G10" s="270"/>
    </row>
    <row r="11" spans="1:9" s="258" customFormat="1" ht="13.5" hidden="1" customHeight="1">
      <c r="A11" s="271" t="s">
        <v>7</v>
      </c>
      <c r="B11" s="259" t="s">
        <v>2328</v>
      </c>
      <c r="C11" s="255"/>
      <c r="D11" s="1034"/>
      <c r="E11" s="262"/>
      <c r="F11" s="262"/>
      <c r="G11" s="263"/>
    </row>
    <row r="12" spans="1:9" s="258" customFormat="1" ht="13.5" hidden="1" customHeight="1">
      <c r="A12" s="271" t="s">
        <v>8</v>
      </c>
      <c r="B12" s="259" t="s">
        <v>2329</v>
      </c>
      <c r="C12" s="255">
        <v>0</v>
      </c>
      <c r="D12" s="1034"/>
      <c r="E12" s="272"/>
      <c r="F12" s="265">
        <v>3.0499999999999999E-2</v>
      </c>
      <c r="G12" s="263"/>
    </row>
    <row r="13" spans="1:9" s="258" customFormat="1" ht="13.5" hidden="1" customHeight="1">
      <c r="A13" s="271" t="s">
        <v>9</v>
      </c>
      <c r="B13" s="259" t="s">
        <v>2330</v>
      </c>
      <c r="C13" s="255"/>
      <c r="D13" s="1034"/>
      <c r="E13" s="262"/>
      <c r="F13" s="262"/>
      <c r="G13" s="263"/>
    </row>
    <row r="14" spans="1:9" s="258" customFormat="1" ht="13.5" hidden="1" customHeight="1">
      <c r="A14" s="271" t="s">
        <v>10</v>
      </c>
      <c r="B14" s="259" t="s">
        <v>2331</v>
      </c>
      <c r="C14" s="255"/>
      <c r="D14" s="1034"/>
      <c r="E14" s="262"/>
      <c r="F14" s="262"/>
      <c r="G14" s="263" t="s">
        <v>2332</v>
      </c>
    </row>
    <row r="15" spans="1:9" s="258" customFormat="1" ht="13.5" hidden="1" customHeight="1">
      <c r="A15" s="271" t="s">
        <v>11</v>
      </c>
      <c r="B15" s="259" t="s">
        <v>2333</v>
      </c>
      <c r="C15" s="264"/>
      <c r="D15" s="1034"/>
      <c r="E15" s="262"/>
      <c r="F15" s="262"/>
      <c r="G15" s="263" t="s">
        <v>2334</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2335</v>
      </c>
      <c r="C17" s="273"/>
      <c r="D17" s="1035"/>
      <c r="E17" s="273"/>
      <c r="F17" s="273"/>
      <c r="G17" s="263" t="s">
        <v>2334</v>
      </c>
    </row>
    <row r="18" spans="1:7" s="258" customFormat="1" ht="13.5" hidden="1" customHeight="1">
      <c r="A18" s="271" t="s">
        <v>14</v>
      </c>
      <c r="B18" s="259" t="s">
        <v>2336</v>
      </c>
      <c r="C18" s="264">
        <v>0</v>
      </c>
      <c r="D18" s="1034"/>
      <c r="E18" s="262"/>
      <c r="F18" s="265">
        <v>3.0499999999999999E-2</v>
      </c>
      <c r="G18" s="263" t="s">
        <v>2337</v>
      </c>
    </row>
    <row r="19" spans="1:7" s="267" customFormat="1" ht="13.5" customHeight="1">
      <c r="A19" s="299" t="s">
        <v>2338</v>
      </c>
      <c r="B19" s="254" t="s">
        <v>2339</v>
      </c>
      <c r="C19" s="255" t="str">
        <f>IF(G19="已包含在土地取得成本中","0",ROUND(D19*E19/10000,0))</f>
        <v>0</v>
      </c>
      <c r="D19" s="1036">
        <f ca="1">D9+D10</f>
        <v>55990.490000000005</v>
      </c>
      <c r="E19" s="255">
        <f>'数据-取费表'!B31</f>
        <v>200</v>
      </c>
      <c r="F19" s="275"/>
      <c r="G19" s="2550" t="s">
        <v>3137</v>
      </c>
    </row>
    <row r="20" spans="1:7" s="258" customFormat="1" ht="13.5" customHeight="1">
      <c r="A20" s="299" t="s">
        <v>2340</v>
      </c>
      <c r="B20" s="254" t="s">
        <v>2341</v>
      </c>
      <c r="C20" s="276">
        <f ca="1">ROUND((C5+C19)*F20,0)</f>
        <v>1232</v>
      </c>
      <c r="D20" s="276"/>
      <c r="E20" s="276"/>
      <c r="F20" s="277">
        <f>'数据-取费表'!B37</f>
        <v>2.5000000000000001E-2</v>
      </c>
      <c r="G20" s="278" t="s">
        <v>2342</v>
      </c>
    </row>
    <row r="21" spans="1:7" s="258" customFormat="1" ht="13.5" customHeight="1">
      <c r="A21" s="299" t="s">
        <v>2343</v>
      </c>
      <c r="B21" s="254" t="s">
        <v>2344</v>
      </c>
      <c r="C21" s="279">
        <f>F21</f>
        <v>2.5000000000000001E-2</v>
      </c>
      <c r="D21" s="280" t="s">
        <v>2345</v>
      </c>
      <c r="E21" s="276"/>
      <c r="F21" s="277">
        <f>'数据-取费表'!B38</f>
        <v>2.5000000000000001E-2</v>
      </c>
      <c r="G21" s="278" t="s">
        <v>2346</v>
      </c>
    </row>
    <row r="22" spans="1:7" s="258" customFormat="1" ht="13.5" customHeight="1">
      <c r="A22" s="299" t="s">
        <v>2347</v>
      </c>
      <c r="B22" s="254" t="s">
        <v>2348</v>
      </c>
      <c r="C22" s="1353">
        <f ca="1">ROUND(SUM(C23:C25),0)</f>
        <v>6136</v>
      </c>
      <c r="D22" s="279">
        <f ca="1">C26</f>
        <v>1.5E-3</v>
      </c>
      <c r="E22" s="280" t="s">
        <v>2345</v>
      </c>
      <c r="F22" s="281">
        <f ca="1">'数据-取费表'!B40</f>
        <v>4.7500000000000001E-2</v>
      </c>
      <c r="G22" s="278" t="str">
        <f>IF('数据-取费表'!B22&lt;=1,"单利计息","复利计息")</f>
        <v>复利计息</v>
      </c>
    </row>
    <row r="23" spans="1:7" s="258" customFormat="1" ht="13.5" customHeight="1">
      <c r="A23" s="951" t="s">
        <v>2349</v>
      </c>
      <c r="B23" s="259" t="s">
        <v>2350</v>
      </c>
      <c r="C23" s="1354">
        <f ca="1">ROUND(IF('数据-取费表'!B22&lt;=1,C5*F22*'数据-取费表'!B23,C5*(POWER((1+F22),'数据-取费表'!B23)-1)),0)</f>
        <v>6062</v>
      </c>
      <c r="D23" s="282"/>
      <c r="E23" s="282"/>
      <c r="F23" s="283"/>
      <c r="G23" s="284" t="s">
        <v>2351</v>
      </c>
    </row>
    <row r="24" spans="1:7" s="258" customFormat="1" ht="13.5" customHeight="1">
      <c r="A24" s="951" t="s">
        <v>2352</v>
      </c>
      <c r="B24" s="259" t="s">
        <v>2353</v>
      </c>
      <c r="C24" s="1354">
        <f ca="1">ROUND(IF('数据-取费表'!B22&lt;=1,C19*F22*('数据-取费表'!B19/2+'数据-取费表'!B21),C19*(POWER((1+F22),('数据-取费表'!B19/2+'数据-取费表'!B21))-1)),0)</f>
        <v>0</v>
      </c>
      <c r="D24" s="282"/>
      <c r="E24" s="282"/>
      <c r="F24" s="283"/>
      <c r="G24" s="284" t="s">
        <v>2354</v>
      </c>
    </row>
    <row r="25" spans="1:7" s="258" customFormat="1" ht="24">
      <c r="A25" s="951" t="s">
        <v>2355</v>
      </c>
      <c r="B25" s="259" t="s">
        <v>2356</v>
      </c>
      <c r="C25" s="1354">
        <f ca="1">ROUND(IF('数据-取费表'!B22&lt;=1,C20*F22*'数据-取费表'!B23/2,C20*(POWER((1+F22),'数据-取费表'!B23/2)-1)),0)</f>
        <v>74</v>
      </c>
      <c r="D25" s="282"/>
      <c r="E25" s="285"/>
      <c r="F25" s="283"/>
      <c r="G25" s="286" t="s">
        <v>2357</v>
      </c>
    </row>
    <row r="26" spans="1:7" s="258" customFormat="1">
      <c r="A26" s="951" t="s">
        <v>795</v>
      </c>
      <c r="B26" s="259" t="s">
        <v>2358</v>
      </c>
      <c r="C26" s="282">
        <f ca="1">ROUND(IF('数据-取费表'!B22&lt;=1,F21*F22*'数据-取费表'!B23/2,F21*(POWER((1+F22),'数据-取费表'!B23/2)-1)),4)</f>
        <v>1.5E-3</v>
      </c>
      <c r="D26" s="282"/>
      <c r="E26" s="285"/>
      <c r="F26" s="283"/>
      <c r="G26" s="287"/>
    </row>
    <row r="27" spans="1:7" s="258" customFormat="1" ht="24.75">
      <c r="A27" s="299" t="s">
        <v>2359</v>
      </c>
      <c r="B27" s="288" t="s">
        <v>2360</v>
      </c>
      <c r="C27" s="289">
        <f ca="1">C28</f>
        <v>12628</v>
      </c>
      <c r="D27" s="279">
        <f ca="1">C29</f>
        <v>6.3E-3</v>
      </c>
      <c r="E27" s="280" t="s">
        <v>2361</v>
      </c>
      <c r="F27" s="290">
        <f ca="1">IF(B1="",'数据-取费表'!Q16,INDIRECT("'数据-取费表'!q"&amp;$G$1))</f>
        <v>0.25</v>
      </c>
      <c r="G27" s="291" t="s">
        <v>2362</v>
      </c>
    </row>
    <row r="28" spans="1:7" s="258" customFormat="1" ht="13.5" customHeight="1">
      <c r="A28" s="951" t="s">
        <v>791</v>
      </c>
      <c r="B28" s="292" t="s">
        <v>2363</v>
      </c>
      <c r="C28" s="293">
        <f ca="1">ROUND((C5+C19+C20)*F27*'数据-取费表'!B21/'数据-取费表'!B20,0)</f>
        <v>12628</v>
      </c>
      <c r="D28" s="279"/>
      <c r="E28" s="280"/>
      <c r="F28" s="290"/>
      <c r="G28" s="291"/>
    </row>
    <row r="29" spans="1:7" s="258" customFormat="1" ht="13.5" customHeight="1">
      <c r="A29" s="951" t="s">
        <v>792</v>
      </c>
      <c r="B29" s="292" t="s">
        <v>2364</v>
      </c>
      <c r="C29" s="282">
        <f ca="1">ROUND(C21*F27*'数据-取费表'!B21/'数据-取费表'!B20,4)</f>
        <v>6.3E-3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75728</v>
      </c>
      <c r="D31" s="274"/>
      <c r="E31" s="255"/>
      <c r="F31" s="294"/>
      <c r="G31" s="278" t="s">
        <v>2369</v>
      </c>
    </row>
    <row r="32" spans="1:7" s="252" customFormat="1" ht="15.75">
      <c r="A32" s="296" t="s">
        <v>2370</v>
      </c>
      <c r="B32" s="297"/>
      <c r="C32" s="297"/>
      <c r="D32" s="297"/>
      <c r="E32" s="297"/>
      <c r="F32" s="297"/>
      <c r="G32" s="298"/>
    </row>
    <row r="33" spans="1:7" s="258" customFormat="1" ht="13.5" customHeight="1">
      <c r="A33" s="299" t="s">
        <v>782</v>
      </c>
      <c r="B33" s="254" t="s">
        <v>2371</v>
      </c>
      <c r="C33" s="300">
        <f ca="1">SUM(C34:C38)</f>
        <v>48824</v>
      </c>
      <c r="D33" s="276"/>
      <c r="E33" s="256"/>
      <c r="F33" s="285"/>
      <c r="G33" s="278"/>
    </row>
    <row r="34" spans="1:7" s="302" customFormat="1" ht="13.5" customHeight="1">
      <c r="A34" s="951" t="s">
        <v>791</v>
      </c>
      <c r="B34" s="259" t="s">
        <v>2372</v>
      </c>
      <c r="C34" s="264">
        <f ca="1">IF(B1="",IF(F34=100%,'数据-取费表'!M16,'数据-取费表'!O16),IF(F34=100%,INDIRECT("'数据-取费表'!m"&amp;$G$1)+INDIRECT("'数据-取费表'!t"&amp;$G$1),INDIRECT("'数据-取费表'!o"&amp;$G$1)+INDIRECT("'数据-取费表'!aq"&amp;$G$1)))</f>
        <v>44792</v>
      </c>
      <c r="D34" s="261"/>
      <c r="E34" s="264"/>
      <c r="F34" s="301">
        <f ca="1">IF('数据-取费表'!B24=0,1,IF(B1="",'数据-取费表'!N16,INDIRECT("'数据-取费表'!n"&amp;$G$1)))</f>
        <v>1</v>
      </c>
      <c r="G34" s="263" t="s">
        <v>2373</v>
      </c>
    </row>
    <row r="35" spans="1:7" ht="13.5" customHeight="1">
      <c r="A35" s="951" t="s">
        <v>796</v>
      </c>
      <c r="B35" s="259" t="s">
        <v>2374</v>
      </c>
      <c r="C35" s="264">
        <f ca="1">ROUND(C34*F35,0)</f>
        <v>2240</v>
      </c>
      <c r="D35" s="264"/>
      <c r="E35" s="264"/>
      <c r="F35" s="303">
        <f>'数据-取费表'!B33</f>
        <v>0.05</v>
      </c>
      <c r="G35" s="263" t="s">
        <v>2375</v>
      </c>
    </row>
    <row r="36" spans="1:7" ht="24">
      <c r="A36" s="951" t="s">
        <v>797</v>
      </c>
      <c r="B36" s="259" t="s">
        <v>2376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2377</v>
      </c>
    </row>
    <row r="37" spans="1:7" s="302" customFormat="1" ht="13.5" customHeight="1">
      <c r="A37" s="951" t="s">
        <v>798</v>
      </c>
      <c r="B37" s="259" t="s">
        <v>2378</v>
      </c>
      <c r="C37" s="293">
        <f ca="1">ROUND(E37*D37*F34/10000,0)</f>
        <v>1120</v>
      </c>
      <c r="D37" s="261">
        <f ca="1">D19</f>
        <v>55990.490000000005</v>
      </c>
      <c r="E37" s="293">
        <f>'数据-取费表'!B35</f>
        <v>200</v>
      </c>
      <c r="F37" s="303"/>
      <c r="G37" s="305" t="s">
        <v>2379</v>
      </c>
    </row>
    <row r="38" spans="1:7" ht="13.5" customHeight="1">
      <c r="A38" s="951" t="s">
        <v>799</v>
      </c>
      <c r="B38" s="259" t="s">
        <v>2380</v>
      </c>
      <c r="C38" s="264">
        <f ca="1">ROUND(C34*F38,0)</f>
        <v>672</v>
      </c>
      <c r="D38" s="264"/>
      <c r="E38" s="264"/>
      <c r="F38" s="303">
        <f>'数据-取费表'!B36</f>
        <v>1.4999999999999999E-2</v>
      </c>
      <c r="G38" s="263" t="s">
        <v>2375</v>
      </c>
    </row>
    <row r="39" spans="1:7" s="258" customFormat="1" ht="13.5" customHeight="1">
      <c r="A39" s="299" t="s">
        <v>2381</v>
      </c>
      <c r="B39" s="254" t="s">
        <v>2382</v>
      </c>
      <c r="C39" s="276">
        <f ca="1">ROUND(C33*F20,0)</f>
        <v>1221</v>
      </c>
      <c r="D39" s="276"/>
      <c r="E39" s="276"/>
      <c r="F39" s="277"/>
      <c r="G39" s="278" t="s">
        <v>2383</v>
      </c>
    </row>
    <row r="40" spans="1:7" s="258" customFormat="1" ht="13.5" customHeight="1">
      <c r="A40" s="299" t="s">
        <v>2384</v>
      </c>
      <c r="B40" s="254" t="s">
        <v>2385</v>
      </c>
      <c r="C40" s="1727">
        <f>F21</f>
        <v>2.5000000000000001E-2</v>
      </c>
      <c r="D40" s="280" t="s">
        <v>2386</v>
      </c>
      <c r="E40" s="276"/>
      <c r="F40" s="277"/>
      <c r="G40" s="278" t="s">
        <v>2387</v>
      </c>
    </row>
    <row r="41" spans="1:7" s="258" customFormat="1" ht="13.5" customHeight="1">
      <c r="A41" s="299" t="s">
        <v>2388</v>
      </c>
      <c r="B41" s="254" t="s">
        <v>2389</v>
      </c>
      <c r="C41" s="276">
        <f ca="1">ROUND(SUM(C42:C43),0)</f>
        <v>2989</v>
      </c>
      <c r="D41" s="279">
        <f ca="1">C44</f>
        <v>1.5E-3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ROUND(IF('数据-取费表'!B22&lt;=1,C33*F22*'数据-取费表'!B21/2,C33*(POWER((1+F22),'数据-取费表'!B21/2)-1)),0)</f>
        <v>2916</v>
      </c>
      <c r="D42" s="282"/>
      <c r="E42" s="282"/>
      <c r="F42" s="283"/>
      <c r="G42" s="3160" t="s">
        <v>2391</v>
      </c>
    </row>
    <row r="43" spans="1:7" ht="13.5" customHeight="1">
      <c r="A43" s="951" t="s">
        <v>792</v>
      </c>
      <c r="B43" s="259" t="s">
        <v>2392</v>
      </c>
      <c r="C43" s="282">
        <f ca="1">ROUND(IF('数据-取费表'!B22&lt;=1,C39*F22*'数据-取费表'!B21/2,C39*(POWER((1+F22),'数据-取费表'!B21/2)-1)),0)</f>
        <v>73</v>
      </c>
      <c r="D43" s="282"/>
      <c r="E43" s="282"/>
      <c r="F43" s="283"/>
      <c r="G43" s="3161"/>
    </row>
    <row r="44" spans="1:7" ht="13.5" customHeight="1">
      <c r="A44" s="951" t="s">
        <v>793</v>
      </c>
      <c r="B44" s="259" t="s">
        <v>2393</v>
      </c>
      <c r="C44" s="282">
        <f ca="1">ROUND(IF('数据-取费表'!B22&lt;=1,C40*F22*'数据-取费表'!B21/2,C40*(POWER((1+F22),'数据-取费表'!B21/2)-1)),4)</f>
        <v>1.5E-3</v>
      </c>
      <c r="D44" s="282"/>
      <c r="E44" s="282"/>
      <c r="F44" s="283"/>
      <c r="G44" s="3162"/>
    </row>
    <row r="45" spans="1:7" s="258" customFormat="1" ht="13.5" customHeight="1">
      <c r="A45" s="299" t="s">
        <v>2394</v>
      </c>
      <c r="B45" s="288" t="s">
        <v>2360</v>
      </c>
      <c r="C45" s="289">
        <f ca="1">C46</f>
        <v>12511</v>
      </c>
      <c r="D45" s="279">
        <f ca="1">C47</f>
        <v>6.3E-3</v>
      </c>
      <c r="E45" s="280" t="s">
        <v>2386</v>
      </c>
      <c r="F45" s="290"/>
      <c r="G45" s="291" t="s">
        <v>2395</v>
      </c>
    </row>
    <row r="46" spans="1:7" s="258" customFormat="1" ht="13.5" customHeight="1">
      <c r="A46" s="951" t="s">
        <v>791</v>
      </c>
      <c r="B46" s="292" t="s">
        <v>2396</v>
      </c>
      <c r="C46" s="293">
        <f ca="1">ROUND((C33+C39)*F27,0)</f>
        <v>12511</v>
      </c>
      <c r="D46" s="307"/>
      <c r="E46" s="280"/>
      <c r="F46" s="290"/>
      <c r="G46" s="291"/>
    </row>
    <row r="47" spans="1:7" s="258" customFormat="1" ht="13.5" customHeight="1">
      <c r="A47" s="951" t="s">
        <v>792</v>
      </c>
      <c r="B47" s="292" t="s">
        <v>2397</v>
      </c>
      <c r="C47" s="282">
        <f ca="1">ROUND(C40*F27,4)</f>
        <v>6.3E-3</v>
      </c>
      <c r="D47" s="307"/>
      <c r="E47" s="280"/>
      <c r="F47" s="290"/>
      <c r="G47" s="291"/>
    </row>
    <row r="48" spans="1:7" s="258" customFormat="1" ht="13.5" customHeight="1">
      <c r="A48" s="299" t="s">
        <v>2359</v>
      </c>
      <c r="B48" s="254" t="s">
        <v>2398</v>
      </c>
      <c r="C48" s="1727">
        <f>ROUND(F30/(1+'数据-取费表'!C42),4)</f>
        <v>5.2400000000000002E-2</v>
      </c>
      <c r="D48" s="280" t="s">
        <v>2386</v>
      </c>
      <c r="E48" s="276"/>
      <c r="F48" s="281"/>
      <c r="G48" s="278" t="s">
        <v>2399</v>
      </c>
    </row>
    <row r="49" spans="1:7" ht="16.5" customHeight="1">
      <c r="A49" s="299" t="s">
        <v>2365</v>
      </c>
      <c r="B49" s="254" t="s">
        <v>2400</v>
      </c>
      <c r="C49" s="276">
        <f ca="1">ROUND((C33+C39+C41+C45)/(1-C40-D41-D45-C48),0)</f>
        <v>71650</v>
      </c>
      <c r="D49" s="276"/>
      <c r="E49" s="276"/>
      <c r="F49" s="308"/>
      <c r="G49" s="278" t="s">
        <v>2401</v>
      </c>
    </row>
    <row r="50" spans="1:7" s="302" customFormat="1" ht="24">
      <c r="A50" s="299" t="s">
        <v>2402</v>
      </c>
      <c r="B50" s="254" t="s">
        <v>2403</v>
      </c>
      <c r="C50" s="276"/>
      <c r="D50" s="276"/>
      <c r="E50" s="276"/>
      <c r="F50" s="308">
        <f>IF('数据-取费表'!B24=0,'数据-取费表'!N16,1)</f>
        <v>0.82</v>
      </c>
      <c r="G50" s="291" t="s">
        <v>2404</v>
      </c>
    </row>
    <row r="51" spans="1:7" ht="16.5" customHeight="1">
      <c r="A51" s="299" t="s">
        <v>2405</v>
      </c>
      <c r="B51" s="254" t="s">
        <v>2406</v>
      </c>
      <c r="C51" s="276">
        <f ca="1">ROUND(C49*F50,0)</f>
        <v>58753</v>
      </c>
      <c r="D51" s="276"/>
      <c r="E51" s="276"/>
      <c r="F51" s="308"/>
      <c r="G51" s="278" t="s">
        <v>2407</v>
      </c>
    </row>
    <row r="52" spans="1:7" s="252" customFormat="1" ht="16.5" thickBot="1">
      <c r="A52" s="309" t="s">
        <v>2408</v>
      </c>
      <c r="B52" s="310"/>
      <c r="C52" s="311">
        <f ca="1">C31+C51</f>
        <v>134481</v>
      </c>
      <c r="D52" s="310"/>
      <c r="E52" s="310"/>
      <c r="F52" s="310"/>
      <c r="G52" s="312"/>
    </row>
    <row r="55" spans="1:7" ht="15">
      <c r="B55" s="314" t="s">
        <v>2409</v>
      </c>
      <c r="C55" s="315"/>
    </row>
    <row r="56" spans="1:7">
      <c r="B56" s="317" t="s">
        <v>1499</v>
      </c>
      <c r="C56" s="319">
        <f ca="1">1-C57</f>
        <v>0.56299999999999994</v>
      </c>
    </row>
    <row r="57" spans="1:7">
      <c r="B57" s="317" t="s">
        <v>1500</v>
      </c>
      <c r="C57" s="318">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北京市北京经济技术开发区荣华南路12号1幢房地产抵押价值预评估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1" t="str">
        <f>项目基本情况!B5</f>
        <v>北京兴基伟业投资管理有限公司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康正预评字2019-1-0328-P01号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2308</v>
      </c>
      <c r="B1" s="1936"/>
      <c r="C1" s="2553" t="s">
        <v>2410</v>
      </c>
      <c r="D1" s="242"/>
      <c r="E1" s="242"/>
      <c r="F1" s="242"/>
      <c r="G1" s="1378">
        <f>MATCH(B1,'数据-取费表'!A6:A16,0)+5</f>
        <v>7</v>
      </c>
      <c r="H1" s="1282" t="str">
        <f>IF(ISERROR(FIND("住宅",B1)),"非住宅","住宅")</f>
        <v>非住宅</v>
      </c>
    </row>
    <row r="2" spans="1:8" s="244" customFormat="1" ht="18" customHeight="1">
      <c r="A2" s="245" t="s">
        <v>2309</v>
      </c>
      <c r="B2" s="246">
        <f ca="1">ROUND(IF(D2="——",C52/10000,C52/10000-E2),0)</f>
        <v>62107</v>
      </c>
      <c r="C2" s="243" t="s">
        <v>2310</v>
      </c>
      <c r="D2" s="2547" t="s">
        <v>70</v>
      </c>
      <c r="E2" s="1439" t="e">
        <f ca="1">SUMIF(INDIRECT("'"&amp;G2&amp;"'"&amp;"!A:A"),"承租人权益价值",INDIRECT("'"&amp;G2&amp;"'"&amp;"!c:c"))</f>
        <v>#REF!</v>
      </c>
      <c r="F2" s="2548" t="s">
        <v>2310</v>
      </c>
      <c r="G2" s="2549"/>
    </row>
    <row r="3" spans="1:8" s="244" customFormat="1" ht="18" customHeight="1" thickBot="1">
      <c r="A3" s="247" t="s">
        <v>2311</v>
      </c>
      <c r="B3" s="248">
        <f ca="1">ROUND(B2*10000/(IF(B1="",'数据-汇总表'!E3,INDIRECT("'数据-取费表'!k"&amp;$G$1))),0)</f>
        <v>11092</v>
      </c>
      <c r="C3" s="243" t="s">
        <v>2312</v>
      </c>
      <c r="D3" s="243"/>
      <c r="E3" s="243"/>
      <c r="F3" s="243"/>
      <c r="G3" s="243"/>
    </row>
    <row r="4" spans="1:8" s="252" customFormat="1" ht="15.75">
      <c r="A4" s="249" t="s">
        <v>2313</v>
      </c>
      <c r="B4" s="250"/>
      <c r="C4" s="250"/>
      <c r="D4" s="250"/>
      <c r="E4" s="250"/>
      <c r="F4" s="250"/>
      <c r="G4" s="251"/>
    </row>
    <row r="5" spans="1:8" s="258" customFormat="1" ht="13.5" customHeight="1">
      <c r="A5" s="299" t="s">
        <v>2314</v>
      </c>
      <c r="B5" s="254" t="s">
        <v>2315</v>
      </c>
      <c r="C5" s="255">
        <f ca="1">C6+C7+C8</f>
        <v>10638193</v>
      </c>
      <c r="D5" s="255" t="s">
        <v>2316</v>
      </c>
      <c r="E5" s="256" t="s">
        <v>2317</v>
      </c>
      <c r="F5" s="256" t="s">
        <v>2318</v>
      </c>
      <c r="G5" s="257"/>
    </row>
    <row r="6" spans="1:8" s="258" customFormat="1" ht="13.5" customHeight="1">
      <c r="A6" s="949" t="s">
        <v>2319</v>
      </c>
      <c r="B6" s="259" t="s">
        <v>2320</v>
      </c>
      <c r="C6" s="260"/>
      <c r="D6" s="261"/>
      <c r="E6" s="262"/>
      <c r="F6" s="262"/>
      <c r="G6" s="263"/>
    </row>
    <row r="7" spans="1:8" s="258" customFormat="1" ht="13.5" customHeight="1">
      <c r="A7" s="949" t="s">
        <v>2321</v>
      </c>
      <c r="B7" s="259" t="s">
        <v>2322</v>
      </c>
      <c r="C7" s="264">
        <f>ROUND(C6*F7,0)</f>
        <v>0</v>
      </c>
      <c r="D7" s="264"/>
      <c r="E7" s="262"/>
      <c r="F7" s="265">
        <f>'数据-取费表'!B48+'数据-取费表'!B49</f>
        <v>3.0499999999999999E-2</v>
      </c>
      <c r="G7" s="263"/>
    </row>
    <row r="8" spans="1:8" s="267" customFormat="1">
      <c r="A8" s="949" t="s">
        <v>2323</v>
      </c>
      <c r="B8" s="259" t="s">
        <v>2324</v>
      </c>
      <c r="C8" s="264">
        <f ca="1">IF(G8="已包含在土地购买价格中",0,C9+C10)</f>
        <v>10638193</v>
      </c>
      <c r="D8" s="266"/>
      <c r="E8" s="264"/>
      <c r="F8" s="265"/>
      <c r="G8" s="2550"/>
    </row>
    <row r="9" spans="1:8" s="258" customFormat="1" ht="13.5" customHeight="1">
      <c r="A9" s="950" t="s">
        <v>800</v>
      </c>
      <c r="B9" s="268" t="s">
        <v>2325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2327</v>
      </c>
      <c r="C10" s="269">
        <f ca="1">ROUND(D10*E10,0)</f>
        <v>10638193</v>
      </c>
      <c r="D10" s="1032">
        <f ca="1">IF(B1="",'数据-汇总表'!E6,IF(INDIRECT("'数据-取费表'!c"&amp;$G$1)="住宅",INDIRECT("'数据-取费表'!s"&amp;$G$1),INDIRECT("'数据-取费表'!k"&amp;$G$1)+INDIRECT("'数据-取费表'!s"&amp;$G$1)))</f>
        <v>55990.490000000005</v>
      </c>
      <c r="E10" s="269">
        <f>'数据-取费表'!B28</f>
        <v>190</v>
      </c>
      <c r="F10" s="265"/>
      <c r="G10" s="270"/>
    </row>
    <row r="11" spans="1:8" s="258" customFormat="1" ht="13.5" hidden="1" customHeight="1">
      <c r="A11" s="271" t="s">
        <v>7</v>
      </c>
      <c r="B11" s="259" t="s">
        <v>2328</v>
      </c>
      <c r="C11" s="255"/>
      <c r="D11" s="1034"/>
      <c r="E11" s="262"/>
      <c r="F11" s="262"/>
      <c r="G11" s="263"/>
    </row>
    <row r="12" spans="1:8" s="258" customFormat="1" ht="13.5" hidden="1" customHeight="1">
      <c r="A12" s="271" t="s">
        <v>8</v>
      </c>
      <c r="B12" s="259" t="s">
        <v>2411</v>
      </c>
      <c r="C12" s="255">
        <v>0</v>
      </c>
      <c r="D12" s="1034"/>
      <c r="E12" s="272"/>
      <c r="F12" s="265">
        <v>3.0499999999999999E-2</v>
      </c>
      <c r="G12" s="263"/>
    </row>
    <row r="13" spans="1:8" s="258" customFormat="1" ht="13.5" hidden="1" customHeight="1">
      <c r="A13" s="271" t="s">
        <v>9</v>
      </c>
      <c r="B13" s="259" t="s">
        <v>2412</v>
      </c>
      <c r="C13" s="255"/>
      <c r="D13" s="1034"/>
      <c r="E13" s="262"/>
      <c r="F13" s="262"/>
      <c r="G13" s="263"/>
    </row>
    <row r="14" spans="1:8" s="258" customFormat="1" ht="13.5" hidden="1" customHeight="1">
      <c r="A14" s="271" t="s">
        <v>10</v>
      </c>
      <c r="B14" s="259" t="s">
        <v>2324</v>
      </c>
      <c r="C14" s="255"/>
      <c r="D14" s="1034"/>
      <c r="E14" s="262"/>
      <c r="F14" s="262"/>
      <c r="G14" s="263" t="s">
        <v>2413</v>
      </c>
    </row>
    <row r="15" spans="1:8" s="258" customFormat="1" ht="13.5" hidden="1" customHeight="1">
      <c r="A15" s="271" t="s">
        <v>11</v>
      </c>
      <c r="B15" s="259" t="s">
        <v>2414</v>
      </c>
      <c r="C15" s="264"/>
      <c r="D15" s="1034"/>
      <c r="E15" s="262"/>
      <c r="F15" s="262"/>
      <c r="G15" s="263" t="s">
        <v>2415</v>
      </c>
    </row>
    <row r="16" spans="1:8" s="258" customFormat="1" ht="13.5" hidden="1" customHeight="1">
      <c r="A16" s="271" t="s">
        <v>12</v>
      </c>
      <c r="B16" s="259" t="s">
        <v>2324</v>
      </c>
      <c r="C16" s="264"/>
      <c r="D16" s="1034"/>
      <c r="E16" s="262"/>
      <c r="F16" s="262"/>
      <c r="G16" s="263"/>
    </row>
    <row r="17" spans="1:7" s="258" customFormat="1" ht="13.5" hidden="1" customHeight="1">
      <c r="A17" s="271" t="s">
        <v>13</v>
      </c>
      <c r="B17" s="259" t="s">
        <v>2416</v>
      </c>
      <c r="C17" s="273"/>
      <c r="D17" s="1035"/>
      <c r="E17" s="273"/>
      <c r="F17" s="273"/>
      <c r="G17" s="263" t="s">
        <v>2415</v>
      </c>
    </row>
    <row r="18" spans="1:7" s="258" customFormat="1" ht="13.5" hidden="1" customHeight="1">
      <c r="A18" s="271" t="s">
        <v>14</v>
      </c>
      <c r="B18" s="259" t="s">
        <v>2417</v>
      </c>
      <c r="C18" s="264">
        <v>0</v>
      </c>
      <c r="D18" s="1034"/>
      <c r="E18" s="262"/>
      <c r="F18" s="265">
        <v>3.0499999999999999E-2</v>
      </c>
      <c r="G18" s="263" t="s">
        <v>2418</v>
      </c>
    </row>
    <row r="19" spans="1:7" s="267" customFormat="1" ht="13.5" customHeight="1">
      <c r="A19" s="299" t="s">
        <v>2419</v>
      </c>
      <c r="B19" s="254" t="s">
        <v>2420</v>
      </c>
      <c r="C19" s="255">
        <f ca="1">IF(G19="已包含在土地取得成本中","0",ROUND(D19*E19,0))</f>
        <v>11198098</v>
      </c>
      <c r="D19" s="1036">
        <f ca="1">D9+D10</f>
        <v>55990.490000000005</v>
      </c>
      <c r="E19" s="255">
        <f>'数据-取费表'!B31</f>
        <v>200</v>
      </c>
      <c r="F19" s="275"/>
      <c r="G19" s="2550"/>
    </row>
    <row r="20" spans="1:7" s="258" customFormat="1" ht="13.5" customHeight="1">
      <c r="A20" s="299" t="s">
        <v>2421</v>
      </c>
      <c r="B20" s="254" t="s">
        <v>2422</v>
      </c>
      <c r="C20" s="276">
        <f ca="1">ROUND((C5+C19)*F20,0)</f>
        <v>545907</v>
      </c>
      <c r="D20" s="276"/>
      <c r="E20" s="276"/>
      <c r="F20" s="277">
        <f>'数据-取费表'!B37</f>
        <v>2.5000000000000001E-2</v>
      </c>
      <c r="G20" s="278" t="s">
        <v>2423</v>
      </c>
    </row>
    <row r="21" spans="1:7" s="258" customFormat="1" ht="13.5" customHeight="1">
      <c r="A21" s="299" t="s">
        <v>2424</v>
      </c>
      <c r="B21" s="254" t="s">
        <v>2425</v>
      </c>
      <c r="C21" s="279">
        <f>F21</f>
        <v>2.5000000000000001E-2</v>
      </c>
      <c r="D21" s="280" t="s">
        <v>2426</v>
      </c>
      <c r="E21" s="276"/>
      <c r="F21" s="277">
        <f>'数据-取费表'!B38</f>
        <v>2.5000000000000001E-2</v>
      </c>
      <c r="G21" s="278" t="s">
        <v>2427</v>
      </c>
    </row>
    <row r="22" spans="1:7" s="258" customFormat="1" ht="13.5" customHeight="1">
      <c r="A22" s="299" t="s">
        <v>2428</v>
      </c>
      <c r="B22" s="254" t="s">
        <v>2429</v>
      </c>
      <c r="C22" s="1379">
        <f ca="1">ROUND(SUM(C23:C25),0)</f>
        <v>2718767</v>
      </c>
      <c r="D22" s="279">
        <f ca="1">C26</f>
        <v>1.5E-3</v>
      </c>
      <c r="E22" s="280" t="s">
        <v>2426</v>
      </c>
      <c r="F22" s="281">
        <f ca="1">'数据-取费表'!B40</f>
        <v>4.7500000000000001E-2</v>
      </c>
      <c r="G22" s="278" t="str">
        <f>IF('数据-取费表'!B22&lt;=1,"单利计息","复利计息")</f>
        <v>复利计息</v>
      </c>
    </row>
    <row r="23" spans="1:7" s="258" customFormat="1" ht="13.5" customHeight="1">
      <c r="A23" s="951" t="s">
        <v>2319</v>
      </c>
      <c r="B23" s="259" t="s">
        <v>2430</v>
      </c>
      <c r="C23" s="1380">
        <f ca="1">ROUND(IF('数据-取费表'!B22&lt;=1,C5*F22*'数据-取费表'!B22,C5*(POWER((1+F22),'数据-取费表'!B22)-1)),0)</f>
        <v>1308644</v>
      </c>
      <c r="D23" s="282"/>
      <c r="E23" s="282"/>
      <c r="F23" s="283"/>
      <c r="G23" s="284" t="s">
        <v>2431</v>
      </c>
    </row>
    <row r="24" spans="1:7" s="258" customFormat="1" ht="13.5" customHeight="1">
      <c r="A24" s="951" t="s">
        <v>2321</v>
      </c>
      <c r="B24" s="259" t="s">
        <v>2432</v>
      </c>
      <c r="C24" s="1380">
        <f ca="1">ROUND(IF('数据-取费表'!B22&lt;=1,C19*F22*('数据-取费表'!B19/2+'数据-取费表'!B20),C19*(POWER((1+F22),('数据-取费表'!B19/2+'数据-取费表'!B20))-1)),0)</f>
        <v>1377520</v>
      </c>
      <c r="D24" s="282"/>
      <c r="E24" s="282"/>
      <c r="F24" s="283"/>
      <c r="G24" s="284" t="s">
        <v>2433</v>
      </c>
    </row>
    <row r="25" spans="1:7" s="258" customFormat="1" ht="24">
      <c r="A25" s="951" t="s">
        <v>2323</v>
      </c>
      <c r="B25" s="259" t="s">
        <v>2434</v>
      </c>
      <c r="C25" s="1380">
        <f ca="1">ROUND(IF('数据-取费表'!B22&lt;=1,C20*F22*'数据-取费表'!B22/2,C20*(POWER((1+F22),'数据-取费表'!B22/2)-1)),0)</f>
        <v>32603</v>
      </c>
      <c r="D25" s="282"/>
      <c r="E25" s="285"/>
      <c r="F25" s="283"/>
      <c r="G25" s="286" t="s">
        <v>2435</v>
      </c>
    </row>
    <row r="26" spans="1:7" s="258" customFormat="1">
      <c r="A26" s="951" t="s">
        <v>795</v>
      </c>
      <c r="B26" s="259" t="s">
        <v>2358</v>
      </c>
      <c r="C26" s="282">
        <f ca="1">ROUND(IF('数据-取费表'!B22&lt;=1,F21*F22*'数据-取费表'!B22/2,F21*(POWER((1+F22),'数据-取费表'!B22/2)-1)),4)</f>
        <v>1.5E-3</v>
      </c>
      <c r="D26" s="282"/>
      <c r="E26" s="285"/>
      <c r="F26" s="283"/>
      <c r="G26" s="287"/>
    </row>
    <row r="27" spans="1:7" s="258" customFormat="1" ht="24.75">
      <c r="A27" s="299" t="s">
        <v>2359</v>
      </c>
      <c r="B27" s="288" t="s">
        <v>2360</v>
      </c>
      <c r="C27" s="289">
        <f ca="1">C28</f>
        <v>5595550</v>
      </c>
      <c r="D27" s="279">
        <f ca="1">C29</f>
        <v>6.3E-3</v>
      </c>
      <c r="E27" s="280" t="s">
        <v>2361</v>
      </c>
      <c r="F27" s="290">
        <f ca="1">IF(B1="",'数据-取费表'!Q16,INDIRECT("'数据-取费表'!q"&amp;$G$1))</f>
        <v>0.25</v>
      </c>
      <c r="G27" s="291" t="s">
        <v>2362</v>
      </c>
    </row>
    <row r="28" spans="1:7" s="258" customFormat="1" ht="13.5" customHeight="1">
      <c r="A28" s="951" t="s">
        <v>791</v>
      </c>
      <c r="B28" s="292" t="s">
        <v>2363</v>
      </c>
      <c r="C28" s="293">
        <f ca="1">ROUND((C5+C19+C20)*F27,0)</f>
        <v>5595550</v>
      </c>
      <c r="D28" s="279"/>
      <c r="E28" s="280"/>
      <c r="F28" s="290"/>
      <c r="G28" s="291"/>
    </row>
    <row r="29" spans="1:7" s="258" customFormat="1" ht="13.5" customHeight="1">
      <c r="A29" s="951" t="s">
        <v>792</v>
      </c>
      <c r="B29" s="292" t="s">
        <v>2364</v>
      </c>
      <c r="C29" s="282">
        <f ca="1">ROUND(C21*F27,4)</f>
        <v>6.3E-3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33555438</v>
      </c>
      <c r="D31" s="274"/>
      <c r="E31" s="255"/>
      <c r="F31" s="294"/>
      <c r="G31" s="278" t="s">
        <v>2369</v>
      </c>
    </row>
    <row r="32" spans="1:7" s="252" customFormat="1" ht="15.75">
      <c r="A32" s="296" t="s">
        <v>2436</v>
      </c>
      <c r="B32" s="297"/>
      <c r="C32" s="297"/>
      <c r="D32" s="297"/>
      <c r="E32" s="297"/>
      <c r="F32" s="297"/>
      <c r="G32" s="298"/>
    </row>
    <row r="33" spans="1:7" s="258" customFormat="1" ht="13.5" customHeight="1">
      <c r="A33" s="299" t="s">
        <v>782</v>
      </c>
      <c r="B33" s="254" t="s">
        <v>2437</v>
      </c>
      <c r="C33" s="300">
        <f ca="1">SUM(C34:C38)</f>
        <v>488237073</v>
      </c>
      <c r="D33" s="276"/>
      <c r="E33" s="256"/>
      <c r="F33" s="285"/>
      <c r="G33" s="278"/>
    </row>
    <row r="34" spans="1:7" s="302" customFormat="1" ht="13.5" customHeight="1">
      <c r="A34" s="951" t="s">
        <v>791</v>
      </c>
      <c r="B34" s="259" t="s">
        <v>2372</v>
      </c>
      <c r="C34" s="264">
        <f ca="1">ROUND(IF(B1="",SUMPRODUCT('数据-取费表'!K6:K14,'数据-取费表'!L6:L14),INDIRECT("'数据-取费表'!l"&amp;$G$1)*INDIRECT("'数据-取费表'!k"&amp;$G$1)+'数据-取费表'!L14*INDIRECT("'数据-取费表'!S"&amp;$G$1)),0)</f>
        <v>447923920</v>
      </c>
      <c r="D34" s="261"/>
      <c r="E34" s="264"/>
      <c r="F34" s="301"/>
      <c r="G34" s="263"/>
    </row>
    <row r="35" spans="1:7" ht="13.5" customHeight="1">
      <c r="A35" s="951" t="s">
        <v>796</v>
      </c>
      <c r="B35" s="259" t="s">
        <v>2374</v>
      </c>
      <c r="C35" s="264">
        <f ca="1">ROUND(C34*F35,0)</f>
        <v>22396196</v>
      </c>
      <c r="D35" s="264"/>
      <c r="E35" s="264"/>
      <c r="F35" s="303">
        <f>'数据-取费表'!B33</f>
        <v>0.05</v>
      </c>
      <c r="G35" s="263" t="s">
        <v>2375</v>
      </c>
    </row>
    <row r="36" spans="1:7" ht="24">
      <c r="A36" s="951" t="s">
        <v>797</v>
      </c>
      <c r="B36" s="259" t="s">
        <v>2376</v>
      </c>
      <c r="C36" s="264">
        <f ca="1">ROUND(IF(B1="",SUM('数据-取费表'!AP6:AP13)*F36,IF(INDIRECT("'数据-取费表'!c"&amp;$G$1)="住宅",INDIRECT("'数据-取费表'!k"&amp;$G$1)*INDIRECT("'数据-取费表'!l"&amp;$G$1)*F36,0)),0)</f>
        <v>0</v>
      </c>
      <c r="D36" s="264"/>
      <c r="E36" s="264"/>
      <c r="F36" s="303">
        <f>'数据-取费表'!B34</f>
        <v>0</v>
      </c>
      <c r="G36" s="304" t="s">
        <v>2377</v>
      </c>
    </row>
    <row r="37" spans="1:7" s="302" customFormat="1" ht="13.5" customHeight="1">
      <c r="A37" s="951" t="s">
        <v>798</v>
      </c>
      <c r="B37" s="259" t="s">
        <v>2378</v>
      </c>
      <c r="C37" s="293">
        <f ca="1">ROUND(E37*D37,0)</f>
        <v>11198098</v>
      </c>
      <c r="D37" s="261">
        <f ca="1">D19</f>
        <v>55990.490000000005</v>
      </c>
      <c r="E37" s="293">
        <f>'数据-取费表'!B35</f>
        <v>200</v>
      </c>
      <c r="F37" s="303"/>
      <c r="G37" s="305"/>
    </row>
    <row r="38" spans="1:7" ht="13.5" customHeight="1">
      <c r="A38" s="951" t="s">
        <v>799</v>
      </c>
      <c r="B38" s="259" t="s">
        <v>2380</v>
      </c>
      <c r="C38" s="264">
        <f ca="1">ROUND(C34*F38,0)</f>
        <v>6718859</v>
      </c>
      <c r="D38" s="264"/>
      <c r="E38" s="264"/>
      <c r="F38" s="303">
        <f>'数据-取费表'!B36</f>
        <v>1.4999999999999999E-2</v>
      </c>
      <c r="G38" s="263" t="s">
        <v>2375</v>
      </c>
    </row>
    <row r="39" spans="1:7" s="258" customFormat="1" ht="13.5" customHeight="1">
      <c r="A39" s="299" t="s">
        <v>2381</v>
      </c>
      <c r="B39" s="254" t="s">
        <v>2382</v>
      </c>
      <c r="C39" s="276">
        <f ca="1">ROUND(C33*F20,0)</f>
        <v>12205927</v>
      </c>
      <c r="D39" s="276"/>
      <c r="E39" s="276"/>
      <c r="F39" s="277"/>
      <c r="G39" s="278" t="s">
        <v>2383</v>
      </c>
    </row>
    <row r="40" spans="1:7" s="258" customFormat="1" ht="13.5" customHeight="1">
      <c r="A40" s="299" t="s">
        <v>2384</v>
      </c>
      <c r="B40" s="254" t="s">
        <v>2385</v>
      </c>
      <c r="C40" s="1727">
        <f>F21</f>
        <v>2.5000000000000001E-2</v>
      </c>
      <c r="D40" s="280" t="s">
        <v>2386</v>
      </c>
      <c r="E40" s="276"/>
      <c r="F40" s="277"/>
      <c r="G40" s="278" t="s">
        <v>2387</v>
      </c>
    </row>
    <row r="41" spans="1:7" s="258" customFormat="1" ht="13.5" customHeight="1">
      <c r="A41" s="299" t="s">
        <v>2388</v>
      </c>
      <c r="B41" s="254" t="s">
        <v>2389</v>
      </c>
      <c r="C41" s="276">
        <f ca="1">ROUND(SUM(C42:C43),0)</f>
        <v>29888176</v>
      </c>
      <c r="D41" s="279">
        <f ca="1">C44</f>
        <v>1.5E-3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ROUND(IF('数据-取费表'!B22&lt;=1,C33*F22*'数据-取费表'!B20/2,C33*(POWER((1+F22),'数据-取费表'!B20/2)-1)),0)</f>
        <v>29159196</v>
      </c>
      <c r="D42" s="282"/>
      <c r="E42" s="282"/>
      <c r="F42" s="283"/>
      <c r="G42" s="3160" t="s">
        <v>2438</v>
      </c>
    </row>
    <row r="43" spans="1:7" ht="13.5" customHeight="1">
      <c r="A43" s="951" t="s">
        <v>792</v>
      </c>
      <c r="B43" s="259" t="s">
        <v>2392</v>
      </c>
      <c r="C43" s="282">
        <f ca="1">ROUND(IF('数据-取费表'!B22&lt;=1,C39*F22*'数据-取费表'!B20/2,C39*(POWER((1+F22),'数据-取费表'!B20/2)-1)),0)</f>
        <v>728980</v>
      </c>
      <c r="D43" s="282"/>
      <c r="E43" s="282"/>
      <c r="F43" s="283"/>
      <c r="G43" s="3161"/>
    </row>
    <row r="44" spans="1:7" ht="13.5" customHeight="1">
      <c r="A44" s="951" t="s">
        <v>793</v>
      </c>
      <c r="B44" s="259" t="s">
        <v>2393</v>
      </c>
      <c r="C44" s="282">
        <f ca="1">ROUND(IF('数据-取费表'!B22&lt;=1,C40*F22*'数据-取费表'!B20/2,C40*(POWER((1+F22),'数据-取费表'!B20/2)-1)),4)</f>
        <v>1.5E-3</v>
      </c>
      <c r="D44" s="282"/>
      <c r="E44" s="282"/>
      <c r="F44" s="283"/>
      <c r="G44" s="3162"/>
    </row>
    <row r="45" spans="1:7" s="258" customFormat="1" ht="13.5" customHeight="1">
      <c r="A45" s="299" t="s">
        <v>2394</v>
      </c>
      <c r="B45" s="288" t="s">
        <v>2360</v>
      </c>
      <c r="C45" s="289">
        <f ca="1">C46</f>
        <v>125110750</v>
      </c>
      <c r="D45" s="279">
        <f ca="1">C47</f>
        <v>6.3E-3</v>
      </c>
      <c r="E45" s="280" t="s">
        <v>2386</v>
      </c>
      <c r="F45" s="290"/>
      <c r="G45" s="291" t="s">
        <v>2395</v>
      </c>
    </row>
    <row r="46" spans="1:7" s="258" customFormat="1" ht="13.5" customHeight="1">
      <c r="A46" s="951" t="s">
        <v>791</v>
      </c>
      <c r="B46" s="292" t="s">
        <v>2396</v>
      </c>
      <c r="C46" s="293">
        <f ca="1">ROUND((C33+C39)*F27,0)</f>
        <v>125110750</v>
      </c>
      <c r="D46" s="307"/>
      <c r="E46" s="280"/>
      <c r="F46" s="290"/>
      <c r="G46" s="291"/>
    </row>
    <row r="47" spans="1:7" s="258" customFormat="1" ht="13.5" customHeight="1">
      <c r="A47" s="951" t="s">
        <v>792</v>
      </c>
      <c r="B47" s="292" t="s">
        <v>2397</v>
      </c>
      <c r="C47" s="282">
        <f ca="1">ROUND(C40*F27,4)</f>
        <v>6.3E-3</v>
      </c>
      <c r="D47" s="307"/>
      <c r="E47" s="280"/>
      <c r="F47" s="290"/>
      <c r="G47" s="291"/>
    </row>
    <row r="48" spans="1:7" s="258" customFormat="1" ht="13.5" customHeight="1">
      <c r="A48" s="299" t="s">
        <v>2359</v>
      </c>
      <c r="B48" s="254" t="s">
        <v>2398</v>
      </c>
      <c r="C48" s="306">
        <f>ROUND(F30/(1+'数据-取费表'!C42),4)</f>
        <v>5.2400000000000002E-2</v>
      </c>
      <c r="D48" s="280" t="s">
        <v>2386</v>
      </c>
      <c r="E48" s="276"/>
      <c r="F48" s="281"/>
      <c r="G48" s="278" t="s">
        <v>2399</v>
      </c>
    </row>
    <row r="49" spans="1:7" ht="16.5" customHeight="1">
      <c r="A49" s="299" t="s">
        <v>2365</v>
      </c>
      <c r="B49" s="254" t="s">
        <v>2439</v>
      </c>
      <c r="C49" s="276">
        <f ca="1">ROUND((C33+C39+C41+C45)/(1-C40-D41-D45-C48),0)</f>
        <v>716486583</v>
      </c>
      <c r="D49" s="276"/>
      <c r="E49" s="276"/>
      <c r="F49" s="308"/>
      <c r="G49" s="278" t="s">
        <v>2401</v>
      </c>
    </row>
    <row r="50" spans="1:7" s="302" customFormat="1">
      <c r="A50" s="299" t="s">
        <v>2402</v>
      </c>
      <c r="B50" s="254" t="s">
        <v>2403</v>
      </c>
      <c r="C50" s="276"/>
      <c r="D50" s="276"/>
      <c r="E50" s="276"/>
      <c r="F50" s="308">
        <f>IF('数据-取费表'!B24=0,'数据-取费表'!N16,1)</f>
        <v>0.82</v>
      </c>
      <c r="G50" s="291"/>
    </row>
    <row r="51" spans="1:7" ht="16.5" customHeight="1">
      <c r="A51" s="299" t="s">
        <v>2405</v>
      </c>
      <c r="B51" s="254" t="s">
        <v>2440</v>
      </c>
      <c r="C51" s="276">
        <f ca="1">ROUND(C49*F50,0)</f>
        <v>587518998</v>
      </c>
      <c r="D51" s="276"/>
      <c r="E51" s="276"/>
      <c r="F51" s="308"/>
      <c r="G51" s="278" t="s">
        <v>2407</v>
      </c>
    </row>
    <row r="52" spans="1:7" s="252" customFormat="1" ht="16.5" thickBot="1">
      <c r="A52" s="309" t="s">
        <v>2408</v>
      </c>
      <c r="B52" s="310"/>
      <c r="C52" s="311">
        <f ca="1">C31+C51</f>
        <v>621074436</v>
      </c>
      <c r="D52" s="310"/>
      <c r="E52" s="310"/>
      <c r="F52" s="310"/>
      <c r="G52" s="312"/>
    </row>
    <row r="55" spans="1:7" ht="15">
      <c r="B55" s="314" t="s">
        <v>2409</v>
      </c>
      <c r="C55" s="315"/>
    </row>
    <row r="56" spans="1:7">
      <c r="B56" s="317" t="s">
        <v>1499</v>
      </c>
      <c r="C56" s="319">
        <f ca="1">1-C57</f>
        <v>5.4000000000000048E-2</v>
      </c>
    </row>
    <row r="57" spans="1:7">
      <c r="B57" s="317" t="s">
        <v>1500</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2441</v>
      </c>
      <c r="B1" s="1580"/>
      <c r="C1" s="1581"/>
      <c r="D1" s="1579"/>
      <c r="E1" s="320"/>
      <c r="F1" s="320"/>
      <c r="G1" s="1580"/>
      <c r="H1" s="320"/>
      <c r="I1" s="320"/>
      <c r="J1" s="320"/>
      <c r="K1" s="320">
        <f>MATCH(C1,'数据-取费表'!A6:A16,0)+5</f>
        <v>7</v>
      </c>
    </row>
    <row r="2" spans="1:33" ht="18" customHeight="1">
      <c r="A2" s="245" t="s">
        <v>2309</v>
      </c>
      <c r="B2" s="248">
        <f ca="1">C32</f>
        <v>0</v>
      </c>
      <c r="C2" s="320" t="s">
        <v>2442</v>
      </c>
      <c r="D2" s="320"/>
      <c r="E2" s="320"/>
      <c r="F2" s="320"/>
      <c r="G2" s="320"/>
      <c r="H2" s="320"/>
      <c r="I2" s="320"/>
      <c r="J2" s="320"/>
      <c r="K2" s="320"/>
    </row>
    <row r="3" spans="1:33" ht="18" customHeight="1" thickBot="1">
      <c r="A3" s="247" t="s">
        <v>2311</v>
      </c>
      <c r="B3" s="248">
        <f ca="1">ROUND(B2*10000/IF(C1="",'数据-汇总表'!E3,INDIRECT("'数据-取费表'!K"&amp;$K$1)),0)</f>
        <v>0</v>
      </c>
      <c r="C3" s="320" t="s">
        <v>2443</v>
      </c>
      <c r="D3" s="320"/>
      <c r="E3" s="320"/>
      <c r="F3" s="320"/>
      <c r="G3" s="320"/>
      <c r="H3" s="320"/>
      <c r="I3" s="320"/>
      <c r="J3" s="320"/>
      <c r="K3" s="320"/>
    </row>
    <row r="4" spans="1:33" s="956" customFormat="1" ht="16.5" customHeight="1">
      <c r="A4" s="953" t="s">
        <v>2444</v>
      </c>
      <c r="B4" s="954"/>
      <c r="C4" s="996">
        <f>SUM(C8:K8)</f>
        <v>0</v>
      </c>
      <c r="D4" s="954"/>
      <c r="E4" s="954"/>
      <c r="F4" s="954"/>
      <c r="G4" s="954"/>
      <c r="H4" s="954"/>
      <c r="I4" s="954"/>
      <c r="J4" s="954"/>
      <c r="K4" s="955"/>
    </row>
    <row r="5" spans="1:33" s="960" customFormat="1" ht="24.75">
      <c r="A5" s="957" t="s">
        <v>2445</v>
      </c>
      <c r="B5" s="958" t="s">
        <v>2446</v>
      </c>
      <c r="C5" s="2554" t="s">
        <v>2447</v>
      </c>
      <c r="D5" s="2554" t="s">
        <v>2448</v>
      </c>
      <c r="E5" s="2554" t="s">
        <v>2449</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2453</v>
      </c>
      <c r="B8" s="177" t="s">
        <v>2454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2455</v>
      </c>
      <c r="B9" s="954"/>
      <c r="C9" s="954"/>
      <c r="D9" s="954"/>
      <c r="E9" s="954"/>
      <c r="F9" s="954"/>
      <c r="G9" s="954"/>
      <c r="H9" s="954"/>
      <c r="I9" s="954"/>
      <c r="J9" s="954"/>
      <c r="K9" s="955"/>
    </row>
    <row r="10" spans="1:33" s="970" customFormat="1" ht="13.5" customHeight="1">
      <c r="A10" s="957" t="s">
        <v>2456</v>
      </c>
      <c r="B10" s="8" t="s">
        <v>2457</v>
      </c>
      <c r="C10" s="966" t="s">
        <v>2458</v>
      </c>
      <c r="D10" s="967" t="s">
        <v>2459</v>
      </c>
      <c r="E10" s="967" t="s">
        <v>2460</v>
      </c>
      <c r="F10" s="967" t="s">
        <v>2461</v>
      </c>
      <c r="G10" s="8"/>
      <c r="H10" s="968"/>
      <c r="I10" s="968"/>
      <c r="J10" s="968"/>
      <c r="K10" s="969"/>
    </row>
    <row r="11" spans="1:33" s="975" customFormat="1" ht="13.5" customHeight="1">
      <c r="A11" s="971" t="s">
        <v>1320</v>
      </c>
      <c r="B11" s="972" t="s">
        <v>2462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1321</v>
      </c>
      <c r="B12" s="972" t="s">
        <v>2463</v>
      </c>
      <c r="C12" s="24">
        <f ca="1">ROUND(C11*F12,0)</f>
        <v>0</v>
      </c>
      <c r="D12" s="973"/>
      <c r="E12" s="375"/>
      <c r="F12" s="976">
        <f>'数据-取费表'!B33</f>
        <v>0.05</v>
      </c>
      <c r="G12" s="8" t="s">
        <v>2464</v>
      </c>
      <c r="H12" s="968"/>
      <c r="I12" s="968"/>
      <c r="J12" s="968"/>
      <c r="K12" s="969"/>
    </row>
    <row r="13" spans="1:33" s="975" customFormat="1" ht="13.5" customHeight="1">
      <c r="A13" s="971" t="s">
        <v>1322</v>
      </c>
      <c r="B13" s="972" t="s">
        <v>2465</v>
      </c>
      <c r="C13" s="24">
        <f ca="1">ROUND(IF(C1="",SUMIF('数据-取费表'!C:C,"住宅",'数据-取费表'!P:P)*F13,IF(INDIRECT("'数据-取费表'!c"&amp;$K$1)="住宅",INDIRECT("'数据-取费表'!P"&amp;$K$1)*F13,0)),0)</f>
        <v>0</v>
      </c>
      <c r="D13" s="1033"/>
      <c r="E13" s="375"/>
      <c r="F13" s="976">
        <f>'数据-取费表'!B34</f>
        <v>0</v>
      </c>
      <c r="G13" s="8" t="s">
        <v>2466</v>
      </c>
      <c r="H13" s="968"/>
      <c r="I13" s="968"/>
      <c r="J13" s="968"/>
      <c r="K13" s="969"/>
    </row>
    <row r="14" spans="1:33" s="977" customFormat="1" ht="13.5" customHeight="1">
      <c r="A14" s="971" t="s">
        <v>1323</v>
      </c>
      <c r="B14" s="972" t="s">
        <v>2467</v>
      </c>
      <c r="C14" s="24">
        <f ca="1">ROUND(D14*E14*F11/10000,0)</f>
        <v>0</v>
      </c>
      <c r="D14" s="1033">
        <f ca="1">IF(C1="",'数据-汇总表'!E3,INDIRECT("'数据-取费表'!K"&amp;$K$1)+INDIRECT("'数据-取费表'!S"&amp;$K$1))</f>
        <v>55990.490000000005</v>
      </c>
      <c r="E14" s="24">
        <f>'数据-取费表'!B35</f>
        <v>200</v>
      </c>
      <c r="F14" s="976"/>
      <c r="G14" s="8" t="s">
        <v>2468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1324</v>
      </c>
      <c r="B15" s="972" t="s">
        <v>2469</v>
      </c>
      <c r="C15" s="983">
        <f ca="1">ROUND(C11*F15,0)</f>
        <v>0</v>
      </c>
      <c r="D15" s="978"/>
      <c r="E15" s="983"/>
      <c r="F15" s="984">
        <f>'数据-取费表'!B36</f>
        <v>1.4999999999999999E-2</v>
      </c>
      <c r="G15" s="140" t="s">
        <v>2470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2472</v>
      </c>
      <c r="C17" s="24">
        <f ca="1">ROUND(D17*E17/10000,0)</f>
        <v>0</v>
      </c>
      <c r="D17" s="1033">
        <f ca="1">D14</f>
        <v>55990.490000000005</v>
      </c>
      <c r="E17" s="24">
        <f>'数据-取费表'!B32</f>
        <v>0</v>
      </c>
      <c r="F17" s="978"/>
      <c r="G17" s="140" t="s">
        <v>2473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1325</v>
      </c>
      <c r="B18" s="972" t="s">
        <v>2474</v>
      </c>
      <c r="C18" s="24">
        <f ca="1">C19+C20-IF(C1="",'数据-取费表'!B29,IF(G18="已全部缴纳",C19+C20,H18))</f>
        <v>0</v>
      </c>
      <c r="D18" s="1033"/>
      <c r="E18" s="24"/>
      <c r="F18" s="976"/>
      <c r="G18" s="2556"/>
      <c r="H18" s="1576"/>
      <c r="I18" s="2557" t="s">
        <v>2475</v>
      </c>
      <c r="J18" s="979"/>
      <c r="K18" s="980"/>
    </row>
    <row r="19" spans="1:33" s="975" customFormat="1" ht="13.5" customHeight="1">
      <c r="A19" s="971" t="s">
        <v>805</v>
      </c>
      <c r="B19" s="972" t="s">
        <v>2476</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2477</v>
      </c>
      <c r="C20" s="24">
        <f ca="1">ROUND(D20*E20/10000,0)</f>
        <v>1064</v>
      </c>
      <c r="D20" s="1033">
        <f ca="1">IF(C1="",'数据-汇总表'!E6,IF(INDIRECT("'数据-取费表'!c"&amp;$K$1)="住宅",INDIRECT("'数据-取费表'!s"&amp;$K$1),INDIRECT("'数据-取费表'!k"&amp;$K$1)+INDIRECT("'数据-取费表'!s"&amp;$K$1)))</f>
        <v>55990.490000000005</v>
      </c>
      <c r="E20" s="24">
        <f>'数据-取费表'!B28</f>
        <v>190</v>
      </c>
      <c r="F20" s="976"/>
      <c r="G20" s="15"/>
      <c r="H20" s="981"/>
      <c r="I20" s="981"/>
      <c r="J20" s="981"/>
      <c r="K20" s="982"/>
    </row>
    <row r="21" spans="1:33" s="975" customFormat="1" ht="13.5" customHeight="1">
      <c r="A21" s="961" t="s">
        <v>802</v>
      </c>
      <c r="B21" s="985" t="s">
        <v>2478</v>
      </c>
      <c r="C21" s="986">
        <f ca="1">C16+C17+C18</f>
        <v>0</v>
      </c>
      <c r="D21" s="987"/>
      <c r="E21" s="325"/>
      <c r="F21" s="325"/>
      <c r="G21" s="140" t="s">
        <v>2479</v>
      </c>
      <c r="H21" s="979"/>
      <c r="I21" s="979"/>
      <c r="J21" s="979"/>
      <c r="K21" s="980"/>
    </row>
    <row r="22" spans="1:33" s="975" customFormat="1" ht="13.5" customHeight="1">
      <c r="A22" s="961" t="s">
        <v>2451</v>
      </c>
      <c r="B22" s="985" t="s">
        <v>2480</v>
      </c>
      <c r="C22" s="986">
        <f ca="1">ROUND(C21*F22,0)</f>
        <v>0</v>
      </c>
      <c r="D22" s="325"/>
      <c r="E22" s="325"/>
      <c r="F22" s="988">
        <f>'数据-取费表'!B37</f>
        <v>2.5000000000000001E-2</v>
      </c>
      <c r="G22" s="8" t="s">
        <v>2481</v>
      </c>
      <c r="H22" s="968"/>
      <c r="I22" s="968"/>
      <c r="J22" s="968"/>
      <c r="K22" s="969"/>
    </row>
    <row r="23" spans="1:33" s="975" customFormat="1" ht="13.5" customHeight="1">
      <c r="A23" s="961" t="s">
        <v>2453</v>
      </c>
      <c r="B23" s="985" t="s">
        <v>2482</v>
      </c>
      <c r="C23" s="986">
        <f ca="1">ROUND(C4*F23*F11,0)</f>
        <v>0</v>
      </c>
      <c r="D23" s="325"/>
      <c r="E23" s="325"/>
      <c r="F23" s="988">
        <f>'数据-取费表'!B38</f>
        <v>2.5000000000000001E-2</v>
      </c>
      <c r="G23" s="8" t="s">
        <v>2483</v>
      </c>
      <c r="H23" s="968"/>
      <c r="I23" s="968"/>
      <c r="J23" s="968"/>
      <c r="K23" s="969"/>
    </row>
    <row r="24" spans="1:33" s="975" customFormat="1" ht="13.5" customHeight="1">
      <c r="A24" s="961" t="s">
        <v>2484</v>
      </c>
      <c r="B24" s="985" t="s">
        <v>2485</v>
      </c>
      <c r="C24" s="324">
        <f>ROUND(F24/(1+'数据-取费表'!C42),4)</f>
        <v>2.9000000000000001E-2</v>
      </c>
      <c r="D24" s="325" t="s">
        <v>15</v>
      </c>
      <c r="E24" s="325"/>
      <c r="F24" s="988">
        <f>'数据-取费表'!B48+'数据-取费表'!B49</f>
        <v>3.0499999999999999E-2</v>
      </c>
      <c r="G24" s="8" t="s">
        <v>2486</v>
      </c>
      <c r="H24" s="990"/>
      <c r="I24" s="990"/>
      <c r="J24" s="990"/>
      <c r="K24" s="991"/>
    </row>
    <row r="25" spans="1:33" s="975" customFormat="1" ht="13.5" customHeight="1">
      <c r="A25" s="961" t="s">
        <v>2487</v>
      </c>
      <c r="B25" s="987" t="s">
        <v>2488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2489</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2490</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2491</v>
      </c>
      <c r="B28" s="2559" t="s">
        <v>2492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2493</v>
      </c>
      <c r="C29" s="328">
        <f ca="1">ROUND((1+C24)*F28*'数据-取费表'!B24/'数据-取费表'!B20,4)</f>
        <v>0</v>
      </c>
      <c r="D29" s="328"/>
      <c r="E29" s="329"/>
      <c r="F29" s="334"/>
      <c r="G29" s="140" t="s">
        <v>2494</v>
      </c>
      <c r="H29" s="979"/>
      <c r="I29" s="979"/>
      <c r="J29" s="979"/>
      <c r="K29" s="980"/>
    </row>
    <row r="30" spans="1:33" s="335" customFormat="1" ht="13.5" customHeight="1">
      <c r="A30" s="971" t="s">
        <v>804</v>
      </c>
      <c r="B30" s="994" t="s">
        <v>2495</v>
      </c>
      <c r="C30" s="336">
        <f ca="1">ROUND((C21+C22+C23)*F28,0)</f>
        <v>0</v>
      </c>
      <c r="D30" s="328"/>
      <c r="E30" s="329"/>
      <c r="F30" s="334"/>
      <c r="G30" s="140"/>
      <c r="H30" s="979"/>
      <c r="I30" s="979"/>
      <c r="J30" s="979"/>
      <c r="K30" s="980"/>
    </row>
    <row r="31" spans="1:33" s="975" customFormat="1" ht="13.5" customHeight="1" thickBot="1">
      <c r="A31" s="2560" t="s">
        <v>2496</v>
      </c>
      <c r="B31" s="1005" t="s">
        <v>2497</v>
      </c>
      <c r="C31" s="1006">
        <f>ROUND(C4*F31/(1+'数据-取费表'!C42),0)</f>
        <v>0</v>
      </c>
      <c r="D31" s="1007"/>
      <c r="E31" s="1008"/>
      <c r="F31" s="1009">
        <f>'数据-取费表'!B41</f>
        <v>5.5000000000000007E-2</v>
      </c>
      <c r="G31" s="1010" t="s">
        <v>2498</v>
      </c>
      <c r="H31" s="1011"/>
      <c r="I31" s="1011"/>
      <c r="J31" s="1011"/>
      <c r="K31" s="1012"/>
    </row>
    <row r="32" spans="1:33" s="970" customFormat="1" ht="13.5" customHeight="1" thickBot="1">
      <c r="A32" s="1000" t="s">
        <v>2499</v>
      </c>
      <c r="B32" s="1001"/>
      <c r="C32" s="1002">
        <f ca="1">ROUND((C4-C21-C22-C23-C25-C28-C31)/(1+C24+D25+D28),0)</f>
        <v>0</v>
      </c>
      <c r="D32" s="1001"/>
      <c r="E32" s="1001"/>
      <c r="F32" s="1001"/>
      <c r="G32" s="1003" t="s">
        <v>2500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29" sqref="E29:E34"/>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2786</v>
      </c>
      <c r="B1" s="241"/>
      <c r="C1" s="245" t="s">
        <v>2787</v>
      </c>
      <c r="D1" s="388">
        <f>SUM(D29:D30,D33:D39)</f>
        <v>55990.490000000005</v>
      </c>
      <c r="E1" s="2717"/>
      <c r="F1" s="2717"/>
      <c r="G1" s="2717"/>
      <c r="H1" s="2717"/>
      <c r="I1" s="2717"/>
      <c r="J1" s="2717"/>
      <c r="K1" s="1369"/>
      <c r="L1" s="2718" t="s">
        <v>2788</v>
      </c>
      <c r="M1" s="1080">
        <f>SUMPRODUCT((区片价!B5:B9=I2)*(区片价!C3:F3=E2)*(区片价!C5:F9))</f>
        <v>0</v>
      </c>
      <c r="N1" s="1083">
        <f>SUMPRODUCT((因素修正幅度!B5:B9=I2)*(因素修正幅度!C3:F3=E2)*(因素修正幅度!C5:F9))</f>
        <v>0</v>
      </c>
      <c r="O1" s="2719"/>
      <c r="P1" s="2719"/>
      <c r="Q1" s="1369"/>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75">
      <c r="A2" s="245" t="s">
        <v>2794</v>
      </c>
      <c r="B2" s="248">
        <f ca="1">C26</f>
        <v>46789</v>
      </c>
      <c r="C2" s="2721" t="s">
        <v>2795</v>
      </c>
      <c r="D2" s="2722" t="s">
        <v>2796</v>
      </c>
      <c r="E2" s="2723" t="s">
        <v>1363</v>
      </c>
      <c r="F2" s="2722" t="s">
        <v>2797</v>
      </c>
      <c r="G2" s="2724" t="str">
        <f>IF(E2="商业",项目基本情况!B37,IF(E2="办公",项目基本情况!C37,IF(E2="住宅",项目基本情况!D37,项目基本情况!E37)))</f>
        <v>六级</v>
      </c>
      <c r="H2" s="2722" t="s">
        <v>2798</v>
      </c>
      <c r="I2" s="2724" t="str">
        <f>IF(E2="商业",项目基本情况!B38,IF(E2="办公",项目基本情况!C38,IF(E2="住宅",项目基本情况!D38,项目基本情况!E38)))</f>
        <v>Ⅵ-亦1</v>
      </c>
      <c r="J2" s="2725"/>
      <c r="K2" s="1369"/>
      <c r="L2" s="2726" t="s">
        <v>2799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18225</v>
      </c>
      <c r="U2" s="1602"/>
      <c r="V2" s="1601">
        <f ca="1">ROUND(T2*U2/10000,0)</f>
        <v>0</v>
      </c>
      <c r="W2" s="1605"/>
      <c r="X2" s="1605"/>
      <c r="Y2" s="1605"/>
      <c r="Z2" s="1605"/>
      <c r="AA2" s="1605"/>
      <c r="AB2" s="1605"/>
      <c r="AC2" s="1606"/>
      <c r="AD2" s="1607"/>
      <c r="AE2" s="1607"/>
      <c r="AF2" s="1607"/>
      <c r="AG2" s="1607"/>
      <c r="AH2" s="1607"/>
      <c r="AI2" s="1607"/>
      <c r="AJ2" s="1608"/>
    </row>
    <row r="3" spans="1:36" ht="15.75">
      <c r="A3" s="247" t="s">
        <v>2800</v>
      </c>
      <c r="B3" s="248">
        <f ca="1">ROUND(B2*10000/D1,0)</f>
        <v>8357</v>
      </c>
      <c r="C3" s="2721" t="s">
        <v>2801</v>
      </c>
      <c r="D3" s="2722" t="s">
        <v>2802</v>
      </c>
      <c r="E3" s="2727" t="s">
        <v>3126</v>
      </c>
      <c r="F3" s="2728" t="s">
        <v>2803</v>
      </c>
      <c r="G3" s="916">
        <f>IF(F3="宗地容积率",'数据-汇总表'!I4,IF(F3="估价对象容积率",'数据-汇总表'!I6,'数据-汇总表'!I7))</f>
        <v>3.53</v>
      </c>
      <c r="H3" s="198" t="s">
        <v>2804</v>
      </c>
      <c r="I3" s="944"/>
      <c r="J3" s="2725" t="s">
        <v>2805</v>
      </c>
      <c r="K3" s="1369"/>
      <c r="L3" s="2726" t="s">
        <v>2806</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13082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6"/>
      <c r="B4" s="3167"/>
      <c r="C4" s="3167"/>
      <c r="D4" s="3168"/>
      <c r="E4" s="3168"/>
      <c r="F4" s="3168"/>
      <c r="G4" s="3168"/>
      <c r="H4" s="3168"/>
      <c r="I4" s="3168"/>
      <c r="J4" s="3169"/>
      <c r="K4" s="1369"/>
      <c r="L4" s="2726" t="s">
        <v>2807</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10554</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2808</v>
      </c>
      <c r="C5" s="917">
        <f>ROUND(IF(E2="商业",C6*C7+C16,(IF(E2="住宅",C6*C12+C16,C6+C16))),0)</f>
        <v>9800</v>
      </c>
      <c r="D5" s="1786">
        <f>ROUND(IF(F17="增加",C6+C16,C6-C16),0)</f>
        <v>9840</v>
      </c>
      <c r="E5" s="1786"/>
      <c r="F5" s="2731"/>
      <c r="G5" s="2732"/>
      <c r="H5" s="2732"/>
      <c r="I5" s="2732"/>
      <c r="J5" s="2733"/>
      <c r="K5" s="2734"/>
      <c r="L5" s="2726" t="s">
        <v>2809</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8468</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2810</v>
      </c>
      <c r="B6" s="2740" t="s">
        <v>2811</v>
      </c>
      <c r="C6" s="918">
        <f>SUMIF(L1:L12,G2,M1:M12)</f>
        <v>9820</v>
      </c>
      <c r="D6" s="2741" t="s">
        <v>2812</v>
      </c>
      <c r="E6" s="2742"/>
      <c r="F6" s="2742"/>
      <c r="G6" s="2743"/>
      <c r="H6" s="2743"/>
      <c r="I6" s="2743"/>
      <c r="J6" s="2744"/>
      <c r="K6" s="1841"/>
      <c r="L6" s="2726" t="s">
        <v>2813</v>
      </c>
      <c r="M6" s="1081">
        <f>SUMPRODUCT((区片价!B110:B157=I2)*(区片价!C3:F3=E2)*(区片价!C110:F157))</f>
        <v>9820</v>
      </c>
      <c r="N6" s="1083">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f t="shared" ca="1" si="0"/>
        <v>7211</v>
      </c>
      <c r="U6" s="1602"/>
      <c r="V6" s="1601">
        <f t="shared" ca="1" si="1"/>
        <v>0</v>
      </c>
      <c r="W6" s="1605"/>
      <c r="X6" s="1605"/>
      <c r="Y6" s="1605"/>
      <c r="Z6" s="1605"/>
      <c r="AA6" s="1605"/>
      <c r="AB6" s="1605"/>
      <c r="AC6" s="2735"/>
      <c r="AD6" s="2736"/>
      <c r="AE6" s="2736"/>
      <c r="AF6" s="2736"/>
      <c r="AG6" s="2736"/>
      <c r="AH6" s="2736"/>
      <c r="AI6" s="2736"/>
      <c r="AJ6" s="2737"/>
    </row>
    <row r="7" spans="1:36" ht="24">
      <c r="A7" s="3170" t="str">
        <f>IF(E2="商业",IF(C8="不临58条商业街","",2),"")</f>
        <v/>
      </c>
      <c r="B7" s="2745" t="s">
        <v>2814</v>
      </c>
      <c r="C7" s="919">
        <f>IF(C8="不临58条商业街",1,ROUND(1+(1.6*E8+1.2*E9+0.8*E10+0.4*E11)*C9,4))</f>
        <v>1</v>
      </c>
      <c r="D7" s="2746" t="s">
        <v>2815</v>
      </c>
      <c r="E7" s="945"/>
      <c r="F7" s="2747"/>
      <c r="G7" s="2748"/>
      <c r="H7" s="2748"/>
      <c r="I7" s="2748"/>
      <c r="J7" s="2749"/>
      <c r="K7" s="1841"/>
      <c r="L7" s="2726" t="s">
        <v>2816</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6341</v>
      </c>
      <c r="U7" s="1602"/>
      <c r="V7" s="1601">
        <f t="shared" ca="1" si="1"/>
        <v>0</v>
      </c>
      <c r="W7" s="1815" t="s">
        <v>2817</v>
      </c>
      <c r="X7" s="1603" t="str">
        <f>G2</f>
        <v>六级</v>
      </c>
      <c r="Y7" s="1603" t="s">
        <v>2818</v>
      </c>
      <c r="Z7" s="1604">
        <f>G3</f>
        <v>3.53</v>
      </c>
      <c r="AA7" s="1605"/>
      <c r="AB7" s="1605"/>
      <c r="AC7" s="1606"/>
      <c r="AD7" s="1607"/>
      <c r="AE7" s="1607"/>
      <c r="AF7" s="1607"/>
      <c r="AG7" s="1607"/>
      <c r="AH7" s="1607"/>
      <c r="AI7" s="1607"/>
      <c r="AJ7" s="1608"/>
    </row>
    <row r="8" spans="1:36" ht="25.5">
      <c r="A8" s="3171"/>
      <c r="B8" s="198" t="s">
        <v>2819</v>
      </c>
      <c r="C8" s="2750" t="s">
        <v>3127</v>
      </c>
      <c r="D8" s="920" t="s">
        <v>139</v>
      </c>
      <c r="E8" s="921" t="e">
        <f>ROUND(C11/E7,4)</f>
        <v>#DIV/0!</v>
      </c>
      <c r="F8" s="2751" t="s">
        <v>2820</v>
      </c>
      <c r="G8" s="2752"/>
      <c r="H8" s="2752"/>
      <c r="I8" s="2752"/>
      <c r="J8" s="2753"/>
      <c r="K8" s="1369"/>
      <c r="L8" s="2726" t="s">
        <v>2821</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163" t="s">
        <v>2822</v>
      </c>
      <c r="X8" s="3164"/>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171"/>
      <c r="B9" s="198" t="s">
        <v>2835</v>
      </c>
      <c r="C9" s="922">
        <f>SUMIF(修正!C59:C119,C8,修正!E59:E119)</f>
        <v>0</v>
      </c>
      <c r="D9" s="200" t="s">
        <v>140</v>
      </c>
      <c r="E9" s="200" t="e">
        <f>ROUND(C11/E7,4)</f>
        <v>#DIV/0!</v>
      </c>
      <c r="F9" s="2751" t="s">
        <v>2836</v>
      </c>
      <c r="G9" s="2752"/>
      <c r="H9" s="2752"/>
      <c r="I9" s="2752"/>
      <c r="J9" s="2753"/>
      <c r="K9" s="1369"/>
      <c r="L9" s="2726" t="s">
        <v>2837</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165"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1"/>
      <c r="B10" s="198" t="s">
        <v>2840</v>
      </c>
      <c r="C10" s="200">
        <f>SUMIF(修正!C59:C119,C8,修正!F59:F119)</f>
        <v>0</v>
      </c>
      <c r="D10" s="200" t="s">
        <v>141</v>
      </c>
      <c r="E10" s="200" t="e">
        <f>ROUND(C11/E7,4)</f>
        <v>#DIV/0!</v>
      </c>
      <c r="F10" s="2751" t="s">
        <v>2841</v>
      </c>
      <c r="G10" s="2752"/>
      <c r="H10" s="2752"/>
      <c r="I10" s="2752"/>
      <c r="J10" s="2753"/>
      <c r="K10" s="1369"/>
      <c r="L10" s="2726" t="s">
        <v>2842</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16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1"/>
      <c r="B11" s="2754" t="s">
        <v>2843</v>
      </c>
      <c r="C11" s="923">
        <f>C10/4</f>
        <v>0</v>
      </c>
      <c r="D11" s="923" t="s">
        <v>142</v>
      </c>
      <c r="E11" s="923" t="e">
        <f>ROUND(C11/E7,4)</f>
        <v>#DIV/0!</v>
      </c>
      <c r="F11" s="2755" t="s">
        <v>2844</v>
      </c>
      <c r="G11" s="2756"/>
      <c r="H11" s="2756"/>
      <c r="I11" s="2756"/>
      <c r="J11" s="2757"/>
      <c r="K11" s="1369"/>
      <c r="L11" s="2726" t="s">
        <v>2845</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165" t="s">
        <v>2846</v>
      </c>
      <c r="X11" s="1613" t="s">
        <v>2847</v>
      </c>
      <c r="Y11" s="1614">
        <f>$G$3</f>
        <v>3.53</v>
      </c>
      <c r="Z11" s="1614">
        <f t="shared" ref="Z11:AJ11" si="3">$G$3</f>
        <v>3.53</v>
      </c>
      <c r="AA11" s="1614">
        <f t="shared" si="3"/>
        <v>3.53</v>
      </c>
      <c r="AB11" s="1614">
        <f t="shared" si="3"/>
        <v>3.53</v>
      </c>
      <c r="AC11" s="1614">
        <f t="shared" si="3"/>
        <v>3.53</v>
      </c>
      <c r="AD11" s="1614">
        <f t="shared" si="3"/>
        <v>3.53</v>
      </c>
      <c r="AE11" s="1614">
        <f t="shared" si="3"/>
        <v>3.53</v>
      </c>
      <c r="AF11" s="1614">
        <f t="shared" si="3"/>
        <v>3.53</v>
      </c>
      <c r="AG11" s="1614">
        <f t="shared" si="3"/>
        <v>3.53</v>
      </c>
      <c r="AH11" s="1614">
        <f t="shared" si="3"/>
        <v>3.53</v>
      </c>
      <c r="AI11" s="1614">
        <f t="shared" si="3"/>
        <v>3.53</v>
      </c>
      <c r="AJ11" s="1614">
        <f t="shared" si="3"/>
        <v>3.53</v>
      </c>
    </row>
    <row r="12" spans="1:36" ht="25.5" thickBot="1">
      <c r="A12" s="3170" t="s">
        <v>2848</v>
      </c>
      <c r="B12" s="2758" t="s">
        <v>2849</v>
      </c>
      <c r="C12" s="919">
        <f>ROUND(C15*D15*E15*F15*G15*H15*I15*J15,4)</f>
        <v>1</v>
      </c>
      <c r="D12" s="2759" t="s">
        <v>2850</v>
      </c>
      <c r="E12" s="2760"/>
      <c r="F12" s="2760"/>
      <c r="G12" s="2761"/>
      <c r="H12" s="2761"/>
      <c r="I12" s="2761"/>
      <c r="J12" s="2762"/>
      <c r="K12" s="1369"/>
      <c r="L12" s="2763" t="s">
        <v>2851</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165"/>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2"/>
      <c r="B13" s="2764" t="s">
        <v>2853</v>
      </c>
      <c r="C13" s="2765" t="s">
        <v>2854</v>
      </c>
      <c r="D13" s="1807" t="s">
        <v>2855</v>
      </c>
      <c r="E13" s="1807" t="s">
        <v>2856</v>
      </c>
      <c r="F13" s="30" t="s">
        <v>2857</v>
      </c>
      <c r="G13" s="2766" t="s">
        <v>2858</v>
      </c>
      <c r="H13" s="2766" t="s">
        <v>2858</v>
      </c>
      <c r="I13" s="2766" t="s">
        <v>2858</v>
      </c>
      <c r="J13" s="2767" t="s">
        <v>2858</v>
      </c>
      <c r="K13" s="1369"/>
      <c r="L13" s="1369"/>
      <c r="M13" s="1369"/>
      <c r="N13" s="1369"/>
      <c r="O13" s="1369"/>
      <c r="P13" s="1369"/>
      <c r="Q13" s="1369"/>
      <c r="R13" s="1601">
        <v>12</v>
      </c>
      <c r="S13" s="1602"/>
      <c r="T13" s="1601">
        <f t="shared" ca="1" si="0"/>
        <v>0</v>
      </c>
      <c r="U13" s="1602"/>
      <c r="V13" s="1601">
        <f t="shared" ca="1" si="1"/>
        <v>0</v>
      </c>
      <c r="W13" s="3165"/>
      <c r="X13" s="1615"/>
      <c r="Y13" s="1612">
        <f>(-0.163*(Y12^2)-0.59*Y12+7617)*(10^(-4))/Y11</f>
        <v>0.21577903682719549</v>
      </c>
      <c r="Z13" s="1612">
        <f t="shared" ref="Z13:AJ13" si="5">(-0.163*(Z12^2)-0.59*Z12+7617)*(10^(-4))/Z11</f>
        <v>0.21577903682719549</v>
      </c>
      <c r="AA13" s="1612">
        <f t="shared" si="5"/>
        <v>0.21577903682719549</v>
      </c>
      <c r="AB13" s="1612">
        <f t="shared" si="5"/>
        <v>0.21577903682719549</v>
      </c>
      <c r="AC13" s="1612">
        <f t="shared" si="5"/>
        <v>0.21577903682719549</v>
      </c>
      <c r="AD13" s="1612">
        <f t="shared" si="5"/>
        <v>0.21577903682719549</v>
      </c>
      <c r="AE13" s="1612">
        <f t="shared" si="5"/>
        <v>0.21577903682719549</v>
      </c>
      <c r="AF13" s="1612">
        <f t="shared" si="5"/>
        <v>0.21577903682719549</v>
      </c>
      <c r="AG13" s="1612">
        <f t="shared" si="5"/>
        <v>0.21577903682719549</v>
      </c>
      <c r="AH13" s="1612">
        <f t="shared" si="5"/>
        <v>0.21577903682719549</v>
      </c>
      <c r="AI13" s="1612">
        <f t="shared" si="5"/>
        <v>0.21577903682719549</v>
      </c>
      <c r="AJ13" s="1612">
        <f t="shared" si="5"/>
        <v>0.21577903682719549</v>
      </c>
    </row>
    <row r="14" spans="1:36" ht="15">
      <c r="A14" s="3172"/>
      <c r="B14" s="2768"/>
      <c r="C14" s="2769"/>
      <c r="D14" s="2770"/>
      <c r="E14" s="2770"/>
      <c r="F14" s="2771"/>
      <c r="G14" s="2772" t="s">
        <v>2859</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3"/>
      <c r="B15" s="2776" t="s">
        <v>2860</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70" t="s">
        <v>2865</v>
      </c>
      <c r="B16" s="2745" t="s">
        <v>2866</v>
      </c>
      <c r="C16" s="2935">
        <f>ROUND(IF(F17="与级别开发程度一致",0,(G17-E17)/C17),0)</f>
        <v>-20</v>
      </c>
      <c r="D16" s="3184" t="s">
        <v>2870</v>
      </c>
      <c r="E16" s="3185"/>
      <c r="F16" s="3184" t="s">
        <v>2867</v>
      </c>
      <c r="G16" s="3185"/>
      <c r="H16" s="2779" t="s">
        <v>3051</v>
      </c>
      <c r="I16" s="2779" t="s">
        <v>3052</v>
      </c>
      <c r="J16" s="2939" t="s">
        <v>3053</v>
      </c>
      <c r="K16" s="2779" t="s">
        <v>3054</v>
      </c>
      <c r="L16" s="2779" t="s">
        <v>3055</v>
      </c>
      <c r="M16" s="2779" t="s">
        <v>3056</v>
      </c>
      <c r="N16" s="2779" t="s">
        <v>70</v>
      </c>
      <c r="O16" s="2780" t="s">
        <v>3129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74"/>
      <c r="B17" s="2946" t="s">
        <v>2869</v>
      </c>
      <c r="C17" s="2947">
        <f>SUMPRODUCT((修正!A2:A5=E2)*(修正!B1:M1=G2)*(修正!B2:M5))</f>
        <v>2.5</v>
      </c>
      <c r="D17" s="229" t="str">
        <f>IF(OR(G2="八级",G2="九级",G2="十级",G2="十一级",G2="十二级"),"五通一平","七通一平")</f>
        <v>七通一平</v>
      </c>
      <c r="E17" s="2936">
        <f>SUMPRODUCT((修正!B1:M1=G2)*(修正!B15:M15))</f>
        <v>300</v>
      </c>
      <c r="F17" s="2937" t="s">
        <v>3128</v>
      </c>
      <c r="G17" s="2938">
        <f>SUM(H17:O17)</f>
        <v>250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40</v>
      </c>
      <c r="N17" s="2947">
        <f>SUMPRODUCT((七通一平=N16)*(修正!B1:M1=G2)*(修正!B6:M14))</f>
        <v>0</v>
      </c>
      <c r="O17" s="2949">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2872</v>
      </c>
      <c r="C18" s="2942">
        <f>SUMIF(修正!C18:C39,E3,修正!E18:E39)</f>
        <v>0.9</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2873</v>
      </c>
      <c r="C19" s="924">
        <f>ROUND(IF(H19="按公示增长率计算",SUMPRODUCT((地价!A3:A26=YEAR(G19)&amp;"-"&amp;ROUNDUP(MONTH(G19)/3,0))*(地价!X2:AB2=E2)*(地价!X3:AB26)),IF(H19="地价指数",M20/M19,(1+I19)^O19)),4)</f>
        <v>1.3423</v>
      </c>
      <c r="D19" s="2789" t="s">
        <v>2874</v>
      </c>
      <c r="E19" s="925">
        <v>41640</v>
      </c>
      <c r="F19" s="2789" t="s">
        <v>2875</v>
      </c>
      <c r="G19" s="926">
        <f>'数据-取费表'!B2</f>
        <v>43605</v>
      </c>
      <c r="H19" s="2790" t="s">
        <v>3130</v>
      </c>
      <c r="I19" s="927" t="str">
        <f>IF(H19="季度增幅（自定义）",SUMIF(N21:N24,E2,O21:O24),"")</f>
        <v/>
      </c>
      <c r="J19" s="2787"/>
      <c r="K19" s="1376"/>
      <c r="L19" s="2791" t="s">
        <v>2876</v>
      </c>
      <c r="M19" s="1733">
        <f>ROUND(SUMIF(地价!B2:F2,E2,地价!B26:F26),0)</f>
        <v>258</v>
      </c>
      <c r="N19" s="2792" t="s">
        <v>2877</v>
      </c>
      <c r="O19" s="928">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2878</v>
      </c>
      <c r="C20" s="929">
        <f ca="1">ROUND(POWER(1+G20,J20-I20)*(POWER(1+G20,I20)-1)/(POWER(1+G20,J20)-1),4)</f>
        <v>0.79220000000000002</v>
      </c>
      <c r="D20" s="2798" t="s">
        <v>2879</v>
      </c>
      <c r="E20" s="1767">
        <f ca="1">存贷款利率!D4/100</f>
        <v>4.3499999999999997E-2</v>
      </c>
      <c r="F20" s="2798" t="s">
        <v>2871</v>
      </c>
      <c r="G20" s="934">
        <f ca="1">SUMIF(M26:P26,E2,M28:P28)</f>
        <v>5.3999999999999999E-2</v>
      </c>
      <c r="H20" s="2798" t="s">
        <v>2880</v>
      </c>
      <c r="I20" s="935">
        <f>SUMIF('数据-取费表'!C6:C15,E2,'数据-取费表'!F6:F15)/COUNTIF('数据-取费表'!C6:C15,E2)</f>
        <v>22.61</v>
      </c>
      <c r="J20" s="936">
        <f>IF(E2="住宅",70,IF(E2="商业",40,50))</f>
        <v>40</v>
      </c>
      <c r="K20" s="1376"/>
      <c r="L20" s="2799" t="s">
        <v>2881</v>
      </c>
      <c r="M20" s="1734">
        <f>ROUND(SUMPRODUCT((地价!A4:A26=YEAR(G19)&amp;"-"&amp;ROUNDUP(MONTH(G19)/3,0))*(地价!B2:F2=E2)*(地价!B4:F26)),0)</f>
        <v>346</v>
      </c>
      <c r="N20" s="2800" t="s">
        <v>2882</v>
      </c>
      <c r="O20" s="2801" t="s">
        <v>2883</v>
      </c>
      <c r="P20" s="2802" t="s">
        <v>2884</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3131</v>
      </c>
      <c r="C21" s="937">
        <f>IF(B21="容积率修正",IF(G3&lt;=10,D22,J22),C23)</f>
        <v>0.89649999999999996</v>
      </c>
      <c r="D21" s="2805"/>
      <c r="E21" s="2805"/>
      <c r="F21" s="2805"/>
      <c r="G21" s="2805"/>
      <c r="H21" s="2805"/>
      <c r="I21" s="2805"/>
      <c r="J21" s="2806"/>
      <c r="K21" s="1376"/>
      <c r="N21" s="2807" t="s">
        <v>2885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2886</v>
      </c>
      <c r="B22" s="2808" t="s">
        <v>2887</v>
      </c>
      <c r="C22" s="1809" t="s">
        <v>2888</v>
      </c>
      <c r="D22" s="1809">
        <f>IF(E22=G22,F22,IF(G3&lt;=10,ROUND(F22+(H22-F22)*(G3-E22)/(G22-E22),4),"——"))</f>
        <v>0.89649999999999996</v>
      </c>
      <c r="E22" s="916">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6">
        <f>ROUNDUP(G3,1)</f>
        <v>3.6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1809" t="s">
        <v>155</v>
      </c>
      <c r="J22" s="938" t="str">
        <f>IF(G3&gt;10,D113,"——")</f>
        <v>——</v>
      </c>
      <c r="K22" s="1376"/>
      <c r="N22" s="2807" t="s">
        <v>2889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2890</v>
      </c>
      <c r="B23" s="2809" t="s">
        <v>2891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2892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2893</v>
      </c>
      <c r="C24" s="924">
        <f>SUMIF(A45:A88,E2,B45:B88)</f>
        <v>1.0430999999999999</v>
      </c>
      <c r="D24" s="2786"/>
      <c r="E24" s="2815"/>
      <c r="F24" s="2815"/>
      <c r="G24" s="2815"/>
      <c r="H24" s="2815"/>
      <c r="I24" s="2815"/>
      <c r="J24" s="2816"/>
      <c r="K24" s="1376"/>
      <c r="N24" s="2817" t="s">
        <v>2894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2895</v>
      </c>
      <c r="C25" s="930"/>
      <c r="D25" s="2748"/>
      <c r="E25" s="2748"/>
      <c r="F25" s="2819"/>
      <c r="G25" s="2748"/>
      <c r="H25" s="2748"/>
      <c r="I25" s="2748"/>
      <c r="J25" s="2749"/>
      <c r="K25" s="1369"/>
      <c r="N25" s="2820" t="s">
        <v>2896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2897</v>
      </c>
      <c r="C26" s="206">
        <f ca="1">E29+SUM(E33:E39)</f>
        <v>46789</v>
      </c>
      <c r="D26" s="2822"/>
      <c r="E26" s="2773"/>
      <c r="F26" s="2823"/>
      <c r="G26" s="2773"/>
      <c r="H26" s="2773"/>
      <c r="I26" s="2773"/>
      <c r="J26" s="2824"/>
      <c r="K26" s="1369"/>
      <c r="L26" s="2777" t="s">
        <v>2796</v>
      </c>
      <c r="M26" s="920" t="s">
        <v>2861</v>
      </c>
      <c r="N26" s="920" t="s">
        <v>2862</v>
      </c>
      <c r="O26" s="920" t="s">
        <v>2863</v>
      </c>
      <c r="P26" s="2778" t="s">
        <v>2864</v>
      </c>
      <c r="R26" s="1375"/>
      <c r="S26" s="1375"/>
      <c r="T26" s="1370"/>
      <c r="U26" s="1370"/>
      <c r="V26" s="1370"/>
      <c r="W26" s="1369"/>
      <c r="X26" s="1369"/>
      <c r="Y26" s="1369"/>
      <c r="Z26" s="1376"/>
      <c r="AA26" s="1377"/>
      <c r="AB26" s="1377"/>
      <c r="AC26" s="1377"/>
      <c r="AD26" s="1377"/>
    </row>
    <row r="27" spans="1:37" ht="15.75" thickBot="1">
      <c r="A27" s="2821"/>
      <c r="B27" s="2825" t="s">
        <v>2898</v>
      </c>
      <c r="C27" s="931">
        <f ca="1">E30+SUM(I33:I39)</f>
        <v>1933</v>
      </c>
      <c r="D27" s="2826"/>
      <c r="E27" s="2827"/>
      <c r="F27" s="2828"/>
      <c r="G27" s="2827"/>
      <c r="H27" s="2827"/>
      <c r="I27" s="2827"/>
      <c r="J27" s="2829"/>
      <c r="K27" s="1369"/>
      <c r="L27" s="2781" t="s">
        <v>2868</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2899</v>
      </c>
      <c r="C28" s="2832" t="s">
        <v>2900</v>
      </c>
      <c r="D28" s="2832" t="s">
        <v>2901</v>
      </c>
      <c r="E28" s="2833" t="s">
        <v>2902</v>
      </c>
      <c r="F28" s="2834"/>
      <c r="G28" s="2761"/>
      <c r="H28" s="2761"/>
      <c r="I28" s="2761"/>
      <c r="J28" s="2762"/>
      <c r="K28" s="1369"/>
      <c r="L28" s="2782" t="s">
        <v>2871</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2903</v>
      </c>
      <c r="C29" s="206">
        <f ca="1">ROUND(C5*C18*C19*C20*C21*C24,0)</f>
        <v>8771</v>
      </c>
      <c r="D29" s="2837">
        <v>44527.51</v>
      </c>
      <c r="E29" s="942">
        <f ca="1">ROUND(C29*D29/10000,0)</f>
        <v>39055</v>
      </c>
      <c r="F29" s="2838" t="s">
        <v>2904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2905</v>
      </c>
      <c r="C30" s="229">
        <f ca="1">ROUND(IF(E2="工业",C29*M39,C29*M38),0)</f>
        <v>2193</v>
      </c>
      <c r="D30" s="2843"/>
      <c r="E30" s="942">
        <f ca="1">ROUND(C30*D30/10000,0)</f>
        <v>0</v>
      </c>
      <c r="F30" s="2844" t="s">
        <v>2906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2907</v>
      </c>
      <c r="C31" s="2849" t="s">
        <v>2908</v>
      </c>
      <c r="D31" s="2761"/>
      <c r="E31" s="2849"/>
      <c r="F31" s="2849"/>
      <c r="G31" s="2759" t="s">
        <v>2909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2900</v>
      </c>
      <c r="D32" s="498" t="s">
        <v>2901</v>
      </c>
      <c r="E32" s="498" t="s">
        <v>2902</v>
      </c>
      <c r="F32" s="388" t="s">
        <v>2910</v>
      </c>
      <c r="G32" s="2852" t="s">
        <v>2900</v>
      </c>
      <c r="H32" s="2852" t="s">
        <v>2901</v>
      </c>
      <c r="I32" s="2852" t="s">
        <v>2902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181" t="s">
        <v>2911</v>
      </c>
      <c r="B33" s="2853" t="s">
        <v>2912</v>
      </c>
      <c r="C33" s="206">
        <f ca="1">ROUND(D5*C19*C20*C24*F33,0)</f>
        <v>7640</v>
      </c>
      <c r="D33" s="2837">
        <v>8336.73</v>
      </c>
      <c r="E33" s="200">
        <f ca="1">ROUND(C33*D33/10000,0)</f>
        <v>6369</v>
      </c>
      <c r="F33" s="200">
        <f>SUMIF(修正!A45:A56,G2,修正!B45:B56)</f>
        <v>0.7</v>
      </c>
      <c r="G33" s="200">
        <f t="shared" ref="G33" ca="1" si="6">ROUND(IF(E2="工业",C33*$M$39,C33*$M$38),0)</f>
        <v>1910</v>
      </c>
      <c r="H33" s="200">
        <f>D33</f>
        <v>8336.73</v>
      </c>
      <c r="I33" s="200">
        <f ca="1">ROUND(G33*H33/10000,0)</f>
        <v>1592</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82"/>
      <c r="B34" s="2765" t="s">
        <v>2913</v>
      </c>
      <c r="C34" s="206">
        <f ca="1">ROUND(D5*C19*C20*C24*F34,0)</f>
        <v>4366</v>
      </c>
      <c r="D34" s="2837">
        <f>8744.1-5617.85</f>
        <v>3126.25</v>
      </c>
      <c r="E34" s="200">
        <f t="shared" ref="E34:E39" ca="1" si="7">ROUND(C34*D34/10000,0)</f>
        <v>1365</v>
      </c>
      <c r="F34" s="200">
        <f>SUMIF(修正!A45:A56,G2,修正!C45:C56)</f>
        <v>0.4</v>
      </c>
      <c r="G34" s="200">
        <f ca="1">ROUND(IF(E2="工业",C34*$M$39,C34*$M$38),0)</f>
        <v>1092</v>
      </c>
      <c r="H34" s="200">
        <f t="shared" ref="H34:H39" si="8">D34</f>
        <v>3126.25</v>
      </c>
      <c r="I34" s="200">
        <f t="shared" ref="I34:I39" ca="1" si="9">ROUND(G34*H34/10000,0)</f>
        <v>341</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82"/>
      <c r="B35" s="2765" t="s">
        <v>2914</v>
      </c>
      <c r="C35" s="206">
        <f ca="1">ROUND(D5*C19*C20*C24*F35,0)</f>
        <v>3056</v>
      </c>
      <c r="D35" s="2837"/>
      <c r="E35" s="200">
        <f t="shared" ca="1" si="7"/>
        <v>0</v>
      </c>
      <c r="F35" s="200">
        <f>SUMIF(修正!A45:A56,G2,修正!D45:D56)</f>
        <v>0.28000000000000003</v>
      </c>
      <c r="G35" s="200">
        <f ca="1">ROUND(IF(E2="工业",C35*$M$39,C35*$M$38),0)</f>
        <v>764</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183"/>
      <c r="B36" s="2765" t="s">
        <v>2915</v>
      </c>
      <c r="C36" s="206">
        <f ca="1">ROUND(D5*C19*C20*C24*F36,0)</f>
        <v>2729</v>
      </c>
      <c r="D36" s="2837"/>
      <c r="E36" s="200">
        <f t="shared" ca="1" si="7"/>
        <v>0</v>
      </c>
      <c r="F36" s="200">
        <f>SUMIF(修正!A45:A56,G2,修正!E45:E56)</f>
        <v>0.25</v>
      </c>
      <c r="G36" s="200">
        <f ca="1">ROUND(IF(E2="工业",C36*$M$39,C36*$M$38),0)</f>
        <v>682</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2916</v>
      </c>
      <c r="C37" s="200">
        <f ca="1">ROUND(D5*C19*C20*C24*F37,0)</f>
        <v>2729</v>
      </c>
      <c r="D37" s="2837"/>
      <c r="E37" s="200">
        <f t="shared" ca="1" si="7"/>
        <v>0</v>
      </c>
      <c r="F37" s="206">
        <f>SUMIF(修正!A45:A56,G2,修正!F45:F56)</f>
        <v>0.25</v>
      </c>
      <c r="G37" s="200">
        <f ca="1">ROUND(IF(E2="工业",C37*$M$39,C37*$M$38),0)</f>
        <v>682</v>
      </c>
      <c r="H37" s="200">
        <f t="shared" si="8"/>
        <v>0</v>
      </c>
      <c r="I37" s="200">
        <f t="shared" ca="1" si="9"/>
        <v>0</v>
      </c>
      <c r="J37" s="2854"/>
      <c r="K37" s="1369"/>
      <c r="L37" s="2856" t="s">
        <v>2917</v>
      </c>
      <c r="M37" s="2857"/>
      <c r="N37" s="1369"/>
      <c r="O37" s="1369"/>
      <c r="P37" s="1369"/>
      <c r="Q37" s="1369"/>
      <c r="R37" s="1369"/>
      <c r="S37" s="1369"/>
      <c r="T37" s="1369"/>
      <c r="U37" s="1369"/>
      <c r="V37" s="1369"/>
      <c r="W37" s="1369"/>
      <c r="X37" s="1369"/>
      <c r="Y37" s="1369"/>
      <c r="Z37" s="1370"/>
    </row>
    <row r="38" spans="1:37">
      <c r="A38" s="2855"/>
      <c r="B38" s="2765" t="s">
        <v>2918</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2919</v>
      </c>
      <c r="M38" s="2858">
        <v>0.25</v>
      </c>
      <c r="N38" s="1369"/>
      <c r="O38" s="1369"/>
      <c r="P38" s="1369"/>
      <c r="Q38" s="1369"/>
      <c r="R38" s="1369"/>
      <c r="S38" s="1369"/>
      <c r="T38" s="1369"/>
      <c r="U38" s="1369"/>
      <c r="V38" s="1369"/>
      <c r="W38" s="1369"/>
      <c r="X38" s="1369"/>
      <c r="Y38" s="1369"/>
      <c r="Z38" s="1370"/>
    </row>
    <row r="39" spans="1:37" ht="13.5" thickBot="1">
      <c r="A39" s="2841"/>
      <c r="B39" s="2859" t="s">
        <v>2920</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2864</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3031</v>
      </c>
      <c r="C41" s="388">
        <f ca="1">ROUND(POWER(1+E41,H41-G41)*(POWER(1+E41,G41)-1)/(POWER(1+E41,H41)-1),4)</f>
        <v>0</v>
      </c>
      <c r="D41" s="200" t="s">
        <v>2871</v>
      </c>
      <c r="E41" s="2929">
        <f ca="1">G20</f>
        <v>5.3999999999999999E-2</v>
      </c>
      <c r="F41" s="200" t="s">
        <v>2880</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2921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2922</v>
      </c>
      <c r="B46" s="2867">
        <f>1+E48</f>
        <v>1.0430999999999999</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2923</v>
      </c>
      <c r="B47" s="1808" t="s">
        <v>2924</v>
      </c>
      <c r="C47" s="1808" t="s">
        <v>2925</v>
      </c>
      <c r="D47" s="1808" t="s">
        <v>2926</v>
      </c>
      <c r="E47" s="819" t="s">
        <v>2927</v>
      </c>
      <c r="F47" s="2871" t="s">
        <v>2928</v>
      </c>
      <c r="G47" s="1808" t="s">
        <v>754</v>
      </c>
      <c r="H47" s="2872" t="s">
        <v>2929</v>
      </c>
      <c r="I47" s="1808" t="s">
        <v>2930</v>
      </c>
      <c r="J47" s="603" t="s">
        <v>2579</v>
      </c>
      <c r="K47" s="603" t="s">
        <v>2580</v>
      </c>
      <c r="L47" s="603" t="s">
        <v>2581</v>
      </c>
      <c r="M47" s="603" t="s">
        <v>2582</v>
      </c>
      <c r="N47" s="603" t="s">
        <v>2583</v>
      </c>
      <c r="AA47" s="1370"/>
      <c r="AB47" s="1370"/>
      <c r="AC47" s="1370"/>
      <c r="AD47" s="1370"/>
      <c r="AE47" s="1370"/>
      <c r="AF47" s="1370"/>
      <c r="AG47" s="1370"/>
      <c r="AH47" s="1370"/>
      <c r="AI47" s="1370"/>
      <c r="AJ47" s="1370"/>
      <c r="AK47" s="1370"/>
    </row>
    <row r="48" spans="1:37" s="1369" customFormat="1" ht="38.25">
      <c r="A48" s="2870" t="s">
        <v>2931</v>
      </c>
      <c r="B48" s="2873" t="str">
        <f>估价对象房地状况!C4</f>
        <v>估价对象位于XX商圈，周边商业氛围成熟，人流量大，商业繁华度好</v>
      </c>
      <c r="C48" s="2770" t="s">
        <v>3134</v>
      </c>
      <c r="D48" s="1286">
        <f t="shared" ref="D48:D56" si="10">SUMIF($J$47:$N$47,C48,J48:N48)</f>
        <v>0</v>
      </c>
      <c r="E48" s="821">
        <f>ROUND(SUM(D48:D56),4)</f>
        <v>4.3099999999999999E-2</v>
      </c>
      <c r="F48" s="2501">
        <f>IF(E2="商业",SUMIF(L1:L12,G2,N1:N12),"——")</f>
        <v>0.126</v>
      </c>
      <c r="G48" s="1284">
        <f>H48</f>
        <v>2.07E-2</v>
      </c>
      <c r="H48" s="1288">
        <f t="shared" ref="H48:H56" si="11">IFERROR(ROUNDDOWN($F$48*I48/2,4),"——")</f>
        <v>2.07E-2</v>
      </c>
      <c r="I48" s="820">
        <v>0.33</v>
      </c>
      <c r="J48" s="1285">
        <f t="shared" ref="J48:J56" si="12">K48+$G48</f>
        <v>4.1399999999999999E-2</v>
      </c>
      <c r="K48" s="1285">
        <f t="shared" ref="K48:K56" si="13">$L48+$G48</f>
        <v>2.07E-2</v>
      </c>
      <c r="L48" s="1285">
        <v>0</v>
      </c>
      <c r="M48" s="1285">
        <f t="shared" ref="M48:N56" si="14">L48-$G48</f>
        <v>-2.07E-2</v>
      </c>
      <c r="N48" s="1285">
        <f t="shared" si="14"/>
        <v>-4.1399999999999999E-2</v>
      </c>
      <c r="AA48" s="1370"/>
      <c r="AB48" s="1370"/>
      <c r="AC48" s="1370"/>
      <c r="AD48" s="1370"/>
      <c r="AE48" s="1370"/>
      <c r="AF48" s="1370"/>
      <c r="AG48" s="1370"/>
      <c r="AH48" s="1370"/>
      <c r="AI48" s="1370"/>
      <c r="AJ48" s="1370"/>
      <c r="AK48" s="1370"/>
    </row>
    <row r="49" spans="1:37" s="1369" customFormat="1" ht="51">
      <c r="A49" s="2870" t="s">
        <v>2932</v>
      </c>
      <c r="B49" s="2874" t="str">
        <f>估价对象房地状况!C18</f>
        <v>估价对象周边道路状况、公共交通通达情况、停车便捷程度，综合评价交通便捷度较好</v>
      </c>
      <c r="C49" s="2770" t="s">
        <v>3132</v>
      </c>
      <c r="D49" s="1286">
        <f t="shared" si="10"/>
        <v>1.5699999999999999E-2</v>
      </c>
      <c r="E49" s="822"/>
      <c r="F49" s="2501"/>
      <c r="G49" s="1284">
        <f t="shared" ref="G49:G56" si="15">H49</f>
        <v>1.5699999999999999E-2</v>
      </c>
      <c r="H49" s="1288">
        <f t="shared" si="11"/>
        <v>1.5699999999999999E-2</v>
      </c>
      <c r="I49" s="820">
        <v>0.25</v>
      </c>
      <c r="J49" s="1285">
        <f t="shared" si="12"/>
        <v>3.1399999999999997E-2</v>
      </c>
      <c r="K49" s="1285">
        <f t="shared" si="13"/>
        <v>1.5699999999999999E-2</v>
      </c>
      <c r="L49" s="1285">
        <v>0</v>
      </c>
      <c r="M49" s="1285">
        <f t="shared" si="14"/>
        <v>-1.5699999999999999E-2</v>
      </c>
      <c r="N49" s="1285">
        <f t="shared" si="14"/>
        <v>-3.1399999999999997E-2</v>
      </c>
      <c r="AA49" s="1370"/>
      <c r="AB49" s="1370"/>
      <c r="AC49" s="1370"/>
      <c r="AD49" s="1370"/>
      <c r="AE49" s="1370"/>
      <c r="AF49" s="1370"/>
      <c r="AG49" s="1370"/>
      <c r="AH49" s="1370"/>
      <c r="AI49" s="1370"/>
      <c r="AJ49" s="1370"/>
      <c r="AK49" s="1370"/>
    </row>
    <row r="50" spans="1:37" s="1369" customFormat="1" ht="24">
      <c r="A50" s="2870" t="s">
        <v>2933</v>
      </c>
      <c r="B50" s="2874">
        <f>估价对象房地状况!C19</f>
        <v>0</v>
      </c>
      <c r="C50" s="2770" t="s">
        <v>3132</v>
      </c>
      <c r="D50" s="1286">
        <f t="shared" si="10"/>
        <v>3.0999999999999999E-3</v>
      </c>
      <c r="E50" s="822"/>
      <c r="F50" s="2501"/>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0"/>
      <c r="AB50" s="1370"/>
      <c r="AC50" s="1370"/>
      <c r="AD50" s="1370"/>
      <c r="AE50" s="1370"/>
      <c r="AF50" s="1370"/>
      <c r="AG50" s="1370"/>
      <c r="AH50" s="1370"/>
      <c r="AI50" s="1370"/>
      <c r="AJ50" s="1370"/>
      <c r="AK50" s="1370"/>
    </row>
    <row r="51" spans="1:37" s="1369" customFormat="1" ht="36.75">
      <c r="A51" s="2870" t="s">
        <v>2934</v>
      </c>
      <c r="B51" s="2875" t="s">
        <v>2935</v>
      </c>
      <c r="C51" s="2770" t="s">
        <v>3132</v>
      </c>
      <c r="D51" s="1286">
        <f t="shared" si="10"/>
        <v>3.0999999999999999E-3</v>
      </c>
      <c r="E51" s="822"/>
      <c r="F51" s="2501"/>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0"/>
      <c r="AB51" s="1370"/>
      <c r="AC51" s="1370"/>
      <c r="AD51" s="1370"/>
      <c r="AE51" s="1370"/>
      <c r="AF51" s="1370"/>
      <c r="AG51" s="1370"/>
      <c r="AH51" s="1370"/>
      <c r="AI51" s="1370"/>
      <c r="AJ51" s="1370"/>
      <c r="AK51" s="1370"/>
    </row>
    <row r="52" spans="1:37" s="1369" customFormat="1" ht="24">
      <c r="A52" s="2870" t="s">
        <v>2936</v>
      </c>
      <c r="B52" s="2874">
        <f>估价对象房地状况!C24</f>
        <v>0</v>
      </c>
      <c r="C52" s="2770" t="s">
        <v>3134</v>
      </c>
      <c r="D52" s="1286">
        <f t="shared" si="10"/>
        <v>0</v>
      </c>
      <c r="E52" s="822"/>
      <c r="F52" s="2501"/>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0"/>
      <c r="AB52" s="1370"/>
      <c r="AC52" s="1370"/>
      <c r="AD52" s="1370"/>
      <c r="AE52" s="1370"/>
      <c r="AF52" s="1370"/>
      <c r="AG52" s="1370"/>
      <c r="AH52" s="1370"/>
      <c r="AI52" s="1370"/>
      <c r="AJ52" s="1370"/>
      <c r="AK52" s="1370"/>
    </row>
    <row r="53" spans="1:37" s="1369" customFormat="1" ht="24">
      <c r="A53" s="2870" t="s">
        <v>2937</v>
      </c>
      <c r="B53" s="2876" t="s">
        <v>2938</v>
      </c>
      <c r="C53" s="2770" t="s">
        <v>3132</v>
      </c>
      <c r="D53" s="1286">
        <f t="shared" si="10"/>
        <v>1.8E-3</v>
      </c>
      <c r="E53" s="822"/>
      <c r="F53" s="2501"/>
      <c r="G53" s="1284">
        <f t="shared" si="15"/>
        <v>1.8E-3</v>
      </c>
      <c r="H53" s="1288">
        <f t="shared" si="11"/>
        <v>1.8E-3</v>
      </c>
      <c r="I53" s="820">
        <v>0.03</v>
      </c>
      <c r="J53" s="1285">
        <f t="shared" si="12"/>
        <v>3.5999999999999999E-3</v>
      </c>
      <c r="K53" s="1285">
        <f t="shared" si="13"/>
        <v>1.8E-3</v>
      </c>
      <c r="L53" s="1285">
        <v>0</v>
      </c>
      <c r="M53" s="1285">
        <f t="shared" si="14"/>
        <v>-1.8E-3</v>
      </c>
      <c r="N53" s="1285">
        <f t="shared" si="14"/>
        <v>-3.5999999999999999E-3</v>
      </c>
      <c r="AA53" s="1370"/>
      <c r="AB53" s="1370"/>
      <c r="AC53" s="1370"/>
      <c r="AD53" s="1370"/>
      <c r="AE53" s="1370"/>
      <c r="AF53" s="1370"/>
      <c r="AG53" s="1370"/>
      <c r="AH53" s="1370"/>
      <c r="AI53" s="1370"/>
      <c r="AJ53" s="1370"/>
      <c r="AK53" s="1370"/>
    </row>
    <row r="54" spans="1:37" s="1369" customFormat="1" ht="25.5">
      <c r="A54" s="2877" t="s">
        <v>2939</v>
      </c>
      <c r="B54" s="1724" t="str">
        <f>估价对象房地状况!C21</f>
        <v>估价对象所在区域公共配套设施齐备情况</v>
      </c>
      <c r="C54" s="2770" t="s">
        <v>3132</v>
      </c>
      <c r="D54" s="1286">
        <f t="shared" si="10"/>
        <v>3.0999999999999999E-3</v>
      </c>
      <c r="E54" s="822"/>
      <c r="F54" s="2501"/>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0"/>
      <c r="AB54" s="1370"/>
      <c r="AC54" s="1370"/>
      <c r="AD54" s="1370"/>
      <c r="AE54" s="1370"/>
      <c r="AF54" s="1370"/>
      <c r="AG54" s="1370"/>
      <c r="AH54" s="1370"/>
      <c r="AI54" s="1370"/>
      <c r="AJ54" s="1370"/>
      <c r="AK54" s="1370"/>
    </row>
    <row r="55" spans="1:37" s="1369" customFormat="1" ht="25.5">
      <c r="A55" s="2877" t="s">
        <v>2940</v>
      </c>
      <c r="B55" s="2874" t="str">
        <f>估价对象房地状况!C22</f>
        <v>估价对象所在区域基础设施水平</v>
      </c>
      <c r="C55" s="2770" t="s">
        <v>3133</v>
      </c>
      <c r="D55" s="1286">
        <f t="shared" si="10"/>
        <v>1.26E-2</v>
      </c>
      <c r="E55" s="822"/>
      <c r="F55" s="2501"/>
      <c r="G55" s="1284">
        <f t="shared" si="15"/>
        <v>6.3E-3</v>
      </c>
      <c r="H55" s="1288">
        <f t="shared" si="11"/>
        <v>6.3E-3</v>
      </c>
      <c r="I55" s="820">
        <v>0.1</v>
      </c>
      <c r="J55" s="1285">
        <f t="shared" si="12"/>
        <v>1.26E-2</v>
      </c>
      <c r="K55" s="1285">
        <f t="shared" si="13"/>
        <v>6.3E-3</v>
      </c>
      <c r="L55" s="1285">
        <v>0</v>
      </c>
      <c r="M55" s="1285">
        <f t="shared" si="14"/>
        <v>-6.3E-3</v>
      </c>
      <c r="N55" s="1285">
        <f t="shared" si="14"/>
        <v>-1.26E-2</v>
      </c>
      <c r="AA55" s="1370"/>
      <c r="AB55" s="1370"/>
      <c r="AC55" s="1370"/>
      <c r="AD55" s="1370"/>
      <c r="AE55" s="1370"/>
      <c r="AF55" s="1370"/>
      <c r="AG55" s="1370"/>
      <c r="AH55" s="1370"/>
      <c r="AI55" s="1370"/>
      <c r="AJ55" s="1370"/>
      <c r="AK55" s="1370"/>
    </row>
    <row r="56" spans="1:37" s="1369" customFormat="1" ht="39" thickBot="1">
      <c r="A56" s="2878" t="s">
        <v>2941</v>
      </c>
      <c r="B56" s="2879" t="str">
        <f>估价对象房地状况!C20</f>
        <v>区域自然环境：；人文环境；综合评价环境状况一般</v>
      </c>
      <c r="C56" s="2770" t="s">
        <v>3132</v>
      </c>
      <c r="D56" s="1286">
        <f t="shared" si="10"/>
        <v>3.7000000000000002E-3</v>
      </c>
      <c r="E56" s="825"/>
      <c r="F56" s="2501"/>
      <c r="G56" s="1284">
        <f t="shared" si="15"/>
        <v>3.7000000000000002E-3</v>
      </c>
      <c r="H56" s="1288">
        <f t="shared" si="11"/>
        <v>3.7000000000000002E-3</v>
      </c>
      <c r="I56" s="824">
        <v>0.06</v>
      </c>
      <c r="J56" s="1285">
        <f t="shared" si="12"/>
        <v>7.4000000000000003E-3</v>
      </c>
      <c r="K56" s="1285">
        <f t="shared" si="13"/>
        <v>3.7000000000000002E-3</v>
      </c>
      <c r="L56" s="1285">
        <v>0</v>
      </c>
      <c r="M56" s="1285">
        <f t="shared" si="14"/>
        <v>-3.7000000000000002E-3</v>
      </c>
      <c r="N56" s="1285">
        <f t="shared" si="14"/>
        <v>-7.4000000000000003E-3</v>
      </c>
      <c r="AA56" s="1370"/>
      <c r="AB56" s="1370"/>
      <c r="AC56" s="1370"/>
      <c r="AD56" s="1370"/>
      <c r="AE56" s="1370"/>
      <c r="AF56" s="1370"/>
      <c r="AG56" s="1370"/>
      <c r="AH56" s="1370"/>
      <c r="AI56" s="1370"/>
      <c r="AJ56" s="1370"/>
      <c r="AK56" s="1370"/>
    </row>
    <row r="57" spans="1:37" s="1369" customFormat="1" ht="15">
      <c r="A57" s="2866" t="s">
        <v>2942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2923</v>
      </c>
      <c r="B58" s="1808"/>
      <c r="C58" s="1808" t="s">
        <v>2925</v>
      </c>
      <c r="D58" s="1808" t="s">
        <v>2926</v>
      </c>
      <c r="E58" s="819" t="s">
        <v>2927</v>
      </c>
      <c r="F58" s="2871" t="s">
        <v>2943</v>
      </c>
      <c r="G58" s="1808" t="s">
        <v>754</v>
      </c>
      <c r="H58" s="2872" t="s">
        <v>2929</v>
      </c>
      <c r="I58" s="1808" t="s">
        <v>2930</v>
      </c>
      <c r="J58" s="603" t="s">
        <v>2579</v>
      </c>
      <c r="K58" s="603" t="s">
        <v>2580</v>
      </c>
      <c r="L58" s="603" t="s">
        <v>2581</v>
      </c>
      <c r="M58" s="603" t="s">
        <v>2582</v>
      </c>
      <c r="N58" s="603" t="s">
        <v>2583</v>
      </c>
      <c r="AA58" s="1370"/>
      <c r="AB58" s="1370"/>
      <c r="AC58" s="1370"/>
      <c r="AD58" s="1370"/>
      <c r="AE58" s="1370"/>
      <c r="AF58" s="1370"/>
      <c r="AG58" s="1370"/>
      <c r="AH58" s="1370"/>
      <c r="AI58" s="1370"/>
      <c r="AJ58" s="1370"/>
      <c r="AK58" s="1370"/>
    </row>
    <row r="59" spans="1:37" s="1369" customFormat="1" ht="38.25">
      <c r="A59" s="2870" t="s">
        <v>2944</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0"/>
      <c r="AB59" s="1370"/>
      <c r="AC59" s="1370"/>
      <c r="AD59" s="1370"/>
      <c r="AE59" s="1370"/>
      <c r="AF59" s="1370"/>
      <c r="AG59" s="1370"/>
      <c r="AH59" s="1370"/>
      <c r="AI59" s="1370"/>
      <c r="AJ59" s="1370"/>
      <c r="AK59" s="1370"/>
    </row>
    <row r="60" spans="1:37" s="1369" customFormat="1" ht="51">
      <c r="A60" s="2870" t="s">
        <v>2932</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0"/>
      <c r="AB60" s="1370"/>
      <c r="AC60" s="1370"/>
      <c r="AD60" s="1370"/>
      <c r="AE60" s="1370"/>
      <c r="AF60" s="1370"/>
      <c r="AG60" s="1370"/>
      <c r="AH60" s="1370"/>
      <c r="AI60" s="1370"/>
      <c r="AJ60" s="1370"/>
      <c r="AK60" s="1370"/>
    </row>
    <row r="61" spans="1:37" s="1369" customFormat="1" ht="24">
      <c r="A61" s="2870" t="s">
        <v>2933</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0"/>
      <c r="AB61" s="1370"/>
      <c r="AC61" s="1370"/>
      <c r="AD61" s="1370"/>
      <c r="AE61" s="1370"/>
      <c r="AF61" s="1370"/>
      <c r="AG61" s="1370"/>
      <c r="AH61" s="1370"/>
      <c r="AI61" s="1370"/>
      <c r="AJ61" s="1370"/>
      <c r="AK61" s="1370"/>
    </row>
    <row r="62" spans="1:37" s="1369" customFormat="1" ht="36.75">
      <c r="A62" s="2870" t="s">
        <v>2934</v>
      </c>
      <c r="B62" s="2875" t="s">
        <v>2935</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0"/>
      <c r="AB62" s="1370"/>
      <c r="AC62" s="1370"/>
      <c r="AD62" s="1370"/>
      <c r="AE62" s="1370"/>
      <c r="AF62" s="1370"/>
      <c r="AG62" s="1370"/>
      <c r="AH62" s="1370"/>
      <c r="AI62" s="1370"/>
      <c r="AJ62" s="1370"/>
      <c r="AK62" s="1370"/>
    </row>
    <row r="63" spans="1:37" s="1369" customFormat="1" ht="24">
      <c r="A63" s="2870" t="s">
        <v>2936</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0"/>
      <c r="AB63" s="1370"/>
      <c r="AC63" s="1370"/>
      <c r="AD63" s="1370"/>
      <c r="AE63" s="1370"/>
      <c r="AF63" s="1370"/>
      <c r="AG63" s="1370"/>
      <c r="AH63" s="1370"/>
      <c r="AI63" s="1370"/>
      <c r="AJ63" s="1370"/>
      <c r="AK63" s="1370"/>
    </row>
    <row r="64" spans="1:37" s="1369" customFormat="1" ht="24">
      <c r="A64" s="2870" t="s">
        <v>2937</v>
      </c>
      <c r="B64" s="2876" t="s">
        <v>2938</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0"/>
      <c r="AB64" s="1370"/>
      <c r="AC64" s="1370"/>
      <c r="AD64" s="1370"/>
      <c r="AE64" s="1370"/>
      <c r="AF64" s="1370"/>
      <c r="AG64" s="1370"/>
      <c r="AH64" s="1370"/>
      <c r="AI64" s="1370"/>
      <c r="AJ64" s="1370"/>
      <c r="AK64" s="1370"/>
    </row>
    <row r="65" spans="1:37" s="1369" customFormat="1" ht="25.5">
      <c r="A65" s="2870" t="s">
        <v>2939</v>
      </c>
      <c r="B65" s="1724"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0"/>
      <c r="AB65" s="1370"/>
      <c r="AC65" s="1370"/>
      <c r="AD65" s="1370"/>
      <c r="AE65" s="1370"/>
      <c r="AF65" s="1370"/>
      <c r="AG65" s="1370"/>
      <c r="AH65" s="1370"/>
      <c r="AI65" s="1370"/>
      <c r="AJ65" s="1370"/>
      <c r="AK65" s="1370"/>
    </row>
    <row r="66" spans="1:37" s="1369" customFormat="1" ht="25.5">
      <c r="A66" s="2870" t="s">
        <v>2940</v>
      </c>
      <c r="B66" s="1724"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0"/>
      <c r="AB66" s="1370"/>
      <c r="AC66" s="1370"/>
      <c r="AD66" s="1370"/>
      <c r="AE66" s="1370"/>
      <c r="AF66" s="1370"/>
      <c r="AG66" s="1370"/>
      <c r="AH66" s="1370"/>
      <c r="AI66" s="1370"/>
      <c r="AJ66" s="1370"/>
      <c r="AK66" s="1370"/>
    </row>
    <row r="67" spans="1:37" s="1369" customFormat="1" ht="39" thickBot="1">
      <c r="A67" s="2878" t="s">
        <v>2941</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0"/>
      <c r="AB67" s="1370"/>
      <c r="AC67" s="1370"/>
      <c r="AD67" s="1370"/>
      <c r="AE67" s="1370"/>
      <c r="AF67" s="1370"/>
      <c r="AG67" s="1370"/>
      <c r="AH67" s="1370"/>
      <c r="AI67" s="1370"/>
      <c r="AJ67" s="1370"/>
      <c r="AK67" s="1370"/>
    </row>
    <row r="68" spans="1:37" s="1369" customFormat="1" ht="15">
      <c r="A68" s="2866" t="s">
        <v>2945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2923</v>
      </c>
      <c r="B69" s="1808"/>
      <c r="C69" s="1808" t="s">
        <v>2925</v>
      </c>
      <c r="D69" s="1808" t="s">
        <v>2926</v>
      </c>
      <c r="E69" s="819" t="s">
        <v>2927</v>
      </c>
      <c r="F69" s="2871" t="s">
        <v>2943</v>
      </c>
      <c r="G69" s="1808" t="s">
        <v>754</v>
      </c>
      <c r="H69" s="2872" t="s">
        <v>2929</v>
      </c>
      <c r="I69" s="1808" t="s">
        <v>2930</v>
      </c>
      <c r="J69" s="603" t="s">
        <v>2579</v>
      </c>
      <c r="K69" s="603" t="s">
        <v>2580</v>
      </c>
      <c r="L69" s="603" t="s">
        <v>2581</v>
      </c>
      <c r="M69" s="603" t="s">
        <v>2582</v>
      </c>
      <c r="N69" s="603" t="s">
        <v>2583</v>
      </c>
      <c r="AA69" s="1370"/>
      <c r="AB69" s="1370"/>
      <c r="AC69" s="1370"/>
      <c r="AD69" s="1370"/>
      <c r="AE69" s="1370"/>
      <c r="AF69" s="1370"/>
      <c r="AG69" s="1370"/>
      <c r="AH69" s="1370"/>
      <c r="AI69" s="1370"/>
      <c r="AJ69" s="1370"/>
      <c r="AK69" s="1370"/>
    </row>
    <row r="70" spans="1:37" s="1369" customFormat="1" ht="51">
      <c r="A70" s="2870" t="s">
        <v>2946</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0"/>
      <c r="AB70" s="1370"/>
      <c r="AC70" s="1370"/>
      <c r="AD70" s="1370"/>
      <c r="AE70" s="1370"/>
      <c r="AF70" s="1370"/>
      <c r="AG70" s="1370"/>
      <c r="AH70" s="1370"/>
      <c r="AI70" s="1370"/>
      <c r="AJ70" s="1370"/>
      <c r="AK70" s="1370"/>
    </row>
    <row r="71" spans="1:37" s="1369" customFormat="1" ht="51">
      <c r="A71" s="2870" t="s">
        <v>2932</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0"/>
      <c r="AB71" s="1370"/>
      <c r="AC71" s="1370"/>
      <c r="AD71" s="1370"/>
      <c r="AE71" s="1370"/>
      <c r="AF71" s="1370"/>
      <c r="AG71" s="1370"/>
      <c r="AH71" s="1370"/>
      <c r="AI71" s="1370"/>
      <c r="AJ71" s="1370"/>
      <c r="AK71" s="1370"/>
    </row>
    <row r="72" spans="1:37" s="1369" customFormat="1" ht="24">
      <c r="A72" s="2870" t="s">
        <v>2933</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0"/>
      <c r="AB72" s="1370"/>
      <c r="AC72" s="1370"/>
      <c r="AD72" s="1370"/>
      <c r="AE72" s="1370"/>
      <c r="AF72" s="1370"/>
      <c r="AG72" s="1370"/>
      <c r="AH72" s="1370"/>
      <c r="AI72" s="1370"/>
      <c r="AJ72" s="1370"/>
      <c r="AK72" s="1370"/>
    </row>
    <row r="73" spans="1:37" s="1369" customFormat="1" ht="14.25">
      <c r="A73" s="2870" t="s">
        <v>2947</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0"/>
      <c r="AB73" s="1370"/>
      <c r="AC73" s="1370"/>
      <c r="AD73" s="1370"/>
      <c r="AE73" s="1370"/>
      <c r="AF73" s="1370"/>
      <c r="AG73" s="1370"/>
      <c r="AH73" s="1370"/>
      <c r="AI73" s="1370"/>
      <c r="AJ73" s="1370"/>
      <c r="AK73" s="1370"/>
    </row>
    <row r="74" spans="1:37" s="1369" customFormat="1" ht="25.5">
      <c r="A74" s="2870" t="s">
        <v>2939</v>
      </c>
      <c r="B74" s="1724"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0"/>
      <c r="AB74" s="1370"/>
      <c r="AC74" s="1370"/>
      <c r="AD74" s="1370"/>
      <c r="AE74" s="1370"/>
      <c r="AF74" s="1370"/>
      <c r="AG74" s="1370"/>
      <c r="AH74" s="1370"/>
      <c r="AI74" s="1370"/>
      <c r="AJ74" s="1370"/>
      <c r="AK74" s="1370"/>
    </row>
    <row r="75" spans="1:37" s="1369" customFormat="1" ht="25.5">
      <c r="A75" s="2870" t="s">
        <v>2940</v>
      </c>
      <c r="B75" s="1724"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0"/>
      <c r="AB75" s="1370"/>
      <c r="AC75" s="1370"/>
      <c r="AD75" s="1370"/>
      <c r="AE75" s="1370"/>
      <c r="AF75" s="1370"/>
      <c r="AG75" s="1370"/>
      <c r="AH75" s="1370"/>
      <c r="AI75" s="1370"/>
      <c r="AJ75" s="1370"/>
      <c r="AK75" s="1370"/>
    </row>
    <row r="76" spans="1:37" s="2719" customFormat="1" ht="24">
      <c r="A76" s="2870" t="s">
        <v>2937</v>
      </c>
      <c r="B76" s="2876" t="s">
        <v>2938</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0"/>
      <c r="AC76" s="1370"/>
      <c r="AD76" s="1370"/>
      <c r="AE76" s="1370"/>
      <c r="AF76" s="1370"/>
      <c r="AG76" s="1370"/>
      <c r="AH76" s="2881"/>
      <c r="AI76" s="2881"/>
      <c r="AJ76" s="2881"/>
      <c r="AK76" s="2881"/>
    </row>
    <row r="77" spans="1:37" ht="38.25">
      <c r="A77" s="2870" t="s">
        <v>2941</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1"/>
      <c r="AK77" s="2788"/>
    </row>
    <row r="78" spans="1:37" ht="24.75" thickBot="1">
      <c r="A78" s="2878" t="s">
        <v>2948</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1"/>
      <c r="AK78" s="2788"/>
    </row>
    <row r="79" spans="1:37" ht="15">
      <c r="A79" s="2866" t="s">
        <v>2949</v>
      </c>
      <c r="B79" s="2867">
        <f>1+E81</f>
        <v>1</v>
      </c>
      <c r="C79" s="814"/>
      <c r="D79" s="814"/>
      <c r="E79" s="815"/>
      <c r="F79" s="2869"/>
      <c r="G79" s="6"/>
      <c r="H79" s="6"/>
      <c r="I79" s="6"/>
      <c r="J79" s="7"/>
      <c r="K79" s="7"/>
      <c r="L79" s="7"/>
      <c r="M79" s="7"/>
      <c r="N79" s="7"/>
      <c r="Z79" s="2720"/>
      <c r="AA79" s="2788"/>
      <c r="AG79" s="1371"/>
      <c r="AK79" s="2788"/>
    </row>
    <row r="80" spans="1:37" ht="24.75">
      <c r="A80" s="2870" t="s">
        <v>2923</v>
      </c>
      <c r="B80" s="1808"/>
      <c r="C80" s="1808" t="s">
        <v>2925</v>
      </c>
      <c r="D80" s="1808" t="s">
        <v>2926</v>
      </c>
      <c r="E80" s="819" t="s">
        <v>2927</v>
      </c>
      <c r="F80" s="2871" t="s">
        <v>2943</v>
      </c>
      <c r="G80" s="1808" t="s">
        <v>754</v>
      </c>
      <c r="H80" s="2872" t="s">
        <v>2929</v>
      </c>
      <c r="I80" s="1808" t="s">
        <v>2930</v>
      </c>
      <c r="J80" s="603" t="s">
        <v>2579</v>
      </c>
      <c r="K80" s="603" t="s">
        <v>2580</v>
      </c>
      <c r="L80" s="603" t="s">
        <v>2581</v>
      </c>
      <c r="M80" s="603" t="s">
        <v>2582</v>
      </c>
      <c r="N80" s="603" t="s">
        <v>2583</v>
      </c>
      <c r="Z80" s="2720"/>
      <c r="AA80" s="2788"/>
      <c r="AG80" s="1371"/>
      <c r="AK80" s="2788"/>
    </row>
    <row r="81" spans="1:37" ht="38.25">
      <c r="A81" s="2870" t="s">
        <v>2950</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1"/>
      <c r="AK81" s="2788"/>
    </row>
    <row r="82" spans="1:37" ht="51">
      <c r="A82" s="2870" t="s">
        <v>2932</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1"/>
      <c r="AK82" s="2788"/>
    </row>
    <row r="83" spans="1:37" ht="24">
      <c r="A83" s="2870" t="s">
        <v>2933</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1"/>
      <c r="AK83" s="2788"/>
    </row>
    <row r="84" spans="1:37" ht="14.25">
      <c r="A84" s="2870" t="s">
        <v>2947</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1"/>
      <c r="AK84" s="2788"/>
    </row>
    <row r="85" spans="1:37" ht="25.5">
      <c r="A85" s="2870" t="s">
        <v>2939</v>
      </c>
      <c r="B85" s="1724"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1"/>
      <c r="AK85" s="2788"/>
    </row>
    <row r="86" spans="1:37" ht="25.5">
      <c r="A86" s="2870" t="s">
        <v>2940</v>
      </c>
      <c r="B86" s="1724"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1"/>
      <c r="AK86" s="2788"/>
    </row>
    <row r="87" spans="1:37" ht="24">
      <c r="A87" s="2870" t="s">
        <v>2937</v>
      </c>
      <c r="B87" s="2876" t="s">
        <v>2951</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1"/>
      <c r="AK87" s="2788"/>
    </row>
    <row r="88" spans="1:37" ht="39" thickBot="1">
      <c r="A88" s="2878" t="s">
        <v>2952</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1"/>
      <c r="AK88" s="2788"/>
    </row>
    <row r="90" spans="1:37">
      <c r="A90" s="3175" t="s">
        <v>2953</v>
      </c>
      <c r="B90" s="3175"/>
      <c r="C90" s="3175"/>
      <c r="D90" s="3175"/>
      <c r="E90" s="3175"/>
      <c r="F90" s="3175"/>
      <c r="G90" s="3175"/>
      <c r="H90" s="3175"/>
      <c r="I90" s="3175"/>
      <c r="J90" s="3175"/>
      <c r="K90" s="2884"/>
      <c r="L90" s="2884"/>
      <c r="M90" s="2884"/>
      <c r="N90" s="2884"/>
    </row>
    <row r="91" spans="1:37">
      <c r="A91" s="3177" t="s">
        <v>2954</v>
      </c>
      <c r="B91" s="3177" t="s">
        <v>2955</v>
      </c>
      <c r="C91" s="2838" t="s">
        <v>2956</v>
      </c>
      <c r="D91" s="2839"/>
      <c r="E91" s="2839"/>
      <c r="F91" s="2839"/>
      <c r="G91" s="2839"/>
      <c r="H91" s="2839"/>
      <c r="I91" s="2839"/>
      <c r="J91" s="2885"/>
      <c r="K91" s="2886"/>
      <c r="L91" s="2886"/>
      <c r="M91" s="2886"/>
      <c r="N91" s="2886"/>
    </row>
    <row r="92" spans="1:37">
      <c r="A92" s="3177"/>
      <c r="B92" s="3177"/>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178" t="s">
        <v>2957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79"/>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79"/>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79"/>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79"/>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79"/>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79"/>
      <c r="B99" s="2887" t="s">
        <v>2839</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80"/>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78" t="s">
        <v>2958</v>
      </c>
      <c r="B101" s="2891" t="s">
        <v>2959</v>
      </c>
      <c r="C101" s="2892">
        <f>$G$3</f>
        <v>3.53</v>
      </c>
      <c r="D101" s="2892">
        <f t="shared" ref="D101:N101" si="32">$G$3</f>
        <v>3.53</v>
      </c>
      <c r="E101" s="2892">
        <f t="shared" si="32"/>
        <v>3.53</v>
      </c>
      <c r="F101" s="2892">
        <f t="shared" si="32"/>
        <v>3.53</v>
      </c>
      <c r="G101" s="2892">
        <f t="shared" si="32"/>
        <v>3.53</v>
      </c>
      <c r="H101" s="2892">
        <f t="shared" si="32"/>
        <v>3.53</v>
      </c>
      <c r="I101" s="2892">
        <f t="shared" si="32"/>
        <v>3.53</v>
      </c>
      <c r="J101" s="2892">
        <f t="shared" si="32"/>
        <v>3.53</v>
      </c>
      <c r="K101" s="2892">
        <f t="shared" si="32"/>
        <v>3.53</v>
      </c>
      <c r="L101" s="2892">
        <f t="shared" si="32"/>
        <v>3.53</v>
      </c>
      <c r="M101" s="2892">
        <f t="shared" si="32"/>
        <v>3.53</v>
      </c>
      <c r="N101" s="2892">
        <f t="shared" si="32"/>
        <v>3.53</v>
      </c>
    </row>
    <row r="102" spans="1:14">
      <c r="A102" s="3179"/>
      <c r="B102" s="2887">
        <v>1</v>
      </c>
      <c r="C102" s="2888">
        <f>1.9362/C101</f>
        <v>0.54849858356940506</v>
      </c>
      <c r="D102" s="2888">
        <f>1.9362/D101</f>
        <v>0.54849858356940506</v>
      </c>
      <c r="E102" s="2888">
        <f>1.8629/E101</f>
        <v>0.52773371104815869</v>
      </c>
      <c r="F102" s="2888">
        <f>1.8629/F101</f>
        <v>0.52773371104815869</v>
      </c>
      <c r="G102" s="2888">
        <f>1.8629/G101</f>
        <v>0.52773371104815869</v>
      </c>
      <c r="H102" s="2888">
        <f>1.8629/H101</f>
        <v>0.52773371104815869</v>
      </c>
      <c r="I102" s="2888">
        <f>1.8629/I101</f>
        <v>0.52773371104815869</v>
      </c>
      <c r="J102" s="2888">
        <f>1.942/J101</f>
        <v>0.55014164305949009</v>
      </c>
      <c r="K102" s="2888">
        <f>1.942/K101</f>
        <v>0.55014164305949009</v>
      </c>
      <c r="L102" s="2888">
        <f>1.942/L101</f>
        <v>0.55014164305949009</v>
      </c>
      <c r="M102" s="2888">
        <f>1.942/M101</f>
        <v>0.55014164305949009</v>
      </c>
      <c r="N102" s="2888">
        <f>1.942/N101</f>
        <v>0.55014164305949009</v>
      </c>
    </row>
    <row r="103" spans="1:14">
      <c r="A103" s="3179"/>
      <c r="B103" s="2887">
        <v>2</v>
      </c>
      <c r="C103" s="2888">
        <f>1.4198/C101</f>
        <v>0.40220963172804536</v>
      </c>
      <c r="D103" s="2888">
        <f>1.4198/D101</f>
        <v>0.40220963172804536</v>
      </c>
      <c r="E103" s="2888">
        <f>1.3372/E101</f>
        <v>0.37881019830028329</v>
      </c>
      <c r="F103" s="2888">
        <f>1.3372/F101</f>
        <v>0.37881019830028329</v>
      </c>
      <c r="G103" s="2888">
        <f>1.3372/G101</f>
        <v>0.37881019830028329</v>
      </c>
      <c r="H103" s="2888">
        <f>1.3372/H101</f>
        <v>0.37881019830028329</v>
      </c>
      <c r="I103" s="2888">
        <f>1.3372/I101</f>
        <v>0.37881019830028329</v>
      </c>
      <c r="J103" s="2888">
        <f>1.2799/J101</f>
        <v>0.36257790368271958</v>
      </c>
      <c r="K103" s="2888">
        <f>1.2799/K101</f>
        <v>0.36257790368271958</v>
      </c>
      <c r="L103" s="2888">
        <f>1.2799/L101</f>
        <v>0.36257790368271958</v>
      </c>
      <c r="M103" s="2888">
        <f>1.2799/M101</f>
        <v>0.36257790368271958</v>
      </c>
      <c r="N103" s="2888">
        <f>1.2799/N101</f>
        <v>0.36257790368271958</v>
      </c>
    </row>
    <row r="104" spans="1:14">
      <c r="A104" s="3179"/>
      <c r="B104" s="2887">
        <v>3</v>
      </c>
      <c r="C104" s="2888">
        <f>1.1594/C101</f>
        <v>0.32844192634560909</v>
      </c>
      <c r="D104" s="2888">
        <f>1.1594/D101</f>
        <v>0.32844192634560909</v>
      </c>
      <c r="E104" s="2888">
        <f>1.0788/E101</f>
        <v>0.30560906515580738</v>
      </c>
      <c r="F104" s="2888">
        <f>1.0788/F101</f>
        <v>0.30560906515580738</v>
      </c>
      <c r="G104" s="2888">
        <f>1.0788/G101</f>
        <v>0.30560906515580738</v>
      </c>
      <c r="H104" s="2888">
        <f>1.0788/H101</f>
        <v>0.30560906515580738</v>
      </c>
      <c r="I104" s="2888">
        <f>1.0788/I101</f>
        <v>0.30560906515580738</v>
      </c>
      <c r="J104" s="2888">
        <f>1.0072/J101</f>
        <v>0.28532577903682727</v>
      </c>
      <c r="K104" s="2888">
        <f>1.0072/K101</f>
        <v>0.28532577903682727</v>
      </c>
      <c r="L104" s="2888">
        <f>1.0072/L101</f>
        <v>0.28532577903682727</v>
      </c>
      <c r="M104" s="2888">
        <f>1.0072/M101</f>
        <v>0.28532577903682727</v>
      </c>
      <c r="N104" s="2888">
        <f>1.0072/N101</f>
        <v>0.28532577903682727</v>
      </c>
    </row>
    <row r="105" spans="1:14">
      <c r="A105" s="3179"/>
      <c r="B105" s="2887">
        <v>4</v>
      </c>
      <c r="C105" s="2888">
        <f>0.9622/C101</f>
        <v>0.27257790368271956</v>
      </c>
      <c r="D105" s="2888">
        <f>0.9622/D101</f>
        <v>0.27257790368271956</v>
      </c>
      <c r="E105" s="2888">
        <f>0.8656/E101</f>
        <v>0.24521246458923515</v>
      </c>
      <c r="F105" s="2888">
        <f>0.8656/F101</f>
        <v>0.24521246458923515</v>
      </c>
      <c r="G105" s="2888">
        <f>0.8656/G101</f>
        <v>0.24521246458923515</v>
      </c>
      <c r="H105" s="2888">
        <f>0.8656/H101</f>
        <v>0.24521246458923515</v>
      </c>
      <c r="I105" s="2888">
        <f>0.8656/I101</f>
        <v>0.24521246458923515</v>
      </c>
      <c r="J105" s="2888">
        <f>0.7525/J101</f>
        <v>0.21317280453257789</v>
      </c>
      <c r="K105" s="2888">
        <f>0.7525/K101</f>
        <v>0.21317280453257789</v>
      </c>
      <c r="L105" s="2888">
        <f>0.7525/L101</f>
        <v>0.21317280453257789</v>
      </c>
      <c r="M105" s="2888">
        <f>0.7525/M101</f>
        <v>0.21317280453257789</v>
      </c>
      <c r="N105" s="2888">
        <f>0.7525/N101</f>
        <v>0.21317280453257789</v>
      </c>
    </row>
    <row r="106" spans="1:14">
      <c r="A106" s="3179"/>
      <c r="B106" s="2887">
        <v>5</v>
      </c>
      <c r="C106" s="2888">
        <f>0.8417/C101</f>
        <v>0.23844192634560907</v>
      </c>
      <c r="D106" s="2888">
        <f>0.8417/D101</f>
        <v>0.23844192634560907</v>
      </c>
      <c r="E106" s="2888">
        <f>0.7371/E101</f>
        <v>0.2088101983002833</v>
      </c>
      <c r="F106" s="2888">
        <f>0.7371/F101</f>
        <v>0.2088101983002833</v>
      </c>
      <c r="G106" s="2888">
        <f>0.7371/G101</f>
        <v>0.2088101983002833</v>
      </c>
      <c r="H106" s="2888">
        <f>0.7371/H101</f>
        <v>0.2088101983002833</v>
      </c>
      <c r="I106" s="2888">
        <f>0.7371/I101</f>
        <v>0.2088101983002833</v>
      </c>
      <c r="J106" s="2888">
        <f>0.5659/J101</f>
        <v>0.16031161473087818</v>
      </c>
      <c r="K106" s="2888">
        <f>0.5659/K101</f>
        <v>0.16031161473087818</v>
      </c>
      <c r="L106" s="2888">
        <f>0.5659/L101</f>
        <v>0.16031161473087818</v>
      </c>
      <c r="M106" s="2888">
        <f>0.5659/M101</f>
        <v>0.16031161473087818</v>
      </c>
      <c r="N106" s="2888">
        <f>0.5659/N101</f>
        <v>0.16031161473087818</v>
      </c>
    </row>
    <row r="107" spans="1:14">
      <c r="A107" s="3179"/>
      <c r="B107" s="2887">
        <v>6</v>
      </c>
      <c r="C107" s="2888">
        <f>0.7608/C101</f>
        <v>0.21552407932011333</v>
      </c>
      <c r="D107" s="2888">
        <f>0.7608/D101</f>
        <v>0.21552407932011333</v>
      </c>
      <c r="E107" s="2888">
        <f>0.6482/E101</f>
        <v>0.18362606232294618</v>
      </c>
      <c r="F107" s="2888">
        <f>0.6482/F101</f>
        <v>0.18362606232294618</v>
      </c>
      <c r="G107" s="2888">
        <f>0.6482/G101</f>
        <v>0.18362606232294618</v>
      </c>
      <c r="H107" s="2888">
        <f>0.6482/H101</f>
        <v>0.18362606232294618</v>
      </c>
      <c r="I107" s="2888">
        <f>0.6482/I101</f>
        <v>0.18362606232294618</v>
      </c>
      <c r="J107" s="2888">
        <f>0.4525/J101</f>
        <v>0.12818696883852693</v>
      </c>
      <c r="K107" s="2888">
        <f>0.4525/K101</f>
        <v>0.12818696883852693</v>
      </c>
      <c r="L107" s="2888">
        <f>0.4525/L101</f>
        <v>0.12818696883852693</v>
      </c>
      <c r="M107" s="2888">
        <f>0.4525/M101</f>
        <v>0.12818696883852693</v>
      </c>
      <c r="N107" s="2888">
        <f>0.4525/N101</f>
        <v>0.12818696883852693</v>
      </c>
    </row>
    <row r="108" spans="1:14">
      <c r="A108" s="3179"/>
      <c r="B108" s="3133" t="s">
        <v>2960</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80"/>
      <c r="B109" s="3134"/>
      <c r="C109" s="2890">
        <f>(-0.163*(C108^2)-0.59*C108+7617)*(10^(-4))/C101</f>
        <v>0.21577903682719549</v>
      </c>
      <c r="D109" s="2890">
        <f>(-0.163*(D108^2)-0.59*D108+7617)*(10^(-4))/D101</f>
        <v>0.21577903682719549</v>
      </c>
      <c r="E109" s="2890">
        <f>(-0.161*(E108^2)-7.509*E108+6533)*(10^(-4))/E101</f>
        <v>0.18507082152974505</v>
      </c>
      <c r="F109" s="2890">
        <f>(-0.161*(F108^2)-7.509*F108+6533)*(10^(-4))/F101</f>
        <v>0.18507082152974505</v>
      </c>
      <c r="G109" s="2890">
        <f>(-0.161*(G108^2)-7.509*G108+6533)*(10^(-4))/G101</f>
        <v>0.18507082152974505</v>
      </c>
      <c r="H109" s="2890">
        <f>(-0.161*(H108^2)-7.509*H108+6533)*(10^(-4))/H101</f>
        <v>0.18507082152974505</v>
      </c>
      <c r="I109" s="2890">
        <f>(-0.161*(I108^2)-7.509*I108+6533)*(10^(-4))/I101</f>
        <v>0.18507082152974505</v>
      </c>
      <c r="J109" s="2890">
        <f>(-0.214*(J108^2)-21.991*J108+4665)*(10^(-4))/J101</f>
        <v>0.13215297450424932</v>
      </c>
      <c r="K109" s="2890">
        <f>(-0.214*(K108^2)-21.991*K108+4665)*(10^(-4))/K101</f>
        <v>0.13215297450424932</v>
      </c>
      <c r="L109" s="2890">
        <f>(-0.214*(L108^2)-21.991*L108+4665)*(10^(-4))/L101</f>
        <v>0.13215297450424932</v>
      </c>
      <c r="M109" s="2890">
        <f>(-0.214*(M108^2)-21.991*M108+4665)*(10^(-4))/M101</f>
        <v>0.13215297450424932</v>
      </c>
      <c r="N109" s="2890">
        <f>(-0.214*(N108^2)-21.991*N108+4665)*(10^(-4))/N101</f>
        <v>0.13215297450424932</v>
      </c>
    </row>
    <row r="110" spans="1:14">
      <c r="A110" s="3176" t="s">
        <v>2961</v>
      </c>
      <c r="B110" s="3176"/>
      <c r="C110" s="3176"/>
      <c r="D110" s="3176"/>
      <c r="E110" s="3176"/>
      <c r="F110" s="3176"/>
      <c r="G110" s="3176"/>
      <c r="H110" s="3176"/>
      <c r="I110" s="3176"/>
      <c r="J110" s="3176"/>
      <c r="K110" s="2893"/>
      <c r="L110" s="2893"/>
      <c r="M110" s="2893"/>
      <c r="N110" s="2893"/>
    </row>
    <row r="112" spans="1:14" ht="13.5" thickBot="1"/>
    <row r="113" spans="1:13" ht="25.5" thickBot="1">
      <c r="A113" s="903" t="s">
        <v>2962</v>
      </c>
      <c r="B113" s="1287">
        <f>G3</f>
        <v>3.53</v>
      </c>
      <c r="C113" s="904" t="s">
        <v>2963</v>
      </c>
      <c r="D113" s="905">
        <f>SUMPRODUCT((A115:A118=F113)*(B114:M114=H113)*B115:M118)</f>
        <v>0.79459999999999997</v>
      </c>
      <c r="E113" s="2724" t="s">
        <v>2796</v>
      </c>
      <c r="F113" s="2895" t="str">
        <f>E2</f>
        <v>商业</v>
      </c>
      <c r="G113" s="2724" t="s">
        <v>2797</v>
      </c>
      <c r="H113" s="2895" t="str">
        <f>G2</f>
        <v>六级</v>
      </c>
      <c r="I113" s="2724"/>
      <c r="J113" s="2896"/>
      <c r="K113" s="2896"/>
      <c r="L113" s="2896"/>
      <c r="M113" s="2896"/>
    </row>
    <row r="114" spans="1:13">
      <c r="A114" s="908"/>
      <c r="B114" s="2897" t="s">
        <v>2964</v>
      </c>
      <c r="C114" s="2897" t="s">
        <v>2965</v>
      </c>
      <c r="D114" s="2897" t="s">
        <v>2966</v>
      </c>
      <c r="E114" s="2898" t="s">
        <v>2967</v>
      </c>
      <c r="F114" s="2898" t="s">
        <v>2968</v>
      </c>
      <c r="G114" s="2898" t="s">
        <v>2969</v>
      </c>
      <c r="H114" s="2899" t="s">
        <v>2970</v>
      </c>
      <c r="I114" s="2899" t="s">
        <v>2971</v>
      </c>
      <c r="J114" s="2900" t="s">
        <v>2972</v>
      </c>
      <c r="K114" s="2900" t="s">
        <v>2973</v>
      </c>
      <c r="L114" s="2900" t="s">
        <v>2974</v>
      </c>
      <c r="M114" s="2901" t="s">
        <v>2975</v>
      </c>
    </row>
    <row r="115" spans="1:13">
      <c r="A115" s="909" t="s">
        <v>2861</v>
      </c>
      <c r="B115" s="910">
        <f>ROUND(0.9335-0.0094*B113,4)</f>
        <v>0.90029999999999999</v>
      </c>
      <c r="C115" s="910">
        <f>B115</f>
        <v>0.90029999999999999</v>
      </c>
      <c r="D115" s="910">
        <f>ROUND(0.8331-0.0109*B113,4)</f>
        <v>0.79459999999999997</v>
      </c>
      <c r="E115" s="910">
        <f>D115</f>
        <v>0.79459999999999997</v>
      </c>
      <c r="F115" s="910">
        <f>E115</f>
        <v>0.79459999999999997</v>
      </c>
      <c r="G115" s="910">
        <f>F115</f>
        <v>0.79459999999999997</v>
      </c>
      <c r="H115" s="910">
        <f>G115</f>
        <v>0.79459999999999997</v>
      </c>
      <c r="I115" s="910">
        <f>ROUND(0.689-0.0155*B113,4)</f>
        <v>0.63429999999999997</v>
      </c>
      <c r="J115" s="910">
        <f t="shared" ref="J115:M118" si="34">I115</f>
        <v>0.63429999999999997</v>
      </c>
      <c r="K115" s="910">
        <f t="shared" si="34"/>
        <v>0.63429999999999997</v>
      </c>
      <c r="L115" s="910">
        <f t="shared" si="34"/>
        <v>0.63429999999999997</v>
      </c>
      <c r="M115" s="911">
        <f t="shared" si="34"/>
        <v>0.63429999999999997</v>
      </c>
    </row>
    <row r="116" spans="1:13">
      <c r="A116" s="909" t="s">
        <v>2862</v>
      </c>
      <c r="B116" s="910">
        <f>ROUND(0.949-0.012*B113,4)</f>
        <v>0.90659999999999996</v>
      </c>
      <c r="C116" s="910">
        <f>B116</f>
        <v>0.90659999999999996</v>
      </c>
      <c r="D116" s="910">
        <f>ROUND(0.8567-0.013*B113,4)</f>
        <v>0.81079999999999997</v>
      </c>
      <c r="E116" s="910">
        <f t="shared" ref="E116:H117" si="35">D116</f>
        <v>0.81079999999999997</v>
      </c>
      <c r="F116" s="910">
        <f t="shared" si="35"/>
        <v>0.81079999999999997</v>
      </c>
      <c r="G116" s="910">
        <f t="shared" si="35"/>
        <v>0.81079999999999997</v>
      </c>
      <c r="H116" s="910">
        <f t="shared" si="35"/>
        <v>0.81079999999999997</v>
      </c>
      <c r="I116" s="910">
        <f>ROUND(0.7694-0.014*B113,4)</f>
        <v>0.72</v>
      </c>
      <c r="J116" s="910">
        <f t="shared" si="34"/>
        <v>0.72</v>
      </c>
      <c r="K116" s="910">
        <f t="shared" si="34"/>
        <v>0.72</v>
      </c>
      <c r="L116" s="910">
        <f t="shared" si="34"/>
        <v>0.72</v>
      </c>
      <c r="M116" s="911">
        <f t="shared" si="34"/>
        <v>0.72</v>
      </c>
    </row>
    <row r="117" spans="1:13">
      <c r="A117" s="909" t="s">
        <v>2863</v>
      </c>
      <c r="B117" s="910">
        <f>ROUND(0.8808-0.006*B113,4)</f>
        <v>0.85960000000000003</v>
      </c>
      <c r="C117" s="910">
        <f>B117</f>
        <v>0.85960000000000003</v>
      </c>
      <c r="D117" s="910">
        <f>ROUND(0.8748-0.008*B113,4)</f>
        <v>0.84660000000000002</v>
      </c>
      <c r="E117" s="910">
        <f t="shared" si="35"/>
        <v>0.84660000000000002</v>
      </c>
      <c r="F117" s="910">
        <f t="shared" si="35"/>
        <v>0.84660000000000002</v>
      </c>
      <c r="G117" s="910">
        <f t="shared" si="35"/>
        <v>0.84660000000000002</v>
      </c>
      <c r="H117" s="910">
        <f t="shared" si="35"/>
        <v>0.84660000000000002</v>
      </c>
      <c r="I117" s="910">
        <f>ROUND(0.7412-0.0095*B113,4)</f>
        <v>0.7077</v>
      </c>
      <c r="J117" s="910">
        <f t="shared" si="34"/>
        <v>0.7077</v>
      </c>
      <c r="K117" s="910">
        <f t="shared" si="34"/>
        <v>0.7077</v>
      </c>
      <c r="L117" s="910">
        <f t="shared" si="34"/>
        <v>0.7077</v>
      </c>
      <c r="M117" s="911">
        <f t="shared" si="34"/>
        <v>0.7077</v>
      </c>
    </row>
    <row r="118" spans="1:13" ht="13.5" thickBot="1">
      <c r="A118" s="714" t="s">
        <v>2864</v>
      </c>
      <c r="B118" s="912">
        <f>ROUND(0.7275-0.01*B113,4)</f>
        <v>0.69220000000000004</v>
      </c>
      <c r="C118" s="912">
        <f>B118</f>
        <v>0.69220000000000004</v>
      </c>
      <c r="D118" s="912">
        <f>ROUND(0.7043-0.012*B113,4)</f>
        <v>0.66190000000000004</v>
      </c>
      <c r="E118" s="912">
        <f>D118</f>
        <v>0.66190000000000004</v>
      </c>
      <c r="F118" s="912">
        <f>E118</f>
        <v>0.66190000000000004</v>
      </c>
      <c r="G118" s="912">
        <f>ROUND(0.6299-0.0122*B113,4)</f>
        <v>0.58679999999999999</v>
      </c>
      <c r="H118" s="912">
        <f>G118</f>
        <v>0.58679999999999999</v>
      </c>
      <c r="I118" s="912">
        <f>ROUND(0.5667-0.0136*B113,4)</f>
        <v>0.51870000000000005</v>
      </c>
      <c r="J118" s="912">
        <f t="shared" si="34"/>
        <v>0.51870000000000005</v>
      </c>
      <c r="K118" s="912">
        <f t="shared" si="34"/>
        <v>0.51870000000000005</v>
      </c>
      <c r="L118" s="912">
        <f t="shared" si="34"/>
        <v>0.51870000000000005</v>
      </c>
      <c r="M118" s="913">
        <f t="shared" si="34"/>
        <v>0.51870000000000005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9" sqref="E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t="s">
        <v>1363</v>
      </c>
      <c r="D1" s="1819" t="s">
        <v>70</v>
      </c>
      <c r="E1" s="1820" t="s">
        <v>1373</v>
      </c>
      <c r="F1" s="1283">
        <f ca="1">J53</f>
        <v>22.61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1501</v>
      </c>
      <c r="B2" s="1843">
        <f ca="1">C40+J29+L46</f>
        <v>123530</v>
      </c>
      <c r="C2" s="1844" t="s">
        <v>1502</v>
      </c>
      <c r="D2" s="1844"/>
      <c r="E2" s="1845"/>
      <c r="F2" s="1846"/>
      <c r="G2" s="1847"/>
      <c r="H2" s="1839"/>
      <c r="I2" s="1839"/>
      <c r="J2" s="1839"/>
      <c r="K2" s="1840"/>
      <c r="L2" s="1839"/>
      <c r="M2" s="1839"/>
    </row>
    <row r="3" spans="1:37" ht="18" customHeight="1" thickBot="1">
      <c r="A3" s="1848" t="s">
        <v>1503</v>
      </c>
      <c r="B3" s="1849">
        <f ca="1">IF(ISERROR(B2*10000/F43),0,ROUND(B2*10000/F43,0))</f>
        <v>22063</v>
      </c>
      <c r="C3" s="1844" t="s">
        <v>1504</v>
      </c>
      <c r="D3" s="1844"/>
      <c r="E3" s="1845"/>
      <c r="F3" s="1846"/>
      <c r="G3" s="1847"/>
      <c r="H3" s="744" t="s">
        <v>1574</v>
      </c>
      <c r="I3" s="1839"/>
      <c r="J3" s="1839"/>
      <c r="K3" s="1840"/>
      <c r="L3" s="1839"/>
      <c r="M3" s="1839"/>
    </row>
    <row r="4" spans="1:37" ht="18" customHeight="1">
      <c r="A4" s="340" t="s">
        <v>1382</v>
      </c>
      <c r="B4" s="341" t="s">
        <v>1383</v>
      </c>
      <c r="C4" s="341" t="s">
        <v>1384</v>
      </c>
      <c r="D4" s="341" t="s">
        <v>1385</v>
      </c>
      <c r="E4" s="342" t="s">
        <v>1386</v>
      </c>
      <c r="F4" s="343"/>
      <c r="G4" s="1850"/>
      <c r="H4" s="340" t="s">
        <v>1382</v>
      </c>
      <c r="I4" s="341" t="s">
        <v>1383</v>
      </c>
      <c r="J4" s="341" t="s">
        <v>1384</v>
      </c>
      <c r="K4" s="341" t="s">
        <v>1385</v>
      </c>
      <c r="L4" s="342" t="s">
        <v>1386</v>
      </c>
      <c r="M4" s="343"/>
    </row>
    <row r="5" spans="1:37" ht="18" customHeight="1">
      <c r="A5" s="344">
        <v>1</v>
      </c>
      <c r="B5" s="345" t="s">
        <v>1387</v>
      </c>
      <c r="C5" s="1292">
        <f ca="1">C6+C10+C12</f>
        <v>9750</v>
      </c>
      <c r="D5" s="1821" t="s">
        <v>1388</v>
      </c>
      <c r="E5" s="1293"/>
      <c r="F5" s="1294"/>
      <c r="G5" s="1850"/>
      <c r="H5" s="344">
        <v>1</v>
      </c>
      <c r="I5" s="345" t="s">
        <v>1387</v>
      </c>
      <c r="J5" s="1292">
        <f ca="1">J6+J10+J12</f>
        <v>0</v>
      </c>
      <c r="K5" s="1821" t="s">
        <v>1388</v>
      </c>
      <c r="L5" s="1293"/>
      <c r="M5" s="1294"/>
    </row>
    <row r="6" spans="1:37" ht="18" customHeight="1">
      <c r="A6" s="1291" t="s">
        <v>1032</v>
      </c>
      <c r="B6" s="3188" t="s">
        <v>1389</v>
      </c>
      <c r="C6" s="1296">
        <f ca="1">ROUND(F6*F8*F7*(1-F9)/10000,0)</f>
        <v>9750</v>
      </c>
      <c r="D6" s="164" t="s">
        <v>3013</v>
      </c>
      <c r="E6" s="347" t="s">
        <v>1391</v>
      </c>
      <c r="F6" s="348">
        <f ca="1">INDIRECT("'数据-取费表'!u"&amp;$G$1)</f>
        <v>97497789.999999985</v>
      </c>
      <c r="G6" s="1850"/>
      <c r="H6" s="1291" t="s">
        <v>1032</v>
      </c>
      <c r="I6" s="3188" t="s">
        <v>1389</v>
      </c>
      <c r="J6" s="346">
        <f ca="1">ROUND(M6*M8*M7*(1-M9)/10000,0)</f>
        <v>0</v>
      </c>
      <c r="K6" s="164" t="s">
        <v>3012</v>
      </c>
      <c r="L6" s="347" t="s">
        <v>1391</v>
      </c>
      <c r="M6" s="348">
        <f ca="1">INDIRECT("'数据-取费表'!z"&amp;$G$1)</f>
        <v>0</v>
      </c>
    </row>
    <row r="7" spans="1:37" ht="18" customHeight="1">
      <c r="A7" s="1295"/>
      <c r="B7" s="3189"/>
      <c r="C7" s="1297"/>
      <c r="D7" s="352"/>
      <c r="E7" s="1298" t="s">
        <v>1392</v>
      </c>
      <c r="F7" s="348">
        <f ca="1">IF(INDIRECT("'数据-取费表'!ah"&amp;$G$1)="",INDIRECT("'数据-取费表'!k"&amp;$G$1),INDIRECT("'数据-取费表'!ah"&amp;$G$1))</f>
        <v>1</v>
      </c>
      <c r="G7" s="1850"/>
      <c r="H7" s="349"/>
      <c r="I7" s="3189"/>
      <c r="J7" s="351"/>
      <c r="K7" s="352"/>
      <c r="L7" s="347" t="s">
        <v>1392</v>
      </c>
      <c r="M7" s="348">
        <f ca="1">F7</f>
        <v>1</v>
      </c>
    </row>
    <row r="8" spans="1:37" ht="18" customHeight="1">
      <c r="A8" s="349"/>
      <c r="B8" s="3189"/>
      <c r="C8" s="351"/>
      <c r="D8" s="352"/>
      <c r="E8" s="347" t="s">
        <v>1393</v>
      </c>
      <c r="F8" s="348">
        <f ca="1">INDIRECT("'数据-取费表'!ai"&amp;$G$1)</f>
        <v>1</v>
      </c>
      <c r="G8" s="1850"/>
      <c r="H8" s="349"/>
      <c r="I8" s="3189"/>
      <c r="J8" s="351"/>
      <c r="K8" s="352"/>
      <c r="L8" s="347" t="s">
        <v>1393</v>
      </c>
      <c r="M8" s="348">
        <f ca="1">INDIRECT("'数据-取费表'!ai"&amp;$G$1)</f>
        <v>1</v>
      </c>
    </row>
    <row r="9" spans="1:37" ht="18" customHeight="1">
      <c r="A9" s="349"/>
      <c r="B9" s="3190"/>
      <c r="C9" s="351"/>
      <c r="D9" s="352"/>
      <c r="E9" s="347" t="s">
        <v>1394</v>
      </c>
      <c r="F9" s="357">
        <f ca="1">INDIRECT("'数据-取费表'!w"&amp;$G$1)</f>
        <v>0</v>
      </c>
      <c r="G9" s="1850"/>
      <c r="H9" s="349"/>
      <c r="I9" s="3190"/>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3022</v>
      </c>
      <c r="E10" s="358" t="s">
        <v>1396</v>
      </c>
      <c r="F10" s="1365" t="s">
        <v>3145</v>
      </c>
      <c r="G10" s="1850"/>
      <c r="H10" s="1291" t="s">
        <v>1036</v>
      </c>
      <c r="I10" s="1822" t="s">
        <v>1395</v>
      </c>
      <c r="J10" s="346">
        <f ca="1">ROUND(IF(M10="押一",J6/12*M11,IF(M10="押二",J6/12*2*M11,IF(M10="押三",J6/12*3*M11,J11*M11))),0)</f>
        <v>0</v>
      </c>
      <c r="K10" s="1823" t="s">
        <v>3021</v>
      </c>
      <c r="L10" s="358" t="s">
        <v>1396</v>
      </c>
      <c r="M10" s="1365" t="s">
        <v>1397</v>
      </c>
    </row>
    <row r="11" spans="1:37" ht="18" customHeight="1">
      <c r="A11" s="353"/>
      <c r="B11" s="1824" t="s">
        <v>1374</v>
      </c>
      <c r="C11" s="1178"/>
      <c r="D11" s="1825"/>
      <c r="E11" s="358" t="s">
        <v>1398</v>
      </c>
      <c r="F11" s="359">
        <f ca="1">'数据-取费表'!B39</f>
        <v>1.4999999999999999E-2</v>
      </c>
      <c r="G11" s="1850"/>
      <c r="H11" s="1299"/>
      <c r="I11" s="1824" t="s">
        <v>1374</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58753</v>
      </c>
      <c r="D13" s="1330" t="s">
        <v>1401</v>
      </c>
      <c r="E13" s="1330" t="s">
        <v>1402</v>
      </c>
      <c r="F13" s="1331">
        <f ca="1">INDIRECT("'数据-取费表'!y"&amp;$G$1)</f>
        <v>0.82</v>
      </c>
      <c r="G13" s="1850"/>
      <c r="H13" s="1328">
        <v>2</v>
      </c>
      <c r="I13" s="1329" t="s">
        <v>1400</v>
      </c>
      <c r="J13" s="1290">
        <f ca="1">ROUND(J14*J15,0)</f>
        <v>0</v>
      </c>
      <c r="K13" s="1336" t="s">
        <v>1401</v>
      </c>
      <c r="L13" s="1851"/>
      <c r="M13" s="1852"/>
    </row>
    <row r="14" spans="1:37" ht="18" customHeight="1">
      <c r="A14" s="1201" t="s">
        <v>1031</v>
      </c>
      <c r="B14" s="347" t="s">
        <v>1403</v>
      </c>
      <c r="C14" s="363">
        <f ca="1">INDIRECT("'数据-取费表'!m"&amp;$G$1)+INDIRECT("'数据-取费表'!t"&amp;$G$1)</f>
        <v>44792</v>
      </c>
      <c r="D14" s="1799" t="s">
        <v>1404</v>
      </c>
      <c r="E14" s="1793"/>
      <c r="F14" s="364"/>
      <c r="G14" s="1850"/>
      <c r="H14" s="1201" t="s">
        <v>1032</v>
      </c>
      <c r="I14" s="347" t="s">
        <v>1405</v>
      </c>
      <c r="J14" s="24">
        <f ca="1">C29</f>
        <v>71650</v>
      </c>
      <c r="K14" s="15"/>
      <c r="L14" s="979"/>
      <c r="M14" s="980"/>
    </row>
    <row r="15" spans="1:37" s="1857" customFormat="1" ht="18" customHeight="1" thickBot="1">
      <c r="A15" s="1201" t="s">
        <v>1033</v>
      </c>
      <c r="B15" s="347" t="s">
        <v>1406</v>
      </c>
      <c r="C15" s="24">
        <f ca="1">ROUND(C14*F15,0)</f>
        <v>2240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ROUND(INDIRECT("'数据-取费表'!m"&amp;$G$1)*F16,0)</f>
        <v>0</v>
      </c>
      <c r="D16" s="347" t="s">
        <v>1407</v>
      </c>
      <c r="E16" s="347" t="s">
        <v>1408</v>
      </c>
      <c r="F16" s="367">
        <f ca="1">IF(INDIRECT("'数据-取费表'!c"&amp;$G$1)="住宅",'数据-取费表'!B34,0)</f>
        <v>0</v>
      </c>
      <c r="G16" s="1850"/>
      <c r="H16" s="1328" t="s">
        <v>1027</v>
      </c>
      <c r="I16" s="1329" t="s">
        <v>1410</v>
      </c>
      <c r="J16" s="355">
        <f ca="1">ROUND(J17+J22+J23+J24,0)</f>
        <v>1322</v>
      </c>
      <c r="K16" s="1336" t="s">
        <v>1411</v>
      </c>
      <c r="L16" s="1337"/>
      <c r="M16" s="1294"/>
    </row>
    <row r="17" spans="1:37" s="1857" customFormat="1" ht="18" customHeight="1">
      <c r="A17" s="1201" t="s">
        <v>1376</v>
      </c>
      <c r="B17" s="347" t="s">
        <v>1412</v>
      </c>
      <c r="C17" s="24">
        <f ca="1">ROUND(F17*(F43+INDIRECT("'数据-取费表'!S"&amp;$G$1))/10000,0)</f>
        <v>1120</v>
      </c>
      <c r="D17" s="347" t="s">
        <v>1413</v>
      </c>
      <c r="E17" s="347" t="s">
        <v>1414</v>
      </c>
      <c r="F17" s="26">
        <f>'数据-取费表'!B35</f>
        <v>200</v>
      </c>
      <c r="G17" s="1853"/>
      <c r="H17" s="1201" t="s">
        <v>1032</v>
      </c>
      <c r="I17" s="347" t="s">
        <v>1415</v>
      </c>
      <c r="J17" s="24">
        <f ca="1">ROUND(IF(项目基本情况!B11="自然人",J5*M17,J18+J19+J20),1)</f>
        <v>605.70000000000005</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672</v>
      </c>
      <c r="D18" s="347" t="s">
        <v>1407</v>
      </c>
      <c r="E18" s="347" t="s">
        <v>1408</v>
      </c>
      <c r="F18" s="367">
        <f>'数据-取费表'!B36</f>
        <v>1.4999999999999999E-2</v>
      </c>
      <c r="G18" s="1853"/>
      <c r="H18" s="1201" t="s">
        <v>1031</v>
      </c>
      <c r="I18" s="347" t="s">
        <v>1419</v>
      </c>
      <c r="J18" s="24">
        <f ca="1">ROUND(J5*M18/(1+'数据-取费表'!C42),2)</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48824</v>
      </c>
      <c r="D19" s="140" t="s">
        <v>1422</v>
      </c>
      <c r="E19" s="1817"/>
      <c r="F19" s="26"/>
      <c r="G19" s="1850"/>
      <c r="H19" s="1201" t="s">
        <v>1033</v>
      </c>
      <c r="I19" s="347" t="s">
        <v>1423</v>
      </c>
      <c r="J19" s="24">
        <f ca="1">IF(K19="按租金收入计税",ROUND(J5*M19,2),ROUND(C29*M19*0.7,2))</f>
        <v>601.86</v>
      </c>
      <c r="K19" s="1827" t="s">
        <v>1424</v>
      </c>
      <c r="L19" s="347" t="s">
        <v>1408</v>
      </c>
      <c r="M19" s="367">
        <f>IF(K19="按租金收入计税",'数据-取费表'!B51,'数据-取费表'!B50)</f>
        <v>1.2E-2</v>
      </c>
    </row>
    <row r="20" spans="1:37" s="1857" customFormat="1" ht="18" customHeight="1">
      <c r="A20" s="1201" t="s">
        <v>1036</v>
      </c>
      <c r="B20" s="347" t="s">
        <v>1425</v>
      </c>
      <c r="C20" s="24">
        <f ca="1">ROUND(C19*F20,0)</f>
        <v>1221</v>
      </c>
      <c r="D20" s="369" t="s">
        <v>1426</v>
      </c>
      <c r="E20" s="347" t="s">
        <v>1408</v>
      </c>
      <c r="F20" s="367">
        <f>'数据-取费表'!B37</f>
        <v>2.5000000000000001E-2</v>
      </c>
      <c r="G20" s="1853"/>
      <c r="H20" s="1201" t="s">
        <v>1375</v>
      </c>
      <c r="I20" s="164" t="s">
        <v>1427</v>
      </c>
      <c r="J20" s="25">
        <f ca="1">ROUND(M20*M21/10000,2)</f>
        <v>3.79</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18</v>
      </c>
      <c r="D21" s="369" t="s">
        <v>1431</v>
      </c>
      <c r="E21" s="347" t="s">
        <v>1432</v>
      </c>
      <c r="F21" s="367">
        <f>'数据-取费表'!B38</f>
        <v>2.5000000000000001E-2</v>
      </c>
      <c r="G21" s="1853"/>
      <c r="H21" s="372"/>
      <c r="I21" s="356"/>
      <c r="J21" s="29"/>
      <c r="K21" s="373"/>
      <c r="L21" s="347" t="s">
        <v>1433</v>
      </c>
      <c r="M21" s="348">
        <f ca="1">INDIRECT("'数据-取费表'!r"&amp;$G$1)</f>
        <v>12625.6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ROUND(J14*M22,1)</f>
        <v>716.5</v>
      </c>
      <c r="K22" s="1797" t="s">
        <v>1436</v>
      </c>
      <c r="L22" s="347" t="s">
        <v>1408</v>
      </c>
      <c r="M22" s="374">
        <f ca="1">INDIRECT("'数据-取费表'!Ak"&amp;$G$1)</f>
        <v>0.01</v>
      </c>
    </row>
    <row r="23" spans="1:37" s="1857" customFormat="1" ht="18" customHeight="1">
      <c r="A23" s="1201" t="s">
        <v>1031</v>
      </c>
      <c r="B23" s="347" t="s">
        <v>1437</v>
      </c>
      <c r="C23" s="24">
        <f ca="1">IF('数据-取费表'!B22&lt;=1,ROUND(C19*F24*F23/2,0)+ROUND(C20*F24*F23/2,0),ROUND(C19*(POWER((1+F24),F23/2)-1),0)+ROUND(C20*(POWER((1+F24),F23/2)-1),0))</f>
        <v>2989</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ROUND(J13*M23,1)</f>
        <v>0</v>
      </c>
      <c r="K23" s="1797" t="s">
        <v>1440</v>
      </c>
      <c r="L23" s="347" t="s">
        <v>1441</v>
      </c>
      <c r="M23" s="376">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1.5E-3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ROUND(J5*M24,1)</f>
        <v>0</v>
      </c>
      <c r="K24" s="1341" t="s">
        <v>1445</v>
      </c>
      <c r="L24" s="1339" t="s">
        <v>1441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1446</v>
      </c>
      <c r="B25" s="347" t="s">
        <v>1447</v>
      </c>
      <c r="C25" s="24"/>
      <c r="D25" s="140" t="s">
        <v>1448</v>
      </c>
      <c r="E25" s="1817"/>
      <c r="F25" s="26"/>
      <c r="G25" s="1850"/>
      <c r="H25" s="1328" t="s">
        <v>1028</v>
      </c>
      <c r="I25" s="1343" t="s">
        <v>1449</v>
      </c>
      <c r="J25" s="355">
        <f ca="1">J5-J16</f>
        <v>-1322</v>
      </c>
      <c r="K25" s="1344" t="s">
        <v>1450</v>
      </c>
      <c r="L25" s="1345"/>
      <c r="M25" s="1346"/>
    </row>
    <row r="26" spans="1:37">
      <c r="A26" s="1201" t="s">
        <v>1031</v>
      </c>
      <c r="B26" s="347" t="s">
        <v>1451</v>
      </c>
      <c r="C26" s="24">
        <f ca="1">ROUND((C19+C20)*F26,0)</f>
        <v>12511</v>
      </c>
      <c r="D26" s="369" t="s">
        <v>1452</v>
      </c>
      <c r="E26" s="358" t="s">
        <v>1453</v>
      </c>
      <c r="F26" s="357">
        <f ca="1">INDIRECT("'数据-取费表'!q"&amp;$G$1)</f>
        <v>0.25</v>
      </c>
      <c r="G26" s="1850"/>
      <c r="H26" s="344" t="s">
        <v>1029</v>
      </c>
      <c r="I26" s="345" t="s">
        <v>1454</v>
      </c>
      <c r="J26" s="346">
        <f ca="1">IF(J5&lt;&gt;0,ROUND(J25*(1-((1+M28)/(1+M26))^M27)/(M26-M28),0),0)</f>
        <v>0</v>
      </c>
      <c r="K26" s="370" t="s">
        <v>1455</v>
      </c>
      <c r="L26" s="347" t="s">
        <v>1456</v>
      </c>
      <c r="M26" s="357">
        <f ca="1">INDIRECT("'数据-取费表'!I"&amp;$G$1)</f>
        <v>0.06</v>
      </c>
    </row>
    <row r="27" spans="1:37" ht="18" customHeight="1">
      <c r="A27" s="1201" t="s">
        <v>1033</v>
      </c>
      <c r="B27" s="347" t="s">
        <v>1457</v>
      </c>
      <c r="C27" s="24">
        <f ca="1">ROUND(F21*F26,4)</f>
        <v>6.3E-3</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71650</v>
      </c>
      <c r="D29" s="1341"/>
      <c r="E29" s="1339"/>
      <c r="F29" s="1342"/>
      <c r="G29" s="1853"/>
      <c r="H29" s="380" t="s">
        <v>1030</v>
      </c>
      <c r="I29" s="381" t="s">
        <v>1465</v>
      </c>
      <c r="J29" s="382">
        <f ca="1">ROUND(J26/(1+F40)^F41,0)</f>
        <v>0</v>
      </c>
      <c r="K29" s="383" t="s">
        <v>1466</v>
      </c>
      <c r="L29" s="384"/>
      <c r="M29" s="385">
        <f ca="1">INDIRECT("'数据-取费表'!k"&amp;$G$1)</f>
        <v>55990.490000000005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1989</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ROUND(IF(项目基本情况!B11="自然人",C5*F31,C32+C33+C34),1)</f>
        <v>1116.4000000000001</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IF(项目基本情况!B11="自然人","——",ROUND(C5*F32/(1+'数据-取费表'!C42),2))</f>
        <v>510.71</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IF(项目基本情况!B11="自然人","——",IF(D33="按租金收入计税",ROUND(C5*F33,2),IF(D33="按房产原值计税",ROUND(C29*F33*0.7,2),INDIRECT("'数据-取费表'!Aj"&amp;$G$1))))</f>
        <v>601.86</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IF(项目基本情况!B11="自然人","——",ROUND(F34*F35/10000,2))</f>
        <v>3.79</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12625.6</v>
      </c>
      <c r="G35" s="1850"/>
      <c r="H35" s="745"/>
      <c r="I35" s="1859"/>
      <c r="J35" s="1860"/>
      <c r="K35" s="1861"/>
      <c r="L35" s="1858"/>
      <c r="M35" s="1858"/>
    </row>
    <row r="36" spans="1:18" ht="18" customHeight="1">
      <c r="A36" s="1351" t="s">
        <v>1036</v>
      </c>
      <c r="B36" s="347" t="s">
        <v>1435</v>
      </c>
      <c r="C36" s="24">
        <f ca="1">ROUND(C29*F36,1)</f>
        <v>716.5</v>
      </c>
      <c r="D36" s="1797" t="s">
        <v>1468</v>
      </c>
      <c r="E36" s="347" t="s">
        <v>1408</v>
      </c>
      <c r="F36" s="374">
        <f ca="1">INDIRECT("'数据-取费表'!Ak"&amp;$G$1)</f>
        <v>0.01</v>
      </c>
      <c r="G36" s="1850"/>
      <c r="H36" s="1858"/>
      <c r="I36" s="1859"/>
      <c r="J36" s="1860"/>
      <c r="K36" s="751"/>
      <c r="L36" s="1858"/>
      <c r="M36" s="1858"/>
    </row>
    <row r="37" spans="1:18" ht="18" customHeight="1">
      <c r="A37" s="1201" t="s">
        <v>1072</v>
      </c>
      <c r="B37" s="347" t="s">
        <v>1439</v>
      </c>
      <c r="C37" s="24">
        <f ca="1">ROUND(C13*F37,1)</f>
        <v>58.8</v>
      </c>
      <c r="D37" s="1797" t="s">
        <v>1440</v>
      </c>
      <c r="E37" s="347" t="s">
        <v>1441</v>
      </c>
      <c r="F37" s="376">
        <f ca="1">INDIRECT("'数据-取费表'!Al"&amp;$G$1)</f>
        <v>1E-3</v>
      </c>
      <c r="G37" s="1850"/>
      <c r="H37" s="1858"/>
      <c r="I37" s="1859"/>
      <c r="J37" s="1860"/>
      <c r="K37" s="751"/>
      <c r="L37" s="1858"/>
      <c r="M37" s="1858"/>
    </row>
    <row r="38" spans="1:18" ht="18" customHeight="1" thickBot="1">
      <c r="A38" s="1338" t="s">
        <v>1379</v>
      </c>
      <c r="B38" s="1339" t="s">
        <v>1425</v>
      </c>
      <c r="C38" s="1340">
        <f ca="1">ROUND(C5*F38,1)</f>
        <v>97.5</v>
      </c>
      <c r="D38" s="1341" t="s">
        <v>1445</v>
      </c>
      <c r="E38" s="1339" t="s">
        <v>1441</v>
      </c>
      <c r="F38" s="1335">
        <f ca="1">INDIRECT("'数据-取费表'!Am"&amp;$G$1)</f>
        <v>0.01</v>
      </c>
      <c r="G38" s="1850"/>
      <c r="H38" s="1858"/>
      <c r="I38" s="1859"/>
      <c r="J38" s="1860"/>
      <c r="K38" s="1864"/>
      <c r="L38" s="1858"/>
      <c r="M38" s="1858"/>
    </row>
    <row r="39" spans="1:18" ht="24.6" customHeight="1" thickTop="1">
      <c r="A39" s="1328" t="s">
        <v>1028</v>
      </c>
      <c r="B39" s="1343" t="s">
        <v>1469</v>
      </c>
      <c r="C39" s="355">
        <f ca="1">C5-C30</f>
        <v>7761</v>
      </c>
      <c r="D39" s="1344" t="s">
        <v>1470</v>
      </c>
      <c r="E39" s="1345"/>
      <c r="F39" s="1346"/>
      <c r="G39" s="1850"/>
      <c r="H39" s="1858"/>
      <c r="I39" s="1859"/>
      <c r="J39" s="1860"/>
      <c r="K39" s="1864"/>
      <c r="L39" s="1858"/>
      <c r="M39" s="1858"/>
    </row>
    <row r="40" spans="1:18" ht="18" customHeight="1">
      <c r="A40" s="344" t="s">
        <v>1029</v>
      </c>
      <c r="B40" s="345" t="s">
        <v>1471</v>
      </c>
      <c r="C40" s="346">
        <f ca="1">ROUND(C39*(1-((1+F42)/(1+F40))^F41)/(F40-F42),0)</f>
        <v>123530</v>
      </c>
      <c r="D40" s="370" t="s">
        <v>1455</v>
      </c>
      <c r="E40" s="347" t="s">
        <v>1456</v>
      </c>
      <c r="F40" s="357">
        <f ca="1">INDIRECT("'数据-取费表'!I"&amp;$G$1)</f>
        <v>0.06</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22.61</v>
      </c>
      <c r="G41" s="1850"/>
      <c r="H41" s="732"/>
      <c r="I41" s="1859"/>
      <c r="J41" s="1860"/>
      <c r="K41" s="751"/>
      <c r="L41" s="732"/>
      <c r="M41" s="732"/>
    </row>
    <row r="42" spans="1:18" ht="18" customHeight="1">
      <c r="A42" s="353"/>
      <c r="B42" s="354"/>
      <c r="C42" s="355"/>
      <c r="D42" s="373"/>
      <c r="E42" s="347" t="s">
        <v>1463</v>
      </c>
      <c r="F42" s="357">
        <f ca="1">INDIRECT("'数据-取费表'!v"&amp;$G$1)</f>
        <v>0.03</v>
      </c>
      <c r="G42" s="1850"/>
      <c r="H42" s="732"/>
      <c r="I42" s="1859"/>
      <c r="J42" s="1860"/>
      <c r="K42" s="751"/>
      <c r="L42" s="732"/>
      <c r="M42" s="732"/>
    </row>
    <row r="43" spans="1:18" ht="18" customHeight="1" thickBot="1">
      <c r="A43" s="380" t="s">
        <v>1030</v>
      </c>
      <c r="B43" s="381" t="s">
        <v>1473</v>
      </c>
      <c r="C43" s="382">
        <f ca="1">ROUND(C40*10000/F43,0)</f>
        <v>22063</v>
      </c>
      <c r="D43" s="383" t="s">
        <v>1474</v>
      </c>
      <c r="E43" s="384" t="s">
        <v>1475</v>
      </c>
      <c r="F43" s="385">
        <f ca="1">INDIRECT("'数据-取费表'!k"&amp;$G$1)</f>
        <v>55990.490000000005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1505</v>
      </c>
      <c r="P45" s="1838"/>
      <c r="Q45" s="1838"/>
      <c r="R45" s="1838"/>
    </row>
    <row r="46" spans="1:18" s="1841" customFormat="1" ht="13.5" thickBot="1">
      <c r="A46" s="1869" t="s">
        <v>1506</v>
      </c>
      <c r="C46" s="1870">
        <f ca="1">C68-C40</f>
        <v>-140382</v>
      </c>
      <c r="D46" s="1871" t="str">
        <f>C2</f>
        <v>万元</v>
      </c>
      <c r="E46" s="1865"/>
      <c r="F46" s="1865"/>
      <c r="I46" s="1872" t="s">
        <v>1507</v>
      </c>
      <c r="J46" s="1873"/>
      <c r="K46" s="1874"/>
      <c r="L46" s="1875" t="str">
        <f ca="1">IF(M47="住宅",0,IF(L48&gt;J51,L60,J60))</f>
        <v>0</v>
      </c>
      <c r="O46" s="1876" t="s">
        <v>1508</v>
      </c>
      <c r="P46" s="1877" t="s">
        <v>1509</v>
      </c>
      <c r="Q46" s="1878" t="s">
        <v>1510</v>
      </c>
      <c r="R46" s="1878" t="s">
        <v>1511</v>
      </c>
    </row>
    <row r="47" spans="1:18" s="1841" customFormat="1" ht="13.5" thickBot="1">
      <c r="A47" s="1165" t="s">
        <v>1382</v>
      </c>
      <c r="B47" s="1197" t="s">
        <v>1383</v>
      </c>
      <c r="C47" s="1366" t="s">
        <v>1384</v>
      </c>
      <c r="D47" s="1197" t="s">
        <v>1385</v>
      </c>
      <c r="E47" s="1279" t="s">
        <v>1386</v>
      </c>
      <c r="F47" s="1280"/>
      <c r="G47" s="792"/>
      <c r="I47" s="1879" t="s">
        <v>1512</v>
      </c>
      <c r="J47" s="1880" t="s">
        <v>3146</v>
      </c>
      <c r="K47" s="1881" t="s">
        <v>1513</v>
      </c>
      <c r="L47" s="1882">
        <f ca="1">INDIRECT("'数据-取费表'!d"&amp;$G$1)</f>
        <v>40</v>
      </c>
      <c r="M47" s="1837" t="str">
        <f>IF(ISNUMBER(FIND("住宅",C1)),"住宅","非住宅")</f>
        <v>非住宅</v>
      </c>
      <c r="O47" s="1883" t="s">
        <v>1037</v>
      </c>
      <c r="P47" s="1884" t="s">
        <v>1514</v>
      </c>
      <c r="Q47" s="1885">
        <f ca="1">C40+J29</f>
        <v>123530</v>
      </c>
      <c r="R47" s="1885" t="s">
        <v>1515</v>
      </c>
    </row>
    <row r="48" spans="1:18" s="1841" customFormat="1" ht="28.5" thickBot="1">
      <c r="A48" s="1359" t="s">
        <v>1122</v>
      </c>
      <c r="B48" s="345" t="s">
        <v>1387</v>
      </c>
      <c r="C48" s="1816">
        <f ca="1">C49+C53+C55</f>
        <v>0</v>
      </c>
      <c r="D48" s="1361"/>
      <c r="E48" s="1362"/>
      <c r="F48" s="1181"/>
      <c r="G48" s="792"/>
      <c r="H48" s="793"/>
      <c r="I48" s="1886" t="s">
        <v>1516</v>
      </c>
      <c r="J48" s="1887" t="s">
        <v>3147</v>
      </c>
      <c r="K48" s="1888" t="s">
        <v>1517</v>
      </c>
      <c r="L48" s="1889">
        <f ca="1">INDIRECT("'数据-取费表'!f"&amp;$G$1)</f>
        <v>22.61</v>
      </c>
      <c r="O48" s="1883" t="s">
        <v>1038</v>
      </c>
      <c r="P48" s="1884" t="s">
        <v>1518</v>
      </c>
      <c r="Q48" s="1885" t="str">
        <f ca="1">J60</f>
        <v>0</v>
      </c>
      <c r="R48" s="1885" t="s">
        <v>1519</v>
      </c>
    </row>
    <row r="49" spans="1:18" s="1841" customFormat="1" ht="13.5" thickBot="1">
      <c r="A49" s="1194" t="s">
        <v>1123</v>
      </c>
      <c r="B49" s="1828" t="s">
        <v>1476</v>
      </c>
      <c r="C49" s="1363">
        <f ca="1">ROUND(F49*F51*F50*(1-F52)/10000,0)</f>
        <v>0</v>
      </c>
      <c r="D49" s="1276" t="s">
        <v>3014</v>
      </c>
      <c r="E49" s="1829" t="s">
        <v>1477</v>
      </c>
      <c r="F49" s="1281"/>
      <c r="G49" s="1890"/>
      <c r="H49" s="793"/>
      <c r="I49" s="1886" t="s">
        <v>1520</v>
      </c>
      <c r="J49" s="1891">
        <v>2008</v>
      </c>
      <c r="K49" s="1888" t="s">
        <v>1521</v>
      </c>
      <c r="L49" s="1892"/>
      <c r="O49" s="1893" t="s">
        <v>1039</v>
      </c>
      <c r="P49" s="1884" t="s">
        <v>1522</v>
      </c>
      <c r="Q49" s="1885">
        <f ca="1">C29</f>
        <v>71650</v>
      </c>
      <c r="R49" s="1885" t="s">
        <v>1515</v>
      </c>
    </row>
    <row r="50" spans="1:18" s="1841" customFormat="1" ht="13.5" thickBot="1">
      <c r="A50" s="1195"/>
      <c r="B50" s="1198"/>
      <c r="C50" s="1367"/>
      <c r="D50" s="1172"/>
      <c r="E50" s="1277" t="s">
        <v>1392</v>
      </c>
      <c r="F50" s="1278">
        <f ca="1">F7</f>
        <v>1</v>
      </c>
      <c r="H50" s="793"/>
      <c r="I50" s="1886" t="s">
        <v>1523</v>
      </c>
      <c r="J50" s="1894">
        <f>SUMPRODUCT((I63:I65=J47)*(J62:L62=J48)*(J63:L65))</f>
        <v>60</v>
      </c>
      <c r="K50" s="1888" t="s">
        <v>1524</v>
      </c>
      <c r="L50" s="1892"/>
      <c r="M50" s="1895"/>
      <c r="O50" s="1893" t="s">
        <v>1040</v>
      </c>
      <c r="P50" s="1884" t="s">
        <v>1525</v>
      </c>
      <c r="Q50" s="1896" t="e">
        <f ca="1">J58</f>
        <v>#VALUE!</v>
      </c>
      <c r="R50" s="1885"/>
    </row>
    <row r="51" spans="1:18" s="1841" customFormat="1" ht="13.5" thickBot="1">
      <c r="A51" s="1196"/>
      <c r="B51" s="1198"/>
      <c r="C51" s="1199"/>
      <c r="D51" s="1172"/>
      <c r="E51" s="1200" t="s">
        <v>1393</v>
      </c>
      <c r="F51" s="348">
        <f ca="1">F8</f>
        <v>1</v>
      </c>
      <c r="I51" s="1897" t="s">
        <v>1526</v>
      </c>
      <c r="J51" s="1898">
        <f>IF(J49="",J50,J49+J50-YEAR('数据-取费表'!B2))</f>
        <v>49</v>
      </c>
      <c r="K51" s="1899" t="s">
        <v>1527</v>
      </c>
      <c r="L51" s="1900">
        <f ca="1">ROUND(-PV(INDIRECT("'数据-取费表'!h"&amp;$G$1),L48,(C39-C13*C76),0),0)</f>
        <v>35638</v>
      </c>
      <c r="M51" s="1901"/>
      <c r="O51" s="1893" t="s">
        <v>1041</v>
      </c>
      <c r="P51" s="1884" t="s">
        <v>1528</v>
      </c>
      <c r="Q51" s="1896">
        <f>J52</f>
        <v>0.09</v>
      </c>
      <c r="R51" s="1885"/>
    </row>
    <row r="52" spans="1:18" s="1841" customFormat="1" ht="13.5" thickBot="1">
      <c r="A52" s="1196"/>
      <c r="B52" s="1198"/>
      <c r="C52" s="1199"/>
      <c r="D52" s="1172"/>
      <c r="E52" s="1200" t="s">
        <v>1394</v>
      </c>
      <c r="F52" s="1275"/>
      <c r="I52" s="1902" t="s">
        <v>1529</v>
      </c>
      <c r="J52" s="1903">
        <v>0.09</v>
      </c>
      <c r="K52" s="1902" t="s">
        <v>1530</v>
      </c>
      <c r="L52" s="1903"/>
      <c r="O52" s="1893" t="s">
        <v>1042</v>
      </c>
      <c r="P52" s="1884" t="s">
        <v>1531</v>
      </c>
      <c r="Q52" s="1885">
        <f ca="1">J53</f>
        <v>22.61</v>
      </c>
      <c r="R52" s="1885" t="s">
        <v>1532</v>
      </c>
    </row>
    <row r="53" spans="1:18" s="1841" customFormat="1" ht="24.75" thickBot="1">
      <c r="A53" s="1404" t="s">
        <v>1124</v>
      </c>
      <c r="B53" s="1830" t="s">
        <v>1395</v>
      </c>
      <c r="C53" s="361">
        <f ca="1">ROUND(IF(F53="押一",C49/12*F11,IF(F53="押二",C49/12*2*F11,IF(F53="押三",C49/12*3*F11,C54*F11))),0)</f>
        <v>0</v>
      </c>
      <c r="D53" s="1823" t="s">
        <v>3021</v>
      </c>
      <c r="E53" s="358" t="s">
        <v>1396</v>
      </c>
      <c r="F53" s="1365"/>
      <c r="I53" s="1904" t="s">
        <v>1533</v>
      </c>
      <c r="J53" s="1905">
        <f ca="1">IF(M47="住宅",IF(D1="——",MAX(J51,L48),IF(D1="在建（套用方法）",MAX(J51,L48-'数据-取费表'!B24),MAX(J51,L48-'数据-取费表'!B20))),IF(D1="——",MIN(J51,L48),IF(D1="在建（套用方法）",MIN(J51,L48-'数据-取费表'!B24),IF(D1="土地（套用方法）",MIN(J51,L48-'数据-取费表'!B20)))))</f>
        <v>22.61</v>
      </c>
      <c r="K53" s="3186" t="s">
        <v>1534</v>
      </c>
      <c r="L53" s="3187"/>
      <c r="O53" s="1883" t="s">
        <v>1043</v>
      </c>
      <c r="P53" s="1884" t="s">
        <v>1535</v>
      </c>
      <c r="Q53" s="1885">
        <f ca="1">Q47+Q48</f>
        <v>123530</v>
      </c>
      <c r="R53" s="1885" t="s">
        <v>1044</v>
      </c>
    </row>
    <row r="54" spans="1:18" s="1841" customFormat="1" ht="13.5" thickBot="1">
      <c r="A54" s="1405"/>
      <c r="B54" s="1824" t="s">
        <v>1374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#VALUE!</v>
      </c>
      <c r="K55" s="1911" t="s">
        <v>1538</v>
      </c>
      <c r="L55" s="1912" t="s">
        <v>1539</v>
      </c>
      <c r="O55" s="1876" t="s">
        <v>1508</v>
      </c>
      <c r="P55" s="1877" t="s">
        <v>1509</v>
      </c>
      <c r="Q55" s="1878" t="s">
        <v>1510</v>
      </c>
      <c r="R55" s="1878" t="s">
        <v>1511</v>
      </c>
    </row>
    <row r="56" spans="1:18" s="1841" customFormat="1" ht="25.5" thickTop="1" thickBot="1">
      <c r="A56" s="1176">
        <v>2</v>
      </c>
      <c r="B56" s="1177" t="s">
        <v>1400</v>
      </c>
      <c r="C56" s="276">
        <f ca="1">C13</f>
        <v>58753</v>
      </c>
      <c r="D56" s="1913"/>
      <c r="E56" s="1914"/>
      <c r="F56" s="1906"/>
      <c r="I56" s="1915" t="s">
        <v>1540</v>
      </c>
      <c r="J56" s="1916" t="s">
        <v>3045</v>
      </c>
      <c r="K56" s="1886" t="s">
        <v>1541</v>
      </c>
      <c r="L56" s="1889" t="str">
        <f ca="1">IF(L48&lt;J51,"——",L48-J53)</f>
        <v>——</v>
      </c>
      <c r="O56" s="1883" t="s">
        <v>1037</v>
      </c>
      <c r="P56" s="1884" t="s">
        <v>1514</v>
      </c>
      <c r="Q56" s="1885">
        <f ca="1">C40+J29</f>
        <v>123530</v>
      </c>
      <c r="R56" s="1885" t="s">
        <v>1515</v>
      </c>
    </row>
    <row r="57" spans="1:18" s="1841" customFormat="1" ht="24.75" thickBot="1">
      <c r="A57" s="1917"/>
      <c r="B57" s="1169" t="s">
        <v>1464</v>
      </c>
      <c r="C57" s="282">
        <f ca="1">C29</f>
        <v>71650</v>
      </c>
      <c r="D57" s="1918"/>
      <c r="E57" s="1919"/>
      <c r="F57" s="1920"/>
      <c r="I57" s="1921" t="s">
        <v>1542</v>
      </c>
      <c r="J57" s="1922" t="str">
        <f ca="1">IF(OR(M47="住宅",J51&lt;L48,J56="是"),"——",J51-L48)</f>
        <v>——</v>
      </c>
      <c r="K57" s="1886" t="s">
        <v>1543</v>
      </c>
      <c r="L57" s="1889" t="str">
        <f ca="1">IF(L48&lt;J51,"——",IF(L55="比较法",L49,IF(L55="基准地价",L50,L51)))</f>
        <v>——</v>
      </c>
      <c r="O57" s="1883" t="s">
        <v>1038</v>
      </c>
      <c r="P57" s="1884" t="s">
        <v>1544</v>
      </c>
      <c r="Q57" s="1885">
        <f ca="1">L60</f>
        <v>0</v>
      </c>
      <c r="R57" s="1885" t="s">
        <v>1545</v>
      </c>
    </row>
    <row r="58" spans="1:18" s="1841" customFormat="1" ht="24.75" thickBot="1">
      <c r="A58" s="360" t="s">
        <v>1027</v>
      </c>
      <c r="B58" s="1177" t="s">
        <v>1410</v>
      </c>
      <c r="C58" s="361">
        <f ca="1">ROUND(C59+C64+C65+C66,0)</f>
        <v>1381</v>
      </c>
      <c r="D58" s="1179" t="s">
        <v>1411</v>
      </c>
      <c r="E58" s="1180"/>
      <c r="F58" s="1181"/>
      <c r="I58" s="1921" t="s">
        <v>1546</v>
      </c>
      <c r="J58" s="1923" t="e">
        <f ca="1">IF(J55&lt;0.4,0.4,J55)</f>
        <v>#VALUE!</v>
      </c>
      <c r="K58" s="1899" t="s">
        <v>1547</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ROUND(IF(项目基本情况!B11="自然人",C48*F59,C60+C61+C62),1)</f>
        <v>605.70000000000005</v>
      </c>
      <c r="D59" s="1182" t="s">
        <v>1416</v>
      </c>
      <c r="E59" s="1183" t="s">
        <v>1417</v>
      </c>
      <c r="F59" s="368" t="str">
        <f ca="1">IF(项目基本情况!B11="企业","",IF(INDIRECT("'数据-取费表'!c"&amp;$G$1)="住宅",5%,IF(F49*F50*F51/12/(1+'数据-取费表'!C42)&gt;20000,12%,7%)))</f>
        <v/>
      </c>
      <c r="I59" s="1921" t="s">
        <v>1549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IF(项目基本情况!B11="自然人","——",ROUND(C48*F60/(1+'数据-取费表'!C42),2))</f>
        <v>0</v>
      </c>
      <c r="D60" s="1183" t="s">
        <v>1420</v>
      </c>
      <c r="E60" s="1169" t="s">
        <v>1408</v>
      </c>
      <c r="F60" s="377">
        <f t="shared" ref="F60:F66" si="0">F32</f>
        <v>5.5000000000000007E-2</v>
      </c>
      <c r="I60" s="1924" t="s">
        <v>1551</v>
      </c>
      <c r="J60" s="1925" t="str">
        <f ca="1">IF(OR(M47="住宅",J51&lt;L48,J56="是"),"0",ROUND(J59/(1+J52)^J53,0))</f>
        <v>0</v>
      </c>
      <c r="K60" s="1926" t="s">
        <v>1552</v>
      </c>
      <c r="L60" s="1925">
        <f ca="1">IF(OR(M47="住宅",L48&lt;J51),0,ROUND(L57*(L58/L59-1),0))</f>
        <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IF(项目基本情况!B11="自然人","——",IF(D61="按租金收入计税",ROUND(C48*F61,2),IF(D61="按房产原值计税",ROUND(C57*F61*0.7,2),INDIRECT("'数据-取费表'!Aj"&amp;$G$1))))</f>
        <v>601.86</v>
      </c>
      <c r="D61" s="1827" t="s">
        <v>1424</v>
      </c>
      <c r="E61" s="1169" t="s">
        <v>1480</v>
      </c>
      <c r="F61" s="367">
        <f t="shared" si="0"/>
        <v>1.2E-2</v>
      </c>
      <c r="I61" s="1927"/>
      <c r="J61" s="1927"/>
      <c r="K61" s="1927"/>
      <c r="L61" s="1927"/>
      <c r="O61" s="1893" t="s">
        <v>1042</v>
      </c>
      <c r="P61" s="1884" t="str">
        <f>K59</f>
        <v>建筑物剩余耐用年限下的土地年期修正系数Kn</v>
      </c>
      <c r="Q61" s="1885" t="e">
        <f ca="1">L59</f>
        <v>#DIV/0!</v>
      </c>
      <c r="R61" s="1885" t="s">
        <v>1555</v>
      </c>
    </row>
    <row r="62" spans="1:18" s="1841" customFormat="1" ht="13.5" thickBot="1">
      <c r="A62" s="1201" t="s">
        <v>1481</v>
      </c>
      <c r="B62" s="1168" t="s">
        <v>1482</v>
      </c>
      <c r="C62" s="25">
        <f ca="1">IF(项目基本情况!B11="自然人","——",ROUND(F62*F63/10000,2))</f>
        <v>3.79</v>
      </c>
      <c r="D62" s="1184" t="s">
        <v>1483</v>
      </c>
      <c r="E62" s="1169" t="s">
        <v>1484</v>
      </c>
      <c r="F62" s="371">
        <f t="shared" si="0"/>
        <v>3</v>
      </c>
      <c r="I62" s="1928" t="s">
        <v>1556</v>
      </c>
      <c r="J62" s="1929" t="s">
        <v>1557</v>
      </c>
      <c r="K62" s="1929" t="s">
        <v>1558</v>
      </c>
      <c r="L62" s="1929" t="s">
        <v>1559</v>
      </c>
      <c r="M62" s="1930" t="s">
        <v>1560</v>
      </c>
      <c r="O62" s="1883" t="s">
        <v>1043</v>
      </c>
      <c r="P62" s="1884" t="s">
        <v>1561</v>
      </c>
      <c r="Q62" s="1885">
        <f ca="1">Q56+Q57</f>
        <v>123530</v>
      </c>
      <c r="R62" s="1885" t="s">
        <v>1044</v>
      </c>
    </row>
    <row r="63" spans="1:18" s="1841" customFormat="1" ht="13.5" thickBot="1">
      <c r="A63" s="372"/>
      <c r="B63" s="1175"/>
      <c r="C63" s="29"/>
      <c r="D63" s="1185"/>
      <c r="E63" s="1169" t="s">
        <v>1485</v>
      </c>
      <c r="F63" s="348">
        <f t="shared" ca="1" si="0"/>
        <v>12625.6</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ROUND(C57*F64,1)</f>
        <v>716.5</v>
      </c>
      <c r="D64" s="1183" t="s">
        <v>1488</v>
      </c>
      <c r="E64" s="1169" t="s">
        <v>1480</v>
      </c>
      <c r="F64" s="374">
        <f t="shared" ca="1" si="0"/>
        <v>0.01</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ROUND(C56*F65,1)</f>
        <v>58.8</v>
      </c>
      <c r="D65" s="1183" t="s">
        <v>1440</v>
      </c>
      <c r="E65" s="1169" t="s">
        <v>1441</v>
      </c>
      <c r="F65" s="376">
        <f t="shared" ca="1" si="0"/>
        <v>1E-3</v>
      </c>
      <c r="I65" s="1928" t="s">
        <v>1565</v>
      </c>
      <c r="J65" s="1929">
        <v>40</v>
      </c>
      <c r="K65" s="1929">
        <v>30</v>
      </c>
      <c r="L65" s="1929">
        <v>50</v>
      </c>
      <c r="M65" s="1931">
        <v>0.02</v>
      </c>
      <c r="O65" s="1883" t="s">
        <v>1037</v>
      </c>
      <c r="P65" s="1884" t="s">
        <v>1566</v>
      </c>
      <c r="Q65" s="1885">
        <f ca="1">C40+J29</f>
        <v>123530</v>
      </c>
      <c r="R65" s="1885" t="s">
        <v>1515</v>
      </c>
    </row>
    <row r="66" spans="1:18" s="1841" customFormat="1" ht="16.5" thickBot="1">
      <c r="A66" s="1201" t="s">
        <v>1490</v>
      </c>
      <c r="B66" s="1169" t="s">
        <v>1425</v>
      </c>
      <c r="C66" s="24">
        <f ca="1">ROUND(C48*F66,1)</f>
        <v>0</v>
      </c>
      <c r="D66" s="1183" t="s">
        <v>1491</v>
      </c>
      <c r="E66" s="1169" t="s">
        <v>1408</v>
      </c>
      <c r="F66" s="357">
        <f t="shared" ca="1" si="0"/>
        <v>0.01</v>
      </c>
      <c r="O66" s="1883" t="s">
        <v>1038</v>
      </c>
      <c r="P66" s="1884" t="s">
        <v>1544</v>
      </c>
      <c r="Q66" s="1885">
        <f ca="1">L60</f>
        <v>0</v>
      </c>
      <c r="R66" s="1885" t="s">
        <v>1567</v>
      </c>
    </row>
    <row r="67" spans="1:18" s="1841" customFormat="1" ht="16.5" thickBot="1">
      <c r="A67" s="1176" t="s">
        <v>1028</v>
      </c>
      <c r="B67" s="1186" t="s">
        <v>1449</v>
      </c>
      <c r="C67" s="361">
        <f ca="1">C48-C58</f>
        <v>-1381</v>
      </c>
      <c r="D67" s="1182" t="s">
        <v>1450</v>
      </c>
      <c r="E67" s="1187"/>
      <c r="F67" s="1188"/>
      <c r="O67" s="1893" t="s">
        <v>1039</v>
      </c>
      <c r="P67" s="1884" t="s">
        <v>1548</v>
      </c>
      <c r="Q67" s="1932">
        <f ca="1">L51</f>
        <v>35638</v>
      </c>
      <c r="R67" s="1885" t="s">
        <v>1568</v>
      </c>
    </row>
    <row r="68" spans="1:18" s="1841" customFormat="1" ht="16.5" thickBot="1">
      <c r="A68" s="1166" t="s">
        <v>1029</v>
      </c>
      <c r="B68" s="1167" t="s">
        <v>1471</v>
      </c>
      <c r="C68" s="346">
        <f ca="1">ROUND(C67*(1-((1+F70)/(1+F68))^F69)/(F68-F70),0)</f>
        <v>-16852</v>
      </c>
      <c r="D68" s="1184" t="s">
        <v>1455</v>
      </c>
      <c r="E68" s="1169" t="s">
        <v>1456</v>
      </c>
      <c r="F68" s="357">
        <f ca="1">F40</f>
        <v>0.06</v>
      </c>
      <c r="O68" s="1893" t="s">
        <v>1040</v>
      </c>
      <c r="P68" s="1933" t="s">
        <v>1569</v>
      </c>
      <c r="Q68" s="1885">
        <f ca="1">ROUND(Q69-Q70*Q71,0)</f>
        <v>2767</v>
      </c>
      <c r="R68" s="1885" t="s">
        <v>1048</v>
      </c>
    </row>
    <row r="69" spans="1:18" s="1841" customFormat="1" ht="13.5" thickBot="1">
      <c r="A69" s="1170"/>
      <c r="B69" s="1171"/>
      <c r="C69" s="351"/>
      <c r="D69" s="1189" t="s">
        <v>1459</v>
      </c>
      <c r="E69" s="1169" t="s">
        <v>1460</v>
      </c>
      <c r="F69" s="379">
        <f ca="1">F41</f>
        <v>22.61</v>
      </c>
      <c r="O69" s="1893" t="s">
        <v>1045</v>
      </c>
      <c r="P69" s="1933" t="s">
        <v>1570</v>
      </c>
      <c r="Q69" s="1885">
        <f ca="1">C39</f>
        <v>7761</v>
      </c>
      <c r="R69" s="1885" t="s">
        <v>1515</v>
      </c>
    </row>
    <row r="70" spans="1:18" s="1841" customFormat="1" ht="13.5" thickBot="1">
      <c r="A70" s="1173"/>
      <c r="B70" s="1174"/>
      <c r="C70" s="355"/>
      <c r="D70" s="1185"/>
      <c r="E70" s="1169" t="s">
        <v>1463</v>
      </c>
      <c r="F70" s="1275"/>
      <c r="O70" s="1893" t="s">
        <v>1046</v>
      </c>
      <c r="P70" s="1933" t="s">
        <v>1571</v>
      </c>
      <c r="Q70" s="1885">
        <f ca="1">C13</f>
        <v>58753</v>
      </c>
      <c r="R70" s="1885" t="s">
        <v>1515</v>
      </c>
    </row>
    <row r="71" spans="1:18" s="1841" customFormat="1" ht="13.5" thickBot="1">
      <c r="A71" s="1190" t="s">
        <v>1030</v>
      </c>
      <c r="B71" s="1191" t="s">
        <v>1473</v>
      </c>
      <c r="C71" s="382">
        <f ca="1">ROUND(C68*10000/F71,0)</f>
        <v>-3010</v>
      </c>
      <c r="D71" s="1192" t="s">
        <v>1474</v>
      </c>
      <c r="E71" s="1193" t="s">
        <v>1475</v>
      </c>
      <c r="F71" s="385">
        <f ca="1">F43</f>
        <v>55990.490000000005</v>
      </c>
      <c r="O71" s="1893" t="s">
        <v>1047</v>
      </c>
      <c r="P71" s="1933" t="s">
        <v>1572</v>
      </c>
      <c r="Q71" s="1896">
        <f ca="1">C76</f>
        <v>8.5000000000000006E-2</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建筑物剩余耐用年限下的土地年期修正系数Kn</v>
      </c>
      <c r="Q74" s="1885" t="e">
        <f ca="1">L59</f>
        <v>#DIV/0!</v>
      </c>
      <c r="R74" s="1885" t="s">
        <v>1555</v>
      </c>
    </row>
    <row r="75" spans="1:18" ht="13.5" thickBot="1">
      <c r="A75" s="1841"/>
      <c r="B75" s="386" t="s">
        <v>1492</v>
      </c>
      <c r="C75" s="387">
        <f ca="1">ROUND(C13*C76,0)</f>
        <v>4994</v>
      </c>
      <c r="D75" s="1841"/>
      <c r="E75" s="1841"/>
      <c r="F75" s="1841"/>
      <c r="K75" s="1867"/>
      <c r="L75" s="1841"/>
      <c r="O75" s="1883" t="s">
        <v>1043</v>
      </c>
      <c r="P75" s="1884" t="s">
        <v>1535</v>
      </c>
      <c r="Q75" s="1885">
        <f ca="1">Q65+Q66</f>
        <v>123530</v>
      </c>
      <c r="R75" s="1885" t="s">
        <v>1044</v>
      </c>
    </row>
    <row r="76" spans="1:18">
      <c r="B76" s="388" t="s">
        <v>1493</v>
      </c>
      <c r="C76" s="389">
        <f ca="1">INDIRECT("'数据-取费表'!j"&amp;$G$1)</f>
        <v>8.5000000000000006E-2</v>
      </c>
      <c r="I76" s="1841"/>
      <c r="J76" s="1841"/>
      <c r="K76" s="1867"/>
      <c r="L76" s="1841"/>
    </row>
    <row r="77" spans="1:18">
      <c r="B77" s="390" t="s">
        <v>1494</v>
      </c>
      <c r="C77" s="391"/>
      <c r="I77" s="1841"/>
      <c r="J77" s="1841"/>
      <c r="K77" s="1867"/>
      <c r="L77" s="1841"/>
    </row>
    <row r="78" spans="1:18">
      <c r="B78" s="314" t="s">
        <v>1495</v>
      </c>
      <c r="C78" s="392"/>
    </row>
    <row r="79" spans="1:18">
      <c r="B79" s="386" t="s">
        <v>1496</v>
      </c>
      <c r="C79" s="318">
        <f ca="1">1-C80</f>
        <v>0.35699999999999998</v>
      </c>
    </row>
    <row r="80" spans="1:18">
      <c r="B80" s="386" t="s">
        <v>1497</v>
      </c>
      <c r="C80" s="318">
        <f ca="1">ROUND(C75/C39,3)</f>
        <v>0.64300000000000002</v>
      </c>
    </row>
    <row r="81" spans="2:3">
      <c r="B81" s="314" t="s">
        <v>1498</v>
      </c>
      <c r="C81" s="282"/>
    </row>
    <row r="82" spans="2:3">
      <c r="B82" s="317" t="s">
        <v>1499</v>
      </c>
      <c r="C82" s="319">
        <f ca="1">1-C83</f>
        <v>0.52400000000000002</v>
      </c>
    </row>
    <row r="83" spans="2:3">
      <c r="B83" s="317" t="s">
        <v>1500</v>
      </c>
      <c r="C83" s="318">
        <f ca="1">ROUND(C13/C40,3)</f>
        <v>0.47599999999999998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c r="D1" s="1819"/>
      <c r="E1" s="1820" t="s">
        <v>1373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1576</v>
      </c>
      <c r="B2" s="1843" t="e">
        <f ca="1">ROUND(D2/10000,0)</f>
        <v>#DIV/0!</v>
      </c>
      <c r="C2" s="1844" t="s">
        <v>1577</v>
      </c>
      <c r="D2" s="1937" t="e">
        <f ca="1">C40+J29+L46</f>
        <v>#DIV/0!</v>
      </c>
      <c r="E2" s="1845" t="s">
        <v>1578</v>
      </c>
      <c r="F2" s="1846"/>
      <c r="G2" s="1847"/>
      <c r="H2" s="1839"/>
      <c r="I2" s="1839"/>
      <c r="J2" s="1839"/>
      <c r="K2" s="1840"/>
      <c r="L2" s="1839"/>
      <c r="M2" s="1839"/>
    </row>
    <row r="3" spans="1:37" ht="18" customHeight="1" thickBot="1">
      <c r="A3" s="1848" t="s">
        <v>1579</v>
      </c>
      <c r="B3" s="1849">
        <f ca="1">IF(ISERROR(D2/F43),0,ROUND(D2/F43,0))</f>
        <v>0</v>
      </c>
      <c r="C3" s="1844" t="s">
        <v>1580</v>
      </c>
      <c r="D3" s="1844"/>
      <c r="E3" s="1845"/>
      <c r="F3" s="1846"/>
      <c r="G3" s="1847"/>
      <c r="H3" s="744" t="s">
        <v>1574</v>
      </c>
      <c r="I3" s="1839"/>
      <c r="J3" s="1839"/>
      <c r="K3" s="1840"/>
      <c r="L3" s="1839"/>
      <c r="M3" s="1839"/>
    </row>
    <row r="4" spans="1:37" ht="18" customHeight="1">
      <c r="A4" s="340" t="s">
        <v>1581</v>
      </c>
      <c r="B4" s="341" t="s">
        <v>1582</v>
      </c>
      <c r="C4" s="341" t="s">
        <v>1583</v>
      </c>
      <c r="D4" s="341" t="s">
        <v>1584</v>
      </c>
      <c r="E4" s="342" t="s">
        <v>1585</v>
      </c>
      <c r="F4" s="343"/>
      <c r="G4" s="1850"/>
      <c r="H4" s="340" t="s">
        <v>1581</v>
      </c>
      <c r="I4" s="341" t="s">
        <v>1582</v>
      </c>
      <c r="J4" s="341" t="s">
        <v>1583</v>
      </c>
      <c r="K4" s="341" t="s">
        <v>1584</v>
      </c>
      <c r="L4" s="342" t="s">
        <v>1585</v>
      </c>
      <c r="M4" s="343"/>
    </row>
    <row r="5" spans="1:37" ht="18" customHeight="1">
      <c r="A5" s="344">
        <v>1</v>
      </c>
      <c r="B5" s="345" t="s">
        <v>1586</v>
      </c>
      <c r="C5" s="1292">
        <f ca="1">C6+C10+C12</f>
        <v>0</v>
      </c>
      <c r="D5" s="1821" t="s">
        <v>1587</v>
      </c>
      <c r="E5" s="1293"/>
      <c r="F5" s="1294"/>
      <c r="G5" s="1850"/>
      <c r="H5" s="344">
        <v>1</v>
      </c>
      <c r="I5" s="345" t="s">
        <v>1586</v>
      </c>
      <c r="J5" s="1292">
        <f ca="1">J6+J10+J12</f>
        <v>0</v>
      </c>
      <c r="K5" s="1821" t="s">
        <v>1587</v>
      </c>
      <c r="L5" s="1293"/>
      <c r="M5" s="1294"/>
    </row>
    <row r="6" spans="1:37" ht="18" customHeight="1">
      <c r="A6" s="1291" t="s">
        <v>1032</v>
      </c>
      <c r="B6" s="3188" t="s">
        <v>1389</v>
      </c>
      <c r="C6" s="1296">
        <f ca="1">ROUND(F6*F8*F7*(1-F9),0)</f>
        <v>0</v>
      </c>
      <c r="D6" s="164" t="s">
        <v>3010</v>
      </c>
      <c r="E6" s="347" t="s">
        <v>1391</v>
      </c>
      <c r="F6" s="348">
        <f ca="1">INDIRECT("'数据-取费表'!u"&amp;$G$1)</f>
        <v>0</v>
      </c>
      <c r="G6" s="1850"/>
      <c r="H6" s="1291" t="s">
        <v>1032</v>
      </c>
      <c r="I6" s="3188" t="s">
        <v>1389</v>
      </c>
      <c r="J6" s="346">
        <f ca="1">ROUND(M6*M8*M7*(1-M9),0)</f>
        <v>0</v>
      </c>
      <c r="K6" s="1833" t="s">
        <v>3011</v>
      </c>
      <c r="L6" s="347" t="s">
        <v>1391</v>
      </c>
      <c r="M6" s="348">
        <f ca="1">INDIRECT("'数据-取费表'!z"&amp;$G$1)</f>
        <v>0</v>
      </c>
    </row>
    <row r="7" spans="1:37" ht="18" customHeight="1">
      <c r="A7" s="1295"/>
      <c r="B7" s="3189"/>
      <c r="C7" s="1297"/>
      <c r="D7" s="352"/>
      <c r="E7" s="1298" t="s">
        <v>1392</v>
      </c>
      <c r="F7" s="348">
        <f ca="1">IF(INDIRECT("'数据-取费表'!ah"&amp;$G$1)="",INDIRECT("'数据-取费表'!k"&amp;$G$1),INDIRECT("'数据-取费表'!ah"&amp;$G$1))</f>
        <v>0</v>
      </c>
      <c r="G7" s="1850"/>
      <c r="H7" s="349"/>
      <c r="I7" s="3189"/>
      <c r="J7" s="351"/>
      <c r="K7" s="352"/>
      <c r="L7" s="347" t="s">
        <v>1392</v>
      </c>
      <c r="M7" s="348">
        <f ca="1">F7</f>
        <v>0</v>
      </c>
    </row>
    <row r="8" spans="1:37" ht="18" customHeight="1">
      <c r="A8" s="349"/>
      <c r="B8" s="3189"/>
      <c r="C8" s="351"/>
      <c r="D8" s="352"/>
      <c r="E8" s="347" t="s">
        <v>1393</v>
      </c>
      <c r="F8" s="348">
        <f ca="1">INDIRECT("'数据-取费表'!ai"&amp;$G$1)</f>
        <v>0</v>
      </c>
      <c r="G8" s="1850"/>
      <c r="H8" s="349"/>
      <c r="I8" s="3189"/>
      <c r="J8" s="351"/>
      <c r="K8" s="352"/>
      <c r="L8" s="347" t="s">
        <v>1393</v>
      </c>
      <c r="M8" s="348">
        <f ca="1">INDIRECT("'数据-取费表'!ai"&amp;$G$1)</f>
        <v>0</v>
      </c>
    </row>
    <row r="9" spans="1:37" ht="18" customHeight="1">
      <c r="A9" s="349"/>
      <c r="B9" s="3190"/>
      <c r="C9" s="351"/>
      <c r="D9" s="352"/>
      <c r="E9" s="347" t="s">
        <v>1394</v>
      </c>
      <c r="F9" s="357">
        <f ca="1">INDIRECT("'数据-取费表'!w"&amp;$G$1)</f>
        <v>0</v>
      </c>
      <c r="G9" s="1850"/>
      <c r="H9" s="349"/>
      <c r="I9" s="3190"/>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3021</v>
      </c>
      <c r="E10" s="358" t="s">
        <v>1396</v>
      </c>
      <c r="F10" s="1365"/>
      <c r="G10" s="1850"/>
      <c r="H10" s="1291" t="s">
        <v>1036</v>
      </c>
      <c r="I10" s="1822" t="s">
        <v>1395</v>
      </c>
      <c r="J10" s="346">
        <f ca="1">ROUND(IF(M10="押一",J6/12*M11,IF(M10="押二",J6/12*2*M11,IF(M10="押三",J6/12*3*M11,J11*M11))),0)</f>
        <v>0</v>
      </c>
      <c r="K10" s="1834" t="s">
        <v>3023</v>
      </c>
      <c r="L10" s="358" t="s">
        <v>1396</v>
      </c>
      <c r="M10" s="1365"/>
    </row>
    <row r="11" spans="1:37" ht="18" customHeight="1">
      <c r="A11" s="353"/>
      <c r="B11" s="1824" t="s">
        <v>1588</v>
      </c>
      <c r="C11" s="1178"/>
      <c r="D11" s="352"/>
      <c r="E11" s="358" t="s">
        <v>1398</v>
      </c>
      <c r="F11" s="359">
        <f ca="1">'数据-取费表'!B39</f>
        <v>1.4999999999999999E-2</v>
      </c>
      <c r="G11" s="1850"/>
      <c r="H11" s="1299"/>
      <c r="I11" s="1824" t="s">
        <v>1589</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0</v>
      </c>
      <c r="D13" s="1330" t="s">
        <v>1401</v>
      </c>
      <c r="E13" s="1330" t="s">
        <v>1402</v>
      </c>
      <c r="F13" s="1331">
        <f ca="1">INDIRECT("'数据-取费表'!y"&amp;$G$1)</f>
        <v>0</v>
      </c>
      <c r="G13" s="1850"/>
      <c r="H13" s="1328">
        <v>2</v>
      </c>
      <c r="I13" s="1329" t="s">
        <v>1400</v>
      </c>
      <c r="J13" s="1290">
        <f ca="1">ROUND(J14*J15,0)</f>
        <v>0</v>
      </c>
      <c r="K13" s="1336" t="s">
        <v>1401</v>
      </c>
      <c r="L13" s="1851"/>
      <c r="M13" s="1852"/>
    </row>
    <row r="14" spans="1:37" ht="18" customHeight="1">
      <c r="A14" s="1201" t="s">
        <v>1031</v>
      </c>
      <c r="B14" s="347" t="s">
        <v>1403</v>
      </c>
      <c r="C14" s="363">
        <f ca="1">ROUND(INDIRECT("'数据-取费表'!l"&amp;$G$1)*F43+'数据-取费表'!L14*INDIRECT("'数据-取费表'!S"&amp;$G$1),0)</f>
        <v>0</v>
      </c>
      <c r="D14" s="1799" t="s">
        <v>1404</v>
      </c>
      <c r="E14" s="1793"/>
      <c r="F14" s="364"/>
      <c r="G14" s="1850"/>
      <c r="H14" s="1201" t="s">
        <v>1032</v>
      </c>
      <c r="I14" s="347" t="s">
        <v>1405</v>
      </c>
      <c r="J14" s="24">
        <f ca="1">C29</f>
        <v>0</v>
      </c>
      <c r="K14" s="15"/>
      <c r="L14" s="979"/>
      <c r="M14" s="980"/>
    </row>
    <row r="15" spans="1:37" s="1857" customFormat="1" ht="18" customHeight="1" thickBot="1">
      <c r="A15" s="1201" t="s">
        <v>1033</v>
      </c>
      <c r="B15" s="347" t="s">
        <v>1406</v>
      </c>
      <c r="C15" s="24">
        <f ca="1">ROUND(C14*F15,0)</f>
        <v>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ROUND(INDIRECT("'数据-取费表'!l"&amp;$G$1)*F43*F16,0)</f>
        <v>0</v>
      </c>
      <c r="D16" s="347" t="s">
        <v>1407</v>
      </c>
      <c r="E16" s="347" t="s">
        <v>1408</v>
      </c>
      <c r="F16" s="367">
        <f ca="1">IF(INDIRECT("'数据-取费表'!c"&amp;$G$1)="住宅",'数据-取费表'!B34,0)</f>
        <v>0</v>
      </c>
      <c r="G16" s="1850"/>
      <c r="H16" s="1328" t="s">
        <v>1027</v>
      </c>
      <c r="I16" s="1329" t="s">
        <v>1410</v>
      </c>
      <c r="J16" s="355">
        <f ca="1">ROUND(J17+J22+J23+J24,0)</f>
        <v>0</v>
      </c>
      <c r="K16" s="1336" t="s">
        <v>1411</v>
      </c>
      <c r="L16" s="1337"/>
      <c r="M16" s="1294"/>
    </row>
    <row r="17" spans="1:37" s="1857" customFormat="1" ht="18" customHeight="1">
      <c r="A17" s="1201" t="s">
        <v>1376</v>
      </c>
      <c r="B17" s="347" t="s">
        <v>1412</v>
      </c>
      <c r="C17" s="24">
        <f ca="1">ROUND(F17*(F43+INDIRECT("'数据-取费表'!S"&amp;$G$1)),0)</f>
        <v>0</v>
      </c>
      <c r="D17" s="347" t="s">
        <v>1413</v>
      </c>
      <c r="E17" s="347" t="s">
        <v>1414</v>
      </c>
      <c r="F17" s="26">
        <f>'数据-取费表'!B35</f>
        <v>200</v>
      </c>
      <c r="G17" s="1853"/>
      <c r="H17" s="1201" t="s">
        <v>1032</v>
      </c>
      <c r="I17" s="347" t="s">
        <v>1415</v>
      </c>
      <c r="J17" s="24">
        <f ca="1">ROUND(IF(项目基本情况!B11="自然人",J5*M17,J18+J19+J20),0)</f>
        <v>0</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0</v>
      </c>
      <c r="D18" s="347" t="s">
        <v>1407</v>
      </c>
      <c r="E18" s="347" t="s">
        <v>1408</v>
      </c>
      <c r="F18" s="367">
        <f>'数据-取费表'!B36</f>
        <v>1.4999999999999999E-2</v>
      </c>
      <c r="G18" s="1853"/>
      <c r="H18" s="1201" t="s">
        <v>1031</v>
      </c>
      <c r="I18" s="347" t="s">
        <v>1419</v>
      </c>
      <c r="J18" s="24">
        <f ca="1">ROUND(J5*M18/(1+'数据-取费表'!C42),0)</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0</v>
      </c>
      <c r="D19" s="140" t="s">
        <v>1422</v>
      </c>
      <c r="E19" s="1817"/>
      <c r="F19" s="26"/>
      <c r="G19" s="1850"/>
      <c r="H19" s="1201" t="s">
        <v>1033</v>
      </c>
      <c r="I19" s="347" t="s">
        <v>1423</v>
      </c>
      <c r="J19" s="24">
        <f ca="1">IF(K19="按租金收入计税",ROUND(J5*M19,0),ROUND(C29*M19*0.7,0))</f>
        <v>0</v>
      </c>
      <c r="K19" s="1827" t="s">
        <v>1424</v>
      </c>
      <c r="L19" s="347" t="s">
        <v>1408</v>
      </c>
      <c r="M19" s="367">
        <f>IF(K19="按租金收入计税",'数据-取费表'!B51,'数据-取费表'!B50)</f>
        <v>1.2E-2</v>
      </c>
    </row>
    <row r="20" spans="1:37" s="1857" customFormat="1" ht="18" customHeight="1">
      <c r="A20" s="1201" t="s">
        <v>1036</v>
      </c>
      <c r="B20" s="347" t="s">
        <v>1425</v>
      </c>
      <c r="C20" s="24">
        <f ca="1">ROUND(C19*F20,0)</f>
        <v>0</v>
      </c>
      <c r="D20" s="369" t="s">
        <v>1426</v>
      </c>
      <c r="E20" s="347" t="s">
        <v>1408</v>
      </c>
      <c r="F20" s="367">
        <f>'数据-取费表'!B37</f>
        <v>2.5000000000000001E-2</v>
      </c>
      <c r="G20" s="1853"/>
      <c r="H20" s="1201" t="s">
        <v>1375</v>
      </c>
      <c r="I20" s="164" t="s">
        <v>1427</v>
      </c>
      <c r="J20" s="25">
        <f ca="1">ROUND(M20*M21,0)</f>
        <v>0</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v>
      </c>
      <c r="D21" s="369" t="s">
        <v>1431</v>
      </c>
      <c r="E21" s="347" t="s">
        <v>1432</v>
      </c>
      <c r="F21" s="367">
        <f>'数据-取费表'!B38</f>
        <v>2.5000000000000001E-2</v>
      </c>
      <c r="G21" s="1853"/>
      <c r="H21" s="372"/>
      <c r="I21" s="356"/>
      <c r="J21" s="29"/>
      <c r="K21" s="373"/>
      <c r="L21" s="347" t="s">
        <v>1433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ROUND(J14*M22,0)</f>
        <v>0</v>
      </c>
      <c r="K22" s="1797" t="s">
        <v>1436</v>
      </c>
      <c r="L22" s="347" t="s">
        <v>1408</v>
      </c>
      <c r="M22" s="374">
        <f ca="1">INDIRECT("'数据-取费表'!Ak"&amp;$G$1)</f>
        <v>0</v>
      </c>
    </row>
    <row r="23" spans="1:37" s="1857" customFormat="1" ht="18" customHeight="1">
      <c r="A23" s="1201"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ROUND(J13*M23,0)</f>
        <v>0</v>
      </c>
      <c r="K23" s="1797" t="s">
        <v>1440</v>
      </c>
      <c r="L23" s="347" t="s">
        <v>1441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1.5E-3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ROUND(J5*M24,0)</f>
        <v>0</v>
      </c>
      <c r="K24" s="1341" t="s">
        <v>1445</v>
      </c>
      <c r="L24" s="1339" t="s">
        <v>1441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1446</v>
      </c>
      <c r="B25" s="347" t="s">
        <v>1447</v>
      </c>
      <c r="C25" s="24"/>
      <c r="D25" s="140" t="s">
        <v>1448</v>
      </c>
      <c r="E25" s="1817"/>
      <c r="F25" s="26"/>
      <c r="G25" s="1850"/>
      <c r="H25" s="1328" t="s">
        <v>1028</v>
      </c>
      <c r="I25" s="1343" t="s">
        <v>1449</v>
      </c>
      <c r="J25" s="355">
        <f ca="1">J5-J16</f>
        <v>0</v>
      </c>
      <c r="K25" s="1344" t="s">
        <v>1450</v>
      </c>
      <c r="L25" s="1345"/>
      <c r="M25" s="1346"/>
    </row>
    <row r="26" spans="1:37" ht="18" customHeight="1">
      <c r="A26" s="1201" t="s">
        <v>1031</v>
      </c>
      <c r="B26" s="347" t="s">
        <v>1451</v>
      </c>
      <c r="C26" s="24">
        <f ca="1">ROUND((C19+C20)*F26,0)</f>
        <v>0</v>
      </c>
      <c r="D26" s="369" t="s">
        <v>1452</v>
      </c>
      <c r="E26" s="358" t="s">
        <v>1453</v>
      </c>
      <c r="F26" s="357">
        <f ca="1">INDIRECT("'数据-取费表'!q"&amp;$G$1)</f>
        <v>0</v>
      </c>
      <c r="G26" s="1850"/>
      <c r="H26" s="344" t="s">
        <v>1029</v>
      </c>
      <c r="I26" s="345" t="s">
        <v>1454</v>
      </c>
      <c r="J26" s="346">
        <f ca="1">IF(J5&lt;&gt;0,ROUND(J25*(1-((1+M28)/(1+M26))^M27)/(M26-M28),0),0)</f>
        <v>0</v>
      </c>
      <c r="K26" s="370" t="s">
        <v>1455</v>
      </c>
      <c r="L26" s="347" t="s">
        <v>1456</v>
      </c>
      <c r="M26" s="357">
        <f ca="1">INDIRECT("'数据-取费表'!I"&amp;$G$1)</f>
        <v>0</v>
      </c>
    </row>
    <row r="27" spans="1:37" ht="18" customHeight="1">
      <c r="A27" s="1201" t="s">
        <v>1033</v>
      </c>
      <c r="B27" s="347" t="s">
        <v>1457</v>
      </c>
      <c r="C27" s="24">
        <f ca="1">ROUND(F21*F26,4)</f>
        <v>0</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0</v>
      </c>
      <c r="D29" s="1341"/>
      <c r="E29" s="1339"/>
      <c r="F29" s="1342"/>
      <c r="G29" s="1853"/>
      <c r="H29" s="380" t="s">
        <v>1030</v>
      </c>
      <c r="I29" s="381" t="s">
        <v>1465</v>
      </c>
      <c r="J29" s="382">
        <f ca="1">ROUND(J26/(1+F40)^F41,0)</f>
        <v>0</v>
      </c>
      <c r="K29" s="383" t="s">
        <v>1466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0</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ROUND(IF(项目基本情况!B11="自然人",C5*F31,C32+C33+C34),0)</f>
        <v>0</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IF(项目基本情况!B11="自然人","——",ROUND(C5*F32/(1+'数据-取费表'!C42),0))</f>
        <v>0</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IF(项目基本情况!B11="自然人","——",IF(D33="按租金收入计税",ROUND(C5*F33,0),IF(D33="按房产原值计税",ROUND(C29*F33*0.7,0),INDIRECT("'数据-取费表'!Aj"&amp;$G$1))))</f>
        <v>0</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f>
        <v>0</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0</v>
      </c>
      <c r="G35" s="1850"/>
      <c r="H35" s="745"/>
      <c r="I35" s="1859"/>
      <c r="J35" s="1860"/>
      <c r="K35" s="1861"/>
      <c r="L35" s="1858"/>
      <c r="M35" s="1858"/>
    </row>
    <row r="36" spans="1:18" ht="18" customHeight="1">
      <c r="A36" s="1351" t="s">
        <v>1036</v>
      </c>
      <c r="B36" s="347" t="s">
        <v>1435</v>
      </c>
      <c r="C36" s="24">
        <f ca="1">ROUND(C29*F36,0)</f>
        <v>0</v>
      </c>
      <c r="D36" s="1797" t="s">
        <v>1468</v>
      </c>
      <c r="E36" s="347" t="s">
        <v>1408</v>
      </c>
      <c r="F36" s="374">
        <f ca="1">INDIRECT("'数据-取费表'!Ak"&amp;$G$1)</f>
        <v>0</v>
      </c>
      <c r="G36" s="1850"/>
      <c r="H36" s="1858"/>
      <c r="I36" s="1859"/>
      <c r="J36" s="1860"/>
      <c r="K36" s="751"/>
      <c r="L36" s="1858"/>
      <c r="M36" s="1858"/>
    </row>
    <row r="37" spans="1:18" ht="18" customHeight="1">
      <c r="A37" s="1201" t="s">
        <v>1072</v>
      </c>
      <c r="B37" s="347" t="s">
        <v>1439</v>
      </c>
      <c r="C37" s="24">
        <f ca="1">ROUND(C13*F37,0)</f>
        <v>0</v>
      </c>
      <c r="D37" s="1797" t="s">
        <v>1440</v>
      </c>
      <c r="E37" s="347" t="s">
        <v>1441</v>
      </c>
      <c r="F37" s="376">
        <f ca="1">INDIRECT("'数据-取费表'!Al"&amp;$G$1)</f>
        <v>0</v>
      </c>
      <c r="G37" s="1850"/>
      <c r="H37" s="1858"/>
      <c r="I37" s="1859"/>
      <c r="J37" s="1860"/>
      <c r="K37" s="751"/>
      <c r="L37" s="1858"/>
      <c r="M37" s="1858"/>
    </row>
    <row r="38" spans="1:18" ht="18" customHeight="1" thickBot="1">
      <c r="A38" s="1338" t="s">
        <v>1379</v>
      </c>
      <c r="B38" s="1339" t="s">
        <v>1425</v>
      </c>
      <c r="C38" s="1340">
        <f ca="1">ROUND(C5*F38,1)</f>
        <v>0</v>
      </c>
      <c r="D38" s="1341" t="s">
        <v>1445</v>
      </c>
      <c r="E38" s="1339" t="s">
        <v>1441</v>
      </c>
      <c r="F38" s="1335">
        <f ca="1">INDIRECT("'数据-取费表'!Am"&amp;$G$1)</f>
        <v>0</v>
      </c>
      <c r="G38" s="1850"/>
      <c r="H38" s="1858"/>
      <c r="I38" s="1859"/>
      <c r="J38" s="1860"/>
      <c r="K38" s="1864"/>
      <c r="L38" s="1858"/>
      <c r="M38" s="1858"/>
    </row>
    <row r="39" spans="1:18" ht="24.6" customHeight="1" thickTop="1">
      <c r="A39" s="1328" t="s">
        <v>1028</v>
      </c>
      <c r="B39" s="1343" t="s">
        <v>1469</v>
      </c>
      <c r="C39" s="355">
        <f ca="1">C5-C30</f>
        <v>0</v>
      </c>
      <c r="D39" s="1344" t="s">
        <v>1470</v>
      </c>
      <c r="E39" s="1345"/>
      <c r="F39" s="1346"/>
      <c r="G39" s="1850"/>
      <c r="H39" s="1858"/>
      <c r="I39" s="1859"/>
      <c r="J39" s="1860"/>
      <c r="K39" s="1864"/>
      <c r="L39" s="1858"/>
      <c r="M39" s="1858"/>
    </row>
    <row r="40" spans="1:18" ht="18" customHeight="1">
      <c r="A40" s="344" t="s">
        <v>1029</v>
      </c>
      <c r="B40" s="345" t="s">
        <v>1471</v>
      </c>
      <c r="C40" s="346" t="e">
        <f ca="1">ROUND(C39*(1-((1+F42)/(1+F40))^F41)/(F40-F42),0)</f>
        <v>#DIV/0!</v>
      </c>
      <c r="D40" s="370" t="s">
        <v>1455</v>
      </c>
      <c r="E40" s="347" t="s">
        <v>1456</v>
      </c>
      <c r="F40" s="357">
        <f ca="1">INDIRECT("'数据-取费表'!I"&amp;$G$1)</f>
        <v>0</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1463</v>
      </c>
      <c r="F42" s="357">
        <f ca="1">INDIRECT("'数据-取费表'!v"&amp;$G$1)</f>
        <v>0</v>
      </c>
      <c r="G42" s="1850"/>
      <c r="H42" s="732"/>
      <c r="I42" s="1859"/>
      <c r="J42" s="1860"/>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1590</v>
      </c>
      <c r="E45" s="1865"/>
      <c r="F45" s="1865"/>
      <c r="O45" s="1868" t="s">
        <v>1505</v>
      </c>
      <c r="P45" s="1838"/>
      <c r="Q45" s="1838"/>
      <c r="R45" s="1838"/>
    </row>
    <row r="46" spans="1:18" s="1841" customFormat="1" ht="13.5" thickBot="1">
      <c r="A46" s="1869" t="s">
        <v>1506</v>
      </c>
      <c r="C46" s="1870" t="e">
        <f ca="1">ROUND(C45/10000,0)</f>
        <v>#DIV/0!</v>
      </c>
      <c r="D46" s="1871" t="str">
        <f>C2</f>
        <v>万元</v>
      </c>
      <c r="I46" s="1872" t="s">
        <v>1507</v>
      </c>
      <c r="J46" s="1873"/>
      <c r="K46" s="1874"/>
      <c r="L46" s="1875" t="e">
        <f ca="1">IF(M47="住宅",0,IF(L48&gt;J51,L60,J60))</f>
        <v>#DIV/0!</v>
      </c>
      <c r="O46" s="1876" t="s">
        <v>1508</v>
      </c>
      <c r="P46" s="1877" t="s">
        <v>1509</v>
      </c>
      <c r="Q46" s="1878" t="s">
        <v>1510</v>
      </c>
      <c r="R46" s="1878" t="s">
        <v>1511</v>
      </c>
    </row>
    <row r="47" spans="1:18" s="1841" customFormat="1" ht="13.5" thickBot="1">
      <c r="A47" s="1165" t="s">
        <v>1382</v>
      </c>
      <c r="B47" s="1197" t="s">
        <v>1383</v>
      </c>
      <c r="C47" s="1197" t="s">
        <v>1384</v>
      </c>
      <c r="D47" s="1197" t="s">
        <v>1385</v>
      </c>
      <c r="E47" s="1279" t="s">
        <v>1386</v>
      </c>
      <c r="F47" s="1280"/>
      <c r="G47" s="792"/>
      <c r="I47" s="1879" t="s">
        <v>1512</v>
      </c>
      <c r="J47" s="1880"/>
      <c r="K47" s="1881" t="s">
        <v>1513</v>
      </c>
      <c r="L47" s="1882">
        <f ca="1">INDIRECT("'数据-取费表'!d"&amp;$G$1)</f>
        <v>0</v>
      </c>
      <c r="M47" s="1837" t="str">
        <f>IF(ISNUMBER(FIND("住宅",C1)),"住宅","非住宅")</f>
        <v>非住宅</v>
      </c>
      <c r="O47" s="1883" t="s">
        <v>1037</v>
      </c>
      <c r="P47" s="1884" t="s">
        <v>1514</v>
      </c>
      <c r="Q47" s="1885" t="e">
        <f ca="1">C40+J29</f>
        <v>#DIV/0!</v>
      </c>
      <c r="R47" s="1885" t="s">
        <v>1515</v>
      </c>
    </row>
    <row r="48" spans="1:18" s="1841" customFormat="1" ht="28.5" thickBot="1">
      <c r="A48" s="1359" t="s">
        <v>1122</v>
      </c>
      <c r="B48" s="345" t="s">
        <v>1387</v>
      </c>
      <c r="C48" s="1816">
        <f ca="1">C49+C53+C55</f>
        <v>0</v>
      </c>
      <c r="D48" s="1361"/>
      <c r="E48" s="1362"/>
      <c r="F48" s="1181"/>
      <c r="G48" s="792"/>
      <c r="H48" s="793"/>
      <c r="I48" s="1886" t="s">
        <v>1516</v>
      </c>
      <c r="J48" s="1887"/>
      <c r="K48" s="1888" t="s">
        <v>1517</v>
      </c>
      <c r="L48" s="1889">
        <f ca="1">INDIRECT("'数据-取费表'!f"&amp;$G$1)</f>
        <v>0</v>
      </c>
      <c r="O48" s="1883" t="s">
        <v>1038</v>
      </c>
      <c r="P48" s="1884" t="s">
        <v>1518</v>
      </c>
      <c r="Q48" s="1885" t="e">
        <f ca="1">J60</f>
        <v>#DIV/0!</v>
      </c>
      <c r="R48" s="1885" t="s">
        <v>1519</v>
      </c>
    </row>
    <row r="49" spans="1:18" s="1841" customFormat="1" ht="13.5" thickBot="1">
      <c r="A49" s="1194" t="s">
        <v>1123</v>
      </c>
      <c r="B49" s="1828" t="s">
        <v>1476</v>
      </c>
      <c r="C49" s="1363">
        <f ca="1">ROUND(F49*F51*F50*(1-F52),0)</f>
        <v>0</v>
      </c>
      <c r="D49" s="1276" t="s">
        <v>1390</v>
      </c>
      <c r="E49" s="1829" t="s">
        <v>1477</v>
      </c>
      <c r="F49" s="1281"/>
      <c r="G49" s="1890"/>
      <c r="H49" s="793"/>
      <c r="I49" s="1886" t="s">
        <v>1520</v>
      </c>
      <c r="J49" s="1891"/>
      <c r="K49" s="1888" t="s">
        <v>1521</v>
      </c>
      <c r="L49" s="1892"/>
      <c r="O49" s="1893" t="s">
        <v>1039</v>
      </c>
      <c r="P49" s="1884" t="s">
        <v>1522</v>
      </c>
      <c r="Q49" s="1885">
        <f ca="1">C29</f>
        <v>0</v>
      </c>
      <c r="R49" s="1885" t="s">
        <v>1515</v>
      </c>
    </row>
    <row r="50" spans="1:18" s="1841" customFormat="1" ht="13.5" thickBot="1">
      <c r="A50" s="1195"/>
      <c r="B50" s="1198"/>
      <c r="C50" s="1199"/>
      <c r="D50" s="1172"/>
      <c r="E50" s="1277" t="s">
        <v>1392</v>
      </c>
      <c r="F50" s="1278">
        <f ca="1">F7</f>
        <v>0</v>
      </c>
      <c r="H50" s="793"/>
      <c r="I50" s="1886" t="s">
        <v>1523</v>
      </c>
      <c r="J50" s="1894">
        <f>SUMPRODUCT((I63:I65=J47)*(J62:L62=J48)*(J63:L65))</f>
        <v>0</v>
      </c>
      <c r="K50" s="1888" t="s">
        <v>1524</v>
      </c>
      <c r="L50" s="1892"/>
      <c r="M50" s="1895"/>
      <c r="O50" s="1893" t="s">
        <v>1040</v>
      </c>
      <c r="P50" s="1884" t="s">
        <v>1525</v>
      </c>
      <c r="Q50" s="1896" t="e">
        <f ca="1">J58</f>
        <v>#DIV/0!</v>
      </c>
      <c r="R50" s="1885"/>
    </row>
    <row r="51" spans="1:18" s="1841" customFormat="1" ht="13.5" thickBot="1">
      <c r="A51" s="1196"/>
      <c r="B51" s="1198"/>
      <c r="C51" s="1199"/>
      <c r="D51" s="1172"/>
      <c r="E51" s="1200" t="s">
        <v>1393</v>
      </c>
      <c r="F51" s="348">
        <f ca="1">F8</f>
        <v>0</v>
      </c>
      <c r="I51" s="1897" t="s">
        <v>1526</v>
      </c>
      <c r="J51" s="1898">
        <f>IF(J49="",J50,J49+J50-YEAR('数据-取费表'!B2))</f>
        <v>0</v>
      </c>
      <c r="K51" s="1899" t="s">
        <v>1527</v>
      </c>
      <c r="L51" s="1900">
        <f ca="1">ROUND(-PV(INDIRECT("'数据-取费表'!h"&amp;$G$1),L48,(C39-C13*C76),0),0)</f>
        <v>0</v>
      </c>
      <c r="M51" s="1901"/>
      <c r="O51" s="1893" t="s">
        <v>1041</v>
      </c>
      <c r="P51" s="1884" t="s">
        <v>1528</v>
      </c>
      <c r="Q51" s="1896">
        <f>J52</f>
        <v>0</v>
      </c>
      <c r="R51" s="1885"/>
    </row>
    <row r="52" spans="1:18" s="1841" customFormat="1" ht="13.5" thickBot="1">
      <c r="A52" s="1196"/>
      <c r="B52" s="1198"/>
      <c r="C52" s="1199"/>
      <c r="D52" s="1172"/>
      <c r="E52" s="1200" t="s">
        <v>1394</v>
      </c>
      <c r="F52" s="1275"/>
      <c r="I52" s="1902" t="s">
        <v>1529</v>
      </c>
      <c r="J52" s="1903"/>
      <c r="K52" s="1902" t="s">
        <v>1530</v>
      </c>
      <c r="L52" s="1903"/>
      <c r="O52" s="1893" t="s">
        <v>1042</v>
      </c>
      <c r="P52" s="1884" t="s">
        <v>1531</v>
      </c>
      <c r="Q52" s="1885" t="b">
        <f>J53</f>
        <v>0</v>
      </c>
      <c r="R52" s="1885" t="s">
        <v>1532</v>
      </c>
    </row>
    <row r="53" spans="1:18" s="1841" customFormat="1" ht="30.75" customHeight="1" thickBot="1">
      <c r="A53" s="1360" t="s">
        <v>1124</v>
      </c>
      <c r="B53" s="369" t="s">
        <v>1395</v>
      </c>
      <c r="C53" s="361">
        <f ca="1">ROUND(IF(F53="押一",C49/12*F11,IF(F53="押二",C49/12*2*F11,IF(F53="押三",C49/12*3*F11,C54*F11))),0)</f>
        <v>0</v>
      </c>
      <c r="D53" s="1823" t="s">
        <v>3024</v>
      </c>
      <c r="E53" s="358" t="s">
        <v>1396</v>
      </c>
      <c r="F53" s="1365"/>
      <c r="I53" s="1904" t="s">
        <v>1533</v>
      </c>
      <c r="J53" s="1905" t="b">
        <f>IF(M47="住宅",IF(D1="——",MAX(J51,L48),IF(D1="在建（套用方法）",MAX(J51,L48-'数据-取费表'!B24),MAX(J51,L48-'数据-取费表'!B20))),IF(D1="——",MIN(J51,L48),IF(D1="在建（套用方法）",MIN(J51,L48-'数据-取费表'!B24),IF(D1="土地（套用方法）",MIN(J51,L48-'数据-取费表'!B20)))))</f>
        <v>0</v>
      </c>
      <c r="K53" s="3186" t="s">
        <v>1534</v>
      </c>
      <c r="L53" s="3187"/>
      <c r="O53" s="1883" t="s">
        <v>1043</v>
      </c>
      <c r="P53" s="1884" t="s">
        <v>1535</v>
      </c>
      <c r="Q53" s="1885" t="e">
        <f ca="1">Q47+Q48</f>
        <v>#DIV/0!</v>
      </c>
      <c r="R53" s="1885" t="s">
        <v>1044</v>
      </c>
    </row>
    <row r="54" spans="1:18" s="1841" customFormat="1" ht="13.5" thickBot="1">
      <c r="A54" s="1194"/>
      <c r="B54" s="1940" t="s">
        <v>1589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#DIV/0!</v>
      </c>
      <c r="K55" s="1911" t="s">
        <v>1538</v>
      </c>
      <c r="L55" s="1912"/>
      <c r="O55" s="1876" t="s">
        <v>1508</v>
      </c>
      <c r="P55" s="1877" t="s">
        <v>1509</v>
      </c>
      <c r="Q55" s="1878" t="s">
        <v>1510</v>
      </c>
      <c r="R55" s="1878" t="s">
        <v>1511</v>
      </c>
    </row>
    <row r="56" spans="1:18" s="1841" customFormat="1" ht="36" customHeight="1" thickTop="1" thickBot="1">
      <c r="A56" s="1176">
        <v>2</v>
      </c>
      <c r="B56" s="1177" t="s">
        <v>1400</v>
      </c>
      <c r="C56" s="276">
        <f ca="1">C13</f>
        <v>0</v>
      </c>
      <c r="D56" s="1913"/>
      <c r="E56" s="1914"/>
      <c r="F56" s="1906"/>
      <c r="I56" s="1915" t="s">
        <v>1540</v>
      </c>
      <c r="J56" s="1916"/>
      <c r="K56" s="1886" t="s">
        <v>1541</v>
      </c>
      <c r="L56" s="1889">
        <f ca="1">IF(L48&lt;J51,"——",L48-J51)</f>
        <v>0</v>
      </c>
      <c r="O56" s="1883" t="s">
        <v>1037</v>
      </c>
      <c r="P56" s="1884" t="s">
        <v>1514</v>
      </c>
      <c r="Q56" s="1885" t="e">
        <f ca="1">C40+J29</f>
        <v>#DIV/0!</v>
      </c>
      <c r="R56" s="1885" t="s">
        <v>1515</v>
      </c>
    </row>
    <row r="57" spans="1:18" s="1841" customFormat="1" ht="24.75" thickBot="1">
      <c r="A57" s="1917"/>
      <c r="B57" s="1169" t="s">
        <v>1464</v>
      </c>
      <c r="C57" s="282">
        <f ca="1">C29</f>
        <v>0</v>
      </c>
      <c r="D57" s="1918"/>
      <c r="E57" s="1919"/>
      <c r="F57" s="1920"/>
      <c r="I57" s="1921" t="s">
        <v>1542</v>
      </c>
      <c r="J57" s="1922">
        <f ca="1">IF(OR(M47="住宅",J51&lt;L48,J56="是"),"——",J51-L48)</f>
        <v>0</v>
      </c>
      <c r="K57" s="1886" t="s">
        <v>1591</v>
      </c>
      <c r="L57" s="1889">
        <f ca="1">IF(L48&lt;J51,"——",IF(L55="比较法",L49,IF(L55="基准地价",L50,L51)))</f>
        <v>0</v>
      </c>
      <c r="O57" s="1883" t="s">
        <v>1038</v>
      </c>
      <c r="P57" s="1884" t="s">
        <v>1592</v>
      </c>
      <c r="Q57" s="1885" t="e">
        <f ca="1">L60</f>
        <v>#DIV/0!</v>
      </c>
      <c r="R57" s="1885" t="s">
        <v>1593</v>
      </c>
    </row>
    <row r="58" spans="1:18" s="1841" customFormat="1" ht="24.75" thickBot="1">
      <c r="A58" s="360" t="s">
        <v>1027</v>
      </c>
      <c r="B58" s="1177" t="s">
        <v>1410</v>
      </c>
      <c r="C58" s="361">
        <f ca="1">ROUND(C59+C64+C65+C66,0)</f>
        <v>0</v>
      </c>
      <c r="D58" s="1179" t="s">
        <v>1411</v>
      </c>
      <c r="E58" s="1180"/>
      <c r="F58" s="1181"/>
      <c r="I58" s="1921" t="s">
        <v>1546</v>
      </c>
      <c r="J58" s="1923" t="e">
        <f ca="1">IF(J55&lt;0.4,0.4,J55)</f>
        <v>#DIV/0!</v>
      </c>
      <c r="K58" s="1899" t="s">
        <v>1594</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ROUND(IF(项目基本情况!B11="自然人",C48*F59,C60+C61+C62),0)</f>
        <v>0</v>
      </c>
      <c r="D59" s="1182" t="s">
        <v>1416</v>
      </c>
      <c r="E59" s="1183" t="s">
        <v>1417</v>
      </c>
      <c r="F59" s="368" t="str">
        <f ca="1">IF(项目基本情况!B11="企业","",IF(INDIRECT("'数据-取费表'!c"&amp;$G$1)="住宅",5%,IF(F49*F50*F51/12/(1+'数据-取费表'!C42)&gt;20000,12%,7%)))</f>
        <v/>
      </c>
      <c r="I59" s="1921" t="s">
        <v>1549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IF(项目基本情况!B11="自然人","——",ROUND(C48*F60/(1+'数据-取费表'!C42),0))</f>
        <v>0</v>
      </c>
      <c r="D60" s="1183" t="s">
        <v>1420</v>
      </c>
      <c r="E60" s="1169" t="s">
        <v>1408</v>
      </c>
      <c r="F60" s="377">
        <f t="shared" ref="F60:F66" si="0">F32</f>
        <v>5.5000000000000007E-2</v>
      </c>
      <c r="I60" s="1924" t="s">
        <v>1551</v>
      </c>
      <c r="J60" s="1925" t="e">
        <f ca="1">IF(OR(M47="住宅",J51&lt;L48,J56="是"),"0",ROUND(J59/(1+J52)^J53,0))</f>
        <v>#DIV/0!</v>
      </c>
      <c r="K60" s="1926" t="s">
        <v>1552</v>
      </c>
      <c r="L60" s="1925" t="e">
        <f ca="1">IF(OR(M47="住宅",L48&lt;J51),0,ROUND(L57*(L58/L59-1),0))</f>
        <v>#DIV/0!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IF(项目基本情况!B11="自然人","——",IF(D61="按租金收入计税",ROUND(C48*F61,0),IF(D61="按房产原值计税",ROUND(C57*F61*0.7,0),INDIRECT("'数据-取费表'!Aj"&amp;$G$1))))</f>
        <v>0</v>
      </c>
      <c r="D61" s="1827" t="s">
        <v>1424</v>
      </c>
      <c r="E61" s="1169" t="s">
        <v>1480</v>
      </c>
      <c r="F61" s="367">
        <f t="shared" si="0"/>
        <v>1.2E-2</v>
      </c>
      <c r="I61" s="1927"/>
      <c r="J61" s="1927"/>
      <c r="K61" s="1927"/>
      <c r="L61" s="1927"/>
      <c r="O61" s="1893" t="s">
        <v>1042</v>
      </c>
      <c r="P61" s="1884" t="str">
        <f>K59</f>
        <v>建设期及建筑物耐用年限下的土地年期修正系数Kn</v>
      </c>
      <c r="Q61" s="1885" t="e">
        <f ca="1">L59</f>
        <v>#DIV/0!</v>
      </c>
      <c r="R61" s="1885" t="s">
        <v>1555</v>
      </c>
    </row>
    <row r="62" spans="1:18" s="1841" customFormat="1" ht="13.5" thickBot="1">
      <c r="A62" s="1201" t="s">
        <v>1481</v>
      </c>
      <c r="B62" s="1168" t="s">
        <v>1482</v>
      </c>
      <c r="C62" s="25">
        <f ca="1">IF(项目基本情况!B11="自然人","——",ROUND(F62*F63,0))</f>
        <v>0</v>
      </c>
      <c r="D62" s="1184" t="s">
        <v>1483</v>
      </c>
      <c r="E62" s="1169" t="s">
        <v>1484</v>
      </c>
      <c r="F62" s="371">
        <f t="shared" si="0"/>
        <v>3</v>
      </c>
      <c r="I62" s="1928" t="s">
        <v>1556</v>
      </c>
      <c r="J62" s="1929" t="s">
        <v>1557</v>
      </c>
      <c r="K62" s="1929" t="s">
        <v>1558</v>
      </c>
      <c r="L62" s="1929" t="s">
        <v>1559</v>
      </c>
      <c r="M62" s="1930" t="s">
        <v>1560</v>
      </c>
      <c r="O62" s="1883" t="s">
        <v>1043</v>
      </c>
      <c r="P62" s="1884" t="s">
        <v>1561</v>
      </c>
      <c r="Q62" s="1885" t="e">
        <f ca="1">Q56+Q57</f>
        <v>#DIV/0!</v>
      </c>
      <c r="R62" s="1885" t="s">
        <v>1044</v>
      </c>
    </row>
    <row r="63" spans="1:18" s="1841" customFormat="1" ht="13.5" thickBot="1">
      <c r="A63" s="372"/>
      <c r="B63" s="1175"/>
      <c r="C63" s="29"/>
      <c r="D63" s="1185"/>
      <c r="E63" s="1169" t="s">
        <v>1485</v>
      </c>
      <c r="F63" s="348">
        <f t="shared" ca="1" si="0"/>
        <v>0</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ROUND(C57*F64,0)</f>
        <v>0</v>
      </c>
      <c r="D64" s="1183" t="s">
        <v>1488</v>
      </c>
      <c r="E64" s="1169" t="s">
        <v>1480</v>
      </c>
      <c r="F64" s="374">
        <f t="shared" ca="1" si="0"/>
        <v>0</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ROUND(C56*F65,0)</f>
        <v>0</v>
      </c>
      <c r="D65" s="1183" t="s">
        <v>1440</v>
      </c>
      <c r="E65" s="1169" t="s">
        <v>1441</v>
      </c>
      <c r="F65" s="376">
        <f t="shared" ca="1" si="0"/>
        <v>0</v>
      </c>
      <c r="I65" s="1928" t="s">
        <v>1565</v>
      </c>
      <c r="J65" s="1929">
        <v>40</v>
      </c>
      <c r="K65" s="1929">
        <v>30</v>
      </c>
      <c r="L65" s="1929">
        <v>50</v>
      </c>
      <c r="M65" s="1931">
        <v>0.02</v>
      </c>
      <c r="O65" s="1883" t="s">
        <v>1037</v>
      </c>
      <c r="P65" s="1884" t="s">
        <v>1566</v>
      </c>
      <c r="Q65" s="1885" t="e">
        <f ca="1">C40+J29</f>
        <v>#DIV/0!</v>
      </c>
      <c r="R65" s="1885" t="s">
        <v>1515</v>
      </c>
    </row>
    <row r="66" spans="1:18" s="1841" customFormat="1" ht="16.5" thickBot="1">
      <c r="A66" s="1201" t="s">
        <v>1490</v>
      </c>
      <c r="B66" s="1169" t="s">
        <v>1425</v>
      </c>
      <c r="C66" s="24">
        <f ca="1">ROUND(C48*F66,0)</f>
        <v>0</v>
      </c>
      <c r="D66" s="1183" t="s">
        <v>1491</v>
      </c>
      <c r="E66" s="1169" t="s">
        <v>1408</v>
      </c>
      <c r="F66" s="357">
        <f t="shared" ca="1" si="0"/>
        <v>0</v>
      </c>
      <c r="O66" s="1883" t="s">
        <v>1038</v>
      </c>
      <c r="P66" s="1884" t="s">
        <v>1544</v>
      </c>
      <c r="Q66" s="1885" t="e">
        <f ca="1">L60</f>
        <v>#DIV/0!</v>
      </c>
      <c r="R66" s="1885" t="s">
        <v>1567</v>
      </c>
    </row>
    <row r="67" spans="1:18" s="1841" customFormat="1" ht="16.5" thickBot="1">
      <c r="A67" s="1176" t="s">
        <v>1028</v>
      </c>
      <c r="B67" s="1186" t="s">
        <v>1449</v>
      </c>
      <c r="C67" s="361">
        <f ca="1">C48-C58</f>
        <v>0</v>
      </c>
      <c r="D67" s="1182" t="s">
        <v>1450</v>
      </c>
      <c r="E67" s="1187"/>
      <c r="F67" s="1188"/>
      <c r="O67" s="1893" t="s">
        <v>1039</v>
      </c>
      <c r="P67" s="1884" t="s">
        <v>1548</v>
      </c>
      <c r="Q67" s="1932">
        <f ca="1">L51</f>
        <v>0</v>
      </c>
      <c r="R67" s="1885" t="s">
        <v>1568</v>
      </c>
    </row>
    <row r="68" spans="1:18" s="1841" customFormat="1" ht="16.5" thickBot="1">
      <c r="A68" s="1166" t="s">
        <v>1029</v>
      </c>
      <c r="B68" s="1167" t="s">
        <v>1471</v>
      </c>
      <c r="C68" s="346" t="e">
        <f ca="1">ROUND(C67*(1-((1+F70)/(1+F68))^F69)/(F68-F70),0)</f>
        <v>#DIV/0!</v>
      </c>
      <c r="D68" s="1184" t="s">
        <v>1455</v>
      </c>
      <c r="E68" s="1169" t="s">
        <v>1456</v>
      </c>
      <c r="F68" s="357">
        <f ca="1">F40</f>
        <v>0</v>
      </c>
      <c r="O68" s="1893" t="s">
        <v>1040</v>
      </c>
      <c r="P68" s="1933" t="s">
        <v>1569</v>
      </c>
      <c r="Q68" s="1885">
        <f ca="1">ROUND(Q69-Q70*Q71,0)</f>
        <v>0</v>
      </c>
      <c r="R68" s="1885" t="s">
        <v>1048</v>
      </c>
    </row>
    <row r="69" spans="1:18" s="1841" customFormat="1" ht="13.5" thickBot="1">
      <c r="A69" s="1170"/>
      <c r="B69" s="1171"/>
      <c r="C69" s="351"/>
      <c r="D69" s="1189" t="s">
        <v>1459</v>
      </c>
      <c r="E69" s="1169" t="s">
        <v>1460</v>
      </c>
      <c r="F69" s="379">
        <f ca="1">F41</f>
        <v>0</v>
      </c>
      <c r="O69" s="1893" t="s">
        <v>1045</v>
      </c>
      <c r="P69" s="1933" t="s">
        <v>1570</v>
      </c>
      <c r="Q69" s="1885">
        <f ca="1">C39</f>
        <v>0</v>
      </c>
      <c r="R69" s="1885" t="s">
        <v>1515</v>
      </c>
    </row>
    <row r="70" spans="1:18" s="1841" customFormat="1" ht="13.5" thickBot="1">
      <c r="A70" s="1173"/>
      <c r="B70" s="1174"/>
      <c r="C70" s="355"/>
      <c r="D70" s="1185"/>
      <c r="E70" s="1169" t="s">
        <v>1463</v>
      </c>
      <c r="F70" s="1275">
        <f ca="1">F42</f>
        <v>0</v>
      </c>
      <c r="O70" s="1893" t="s">
        <v>1046</v>
      </c>
      <c r="P70" s="1933" t="s">
        <v>1571</v>
      </c>
      <c r="Q70" s="1885">
        <f ca="1">C13</f>
        <v>0</v>
      </c>
      <c r="R70" s="1885" t="s">
        <v>1515</v>
      </c>
    </row>
    <row r="71" spans="1:18" s="1841" customFormat="1" ht="13.5" thickBot="1">
      <c r="A71" s="1190" t="s">
        <v>1030</v>
      </c>
      <c r="B71" s="1191" t="s">
        <v>1473</v>
      </c>
      <c r="C71" s="382" t="e">
        <f ca="1">ROUND(C68/F71,0)</f>
        <v>#DIV/0!</v>
      </c>
      <c r="D71" s="1192" t="s">
        <v>1474</v>
      </c>
      <c r="E71" s="1193" t="s">
        <v>1475</v>
      </c>
      <c r="F71" s="385">
        <f ca="1">F43</f>
        <v>0</v>
      </c>
      <c r="O71" s="1893" t="s">
        <v>1047</v>
      </c>
      <c r="P71" s="1933" t="s">
        <v>1572</v>
      </c>
      <c r="Q71" s="1896">
        <f ca="1">C76</f>
        <v>0</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建设期及建筑物耐用年限下的土地年期修正系数Kn</v>
      </c>
      <c r="Q74" s="1885" t="e">
        <f ca="1">L59</f>
        <v>#DIV/0!</v>
      </c>
      <c r="R74" s="1885" t="s">
        <v>1555</v>
      </c>
    </row>
    <row r="75" spans="1:18" ht="13.5" thickBot="1">
      <c r="A75" s="1841"/>
      <c r="B75" s="386" t="s">
        <v>1492</v>
      </c>
      <c r="C75" s="387">
        <f ca="1">ROUND(C13*C76,0)</f>
        <v>0</v>
      </c>
      <c r="D75" s="1841"/>
      <c r="E75" s="1841"/>
      <c r="F75" s="1841"/>
      <c r="K75" s="1867"/>
      <c r="L75" s="1841"/>
      <c r="O75" s="1883" t="s">
        <v>1043</v>
      </c>
      <c r="P75" s="1884" t="s">
        <v>1535</v>
      </c>
      <c r="Q75" s="1885" t="e">
        <f ca="1">Q65+Q66</f>
        <v>#DIV/0!</v>
      </c>
      <c r="R75" s="1885" t="s">
        <v>1044</v>
      </c>
    </row>
    <row r="76" spans="1:18">
      <c r="B76" s="388" t="s">
        <v>1493</v>
      </c>
      <c r="C76" s="389">
        <f ca="1">INDIRECT("'数据-取费表'!j"&amp;$G$1)</f>
        <v>0</v>
      </c>
      <c r="I76" s="1841"/>
      <c r="J76" s="1841"/>
      <c r="K76" s="1867"/>
      <c r="L76" s="1841"/>
    </row>
    <row r="77" spans="1:18">
      <c r="B77" s="390" t="s">
        <v>1494</v>
      </c>
      <c r="C77" s="391"/>
      <c r="I77" s="1841"/>
      <c r="J77" s="1841"/>
      <c r="K77" s="1867"/>
      <c r="L77" s="1841"/>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2508</v>
      </c>
      <c r="B1" s="2562"/>
      <c r="C1" s="2562"/>
      <c r="D1" s="2562"/>
      <c r="E1" s="2563"/>
    </row>
    <row r="2" spans="1:6" ht="15.75">
      <c r="A2" s="2564" t="s">
        <v>2309</v>
      </c>
      <c r="B2" s="2565">
        <f ca="1">SUMIF(B6:B13,"&lt;&gt;#ref!",B6:B13)</f>
        <v>123530</v>
      </c>
      <c r="C2" s="2566" t="s">
        <v>2501</v>
      </c>
      <c r="D2" s="2567" t="s">
        <v>2502</v>
      </c>
      <c r="E2" s="2568">
        <f>SUM(E6:E13)</f>
        <v>55990.490000000005</v>
      </c>
    </row>
    <row r="3" spans="1:6" ht="15.75">
      <c r="A3" s="2564" t="s">
        <v>1381</v>
      </c>
      <c r="B3" s="2565">
        <f ca="1">ROUND(B2*10000/E2,0)</f>
        <v>22063</v>
      </c>
      <c r="C3" s="2566" t="s">
        <v>2509</v>
      </c>
      <c r="D3" s="2569"/>
      <c r="E3" s="2570"/>
    </row>
    <row r="4" spans="1:6" ht="15.75">
      <c r="A4" s="2571"/>
      <c r="B4" s="2569"/>
      <c r="C4" s="2569"/>
      <c r="D4" s="2569"/>
      <c r="E4" s="2570"/>
    </row>
    <row r="5" spans="1:6" ht="15">
      <c r="A5" s="2572" t="s">
        <v>2503</v>
      </c>
      <c r="B5" s="3191" t="s">
        <v>2504</v>
      </c>
      <c r="C5" s="3191"/>
      <c r="D5" s="2573"/>
      <c r="E5" s="2574" t="s">
        <v>2505</v>
      </c>
      <c r="F5" s="2575" t="s">
        <v>2506</v>
      </c>
    </row>
    <row r="6" spans="1:6">
      <c r="A6" s="2576" t="str">
        <f>'数据-取费表'!AN6</f>
        <v>收益法</v>
      </c>
      <c r="B6" s="2575">
        <f ca="1">IF(F6="是",'数据-取费表'!AO6,0)</f>
        <v>123530</v>
      </c>
      <c r="C6" s="2566" t="s">
        <v>2501</v>
      </c>
      <c r="D6" s="2569"/>
      <c r="E6" s="2577">
        <f>IF(OR(A6=0,F6="否"),0,'数据-取费表'!K6+'数据-取费表'!S6)</f>
        <v>55990.490000000005</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P31" sqref="P31"/>
    </sheetView>
  </sheetViews>
  <sheetFormatPr defaultRowHeight="13.5"/>
  <cols>
    <col min="1" max="1" width="10.5" customWidth="1"/>
    <col min="2" max="2" width="12.875" customWidth="1"/>
    <col min="3" max="3" width="8.75" customWidth="1"/>
  </cols>
  <sheetData>
    <row r="1" spans="1:9" ht="14.25">
      <c r="A1" s="3208" t="s">
        <v>1073</v>
      </c>
      <c r="B1" s="3209"/>
      <c r="C1" s="3210"/>
      <c r="D1" s="3211">
        <f>SUM(I10,I15,I20,I21,I23)</f>
        <v>14999.66</v>
      </c>
      <c r="E1" s="3211"/>
      <c r="F1" s="3211"/>
      <c r="G1" s="3211"/>
      <c r="H1" s="3211"/>
      <c r="I1" s="3212"/>
    </row>
    <row r="2" spans="1:9">
      <c r="A2" s="3198" t="s">
        <v>1074</v>
      </c>
      <c r="B2" s="3199" t="s">
        <v>1075</v>
      </c>
      <c r="C2" s="3199"/>
      <c r="D2" s="1301" t="s">
        <v>1076</v>
      </c>
      <c r="E2" s="1301" t="s">
        <v>1077</v>
      </c>
      <c r="F2" s="1301" t="s">
        <v>1078</v>
      </c>
      <c r="G2" s="1301" t="s">
        <v>1079</v>
      </c>
      <c r="H2" s="1301" t="s">
        <v>1080</v>
      </c>
      <c r="I2" s="1302" t="s">
        <v>1081</v>
      </c>
    </row>
    <row r="3" spans="1:9">
      <c r="A3" s="3198"/>
      <c r="B3" s="3199" t="s">
        <v>3139</v>
      </c>
      <c r="C3" s="3199"/>
      <c r="D3" s="1303">
        <f>Sheet1!E5</f>
        <v>92</v>
      </c>
      <c r="E3" s="1301">
        <f>Sheet1!G5</f>
        <v>505</v>
      </c>
      <c r="F3" s="1304">
        <v>1</v>
      </c>
      <c r="G3" s="1304">
        <f>Sheet1!I5</f>
        <v>0.8</v>
      </c>
      <c r="H3" s="1305">
        <v>365</v>
      </c>
      <c r="I3" s="1306">
        <f>ROUND(D3*E3*F3*G3*H3/10000,0)</f>
        <v>1357</v>
      </c>
    </row>
    <row r="4" spans="1:9">
      <c r="A4" s="3198"/>
      <c r="B4" s="3199" t="s">
        <v>3140</v>
      </c>
      <c r="C4" s="3199"/>
      <c r="D4" s="1303">
        <f>Sheet1!E6</f>
        <v>174</v>
      </c>
      <c r="E4" s="2950">
        <f>Sheet1!G6</f>
        <v>610</v>
      </c>
      <c r="F4" s="1304">
        <v>1</v>
      </c>
      <c r="G4" s="1304">
        <f>Sheet1!I6</f>
        <v>0.66</v>
      </c>
      <c r="H4" s="1305">
        <v>365</v>
      </c>
      <c r="I4" s="1306">
        <f t="shared" ref="I4:I9" si="0">ROUND(D4*E4*F4*G4*H4/10000,0)</f>
        <v>2557</v>
      </c>
    </row>
    <row r="5" spans="1:9">
      <c r="A5" s="3198"/>
      <c r="B5" s="3199" t="s">
        <v>3141</v>
      </c>
      <c r="C5" s="3199"/>
      <c r="D5" s="1303">
        <f>Sheet1!E7</f>
        <v>104</v>
      </c>
      <c r="E5" s="2950">
        <f>Sheet1!G7</f>
        <v>681</v>
      </c>
      <c r="F5" s="1304">
        <v>1</v>
      </c>
      <c r="G5" s="1304">
        <f>Sheet1!I7</f>
        <v>0.89</v>
      </c>
      <c r="H5" s="1305">
        <v>365</v>
      </c>
      <c r="I5" s="1306">
        <f t="shared" si="0"/>
        <v>2301</v>
      </c>
    </row>
    <row r="6" spans="1:9">
      <c r="A6" s="3198"/>
      <c r="B6" s="3199" t="s">
        <v>3142</v>
      </c>
      <c r="C6" s="3199"/>
      <c r="D6" s="1303">
        <f>Sheet1!E8</f>
        <v>64</v>
      </c>
      <c r="E6" s="2950">
        <f>Sheet1!G8</f>
        <v>896</v>
      </c>
      <c r="F6" s="1304">
        <v>1</v>
      </c>
      <c r="G6" s="1304">
        <f>Sheet1!I8</f>
        <v>0.55000000000000004</v>
      </c>
      <c r="H6" s="1305">
        <v>365</v>
      </c>
      <c r="I6" s="1306">
        <f t="shared" si="0"/>
        <v>1151</v>
      </c>
    </row>
    <row r="7" spans="1:9">
      <c r="A7" s="3198"/>
      <c r="B7" s="3199"/>
      <c r="C7" s="3199"/>
      <c r="D7" s="1303"/>
      <c r="E7" s="1301"/>
      <c r="F7" s="1304"/>
      <c r="G7" s="1304"/>
      <c r="H7" s="1305"/>
      <c r="I7" s="1306">
        <f t="shared" si="0"/>
        <v>0</v>
      </c>
    </row>
    <row r="8" spans="1:9">
      <c r="A8" s="3198"/>
      <c r="B8" s="3199"/>
      <c r="C8" s="3199"/>
      <c r="D8" s="1303"/>
      <c r="E8" s="1301"/>
      <c r="F8" s="1304"/>
      <c r="G8" s="1304"/>
      <c r="H8" s="1305"/>
      <c r="I8" s="1306">
        <f t="shared" si="0"/>
        <v>0</v>
      </c>
    </row>
    <row r="9" spans="1:9">
      <c r="A9" s="3198"/>
      <c r="B9" s="3199"/>
      <c r="C9" s="3199"/>
      <c r="D9" s="1303"/>
      <c r="E9" s="1301"/>
      <c r="F9" s="1304"/>
      <c r="G9" s="1304"/>
      <c r="H9" s="1305"/>
      <c r="I9" s="1306">
        <f t="shared" si="0"/>
        <v>0</v>
      </c>
    </row>
    <row r="10" spans="1:9">
      <c r="A10" s="3198"/>
      <c r="B10" s="3200" t="s">
        <v>1082</v>
      </c>
      <c r="C10" s="3200"/>
      <c r="D10" s="1307">
        <f>SUM(D3:D9)</f>
        <v>434</v>
      </c>
      <c r="E10" s="1307"/>
      <c r="F10" s="1308"/>
      <c r="G10" s="1308"/>
      <c r="H10" s="1305">
        <v>365</v>
      </c>
      <c r="I10" s="1309">
        <f>SUM(I3:I9)</f>
        <v>7366</v>
      </c>
    </row>
    <row r="11" spans="1:9" ht="14.25">
      <c r="A11" s="3198" t="s">
        <v>1083</v>
      </c>
      <c r="B11" s="3199" t="s">
        <v>1084</v>
      </c>
      <c r="C11" s="3199"/>
      <c r="D11" s="1303" t="s">
        <v>1085</v>
      </c>
      <c r="E11" s="1303" t="s">
        <v>1086</v>
      </c>
      <c r="F11" s="1304" t="s">
        <v>1087</v>
      </c>
      <c r="G11" s="1304" t="s">
        <v>1080</v>
      </c>
      <c r="H11" s="1310" t="s">
        <v>1088</v>
      </c>
      <c r="I11" s="1302" t="s">
        <v>1081</v>
      </c>
    </row>
    <row r="12" spans="1:9">
      <c r="A12" s="3198"/>
      <c r="B12" s="3199" t="s">
        <v>1089</v>
      </c>
      <c r="C12" s="3199"/>
      <c r="D12" s="1303"/>
      <c r="E12" s="1303"/>
      <c r="F12" s="1304"/>
      <c r="G12" s="1305"/>
      <c r="H12" s="1311"/>
      <c r="I12" s="1302">
        <f>ROUND(D12*E12*F12*G12/10000,0)</f>
        <v>0</v>
      </c>
    </row>
    <row r="13" spans="1:9">
      <c r="A13" s="3198"/>
      <c r="B13" s="3199" t="s">
        <v>1090</v>
      </c>
      <c r="C13" s="3199"/>
      <c r="D13" s="1303"/>
      <c r="E13" s="1303"/>
      <c r="F13" s="1304"/>
      <c r="G13" s="1305"/>
      <c r="H13" s="1311"/>
      <c r="I13" s="1302">
        <f>ROUND(D13*E13*F13*G13/10000,0)</f>
        <v>0</v>
      </c>
    </row>
    <row r="14" spans="1:9">
      <c r="A14" s="3198"/>
      <c r="B14" s="3199" t="s">
        <v>1091</v>
      </c>
      <c r="C14" s="3199"/>
      <c r="D14" s="1303"/>
      <c r="E14" s="1303"/>
      <c r="F14" s="1304"/>
      <c r="G14" s="1305"/>
      <c r="H14" s="1311"/>
      <c r="I14" s="1302">
        <f>ROUND(D14*E14*F14*G14/10000,0)</f>
        <v>0</v>
      </c>
    </row>
    <row r="15" spans="1:9">
      <c r="A15" s="3198"/>
      <c r="B15" s="3200" t="s">
        <v>1082</v>
      </c>
      <c r="C15" s="3200"/>
      <c r="D15" s="1307"/>
      <c r="E15" s="1307">
        <f>SUM(E12:E14)</f>
        <v>0</v>
      </c>
      <c r="F15" s="1308"/>
      <c r="G15" s="1305"/>
      <c r="H15" s="1311"/>
      <c r="I15" s="1312">
        <f>SUM(Sheet1!F16:H21)</f>
        <v>4126.66</v>
      </c>
    </row>
    <row r="16" spans="1:9" ht="24">
      <c r="A16" s="3198" t="s">
        <v>1092</v>
      </c>
      <c r="B16" s="3199" t="s">
        <v>1093</v>
      </c>
      <c r="C16" s="3199"/>
      <c r="D16" s="1303" t="s">
        <v>1076</v>
      </c>
      <c r="E16" s="1313" t="s">
        <v>1094</v>
      </c>
      <c r="F16" s="1304" t="s">
        <v>1095</v>
      </c>
      <c r="G16" s="1305" t="s">
        <v>1080</v>
      </c>
      <c r="H16" s="1310" t="s">
        <v>1088</v>
      </c>
      <c r="I16" s="1302" t="s">
        <v>1081</v>
      </c>
    </row>
    <row r="17" spans="1:9" ht="14.25">
      <c r="A17" s="3198"/>
      <c r="B17" s="3199" t="s">
        <v>3143</v>
      </c>
      <c r="C17" s="3199"/>
      <c r="D17" s="1303">
        <v>1</v>
      </c>
      <c r="E17" s="1303">
        <f>Sheet1!F12</f>
        <v>39000</v>
      </c>
      <c r="F17" s="1304">
        <f>Sheet1!I12</f>
        <v>0.57999999999999996</v>
      </c>
      <c r="G17" s="1305">
        <v>365</v>
      </c>
      <c r="H17" s="1314"/>
      <c r="I17" s="1315">
        <f>ROUND(D17*E17*F17*G17/10000,0)</f>
        <v>826</v>
      </c>
    </row>
    <row r="18" spans="1:9" ht="14.25">
      <c r="A18" s="3198"/>
      <c r="B18" s="3199" t="s">
        <v>3144</v>
      </c>
      <c r="C18" s="3199"/>
      <c r="D18" s="1303">
        <v>6</v>
      </c>
      <c r="E18" s="1303">
        <f>Sheet1!F13</f>
        <v>12500</v>
      </c>
      <c r="F18" s="1304">
        <f>Sheet1!I13</f>
        <v>0.72</v>
      </c>
      <c r="G18" s="1305">
        <v>365</v>
      </c>
      <c r="H18" s="1314"/>
      <c r="I18" s="1315">
        <f>ROUND(D18*E18*F18*G18/10000,0)</f>
        <v>1971</v>
      </c>
    </row>
    <row r="19" spans="1:9" ht="14.25">
      <c r="A19" s="3198"/>
      <c r="B19" s="3199"/>
      <c r="C19" s="3199"/>
      <c r="D19" s="1303"/>
      <c r="E19" s="1303"/>
      <c r="F19" s="1304"/>
      <c r="G19" s="1305"/>
      <c r="H19" s="1314"/>
      <c r="I19" s="1315">
        <f>ROUND(D19*E19*F19*G19/10000,0)</f>
        <v>0</v>
      </c>
    </row>
    <row r="20" spans="1:9">
      <c r="A20" s="3198"/>
      <c r="B20" s="3200" t="s">
        <v>1082</v>
      </c>
      <c r="C20" s="3200"/>
      <c r="D20" s="1307">
        <f>SUM(D17:D19)</f>
        <v>7</v>
      </c>
      <c r="E20" s="1307"/>
      <c r="F20" s="1308"/>
      <c r="G20" s="1305"/>
      <c r="H20" s="1311"/>
      <c r="I20" s="1312">
        <f>SUM(I17:I19)</f>
        <v>2797</v>
      </c>
    </row>
    <row r="21" spans="1:9">
      <c r="A21" s="3198" t="s">
        <v>1096</v>
      </c>
      <c r="B21" s="3201"/>
      <c r="C21" s="3201"/>
      <c r="D21" s="3201"/>
      <c r="E21" s="3201"/>
      <c r="F21" s="3201"/>
      <c r="G21" s="3201"/>
      <c r="H21" s="1764">
        <v>0</v>
      </c>
      <c r="I21" s="1309">
        <f>ROUND(I10*H21,0)</f>
        <v>0</v>
      </c>
    </row>
    <row r="22" spans="1:9" ht="14.25">
      <c r="A22" s="3202" t="s">
        <v>1097</v>
      </c>
      <c r="B22" s="3203"/>
      <c r="C22" s="3204"/>
      <c r="D22" s="1316" t="s">
        <v>1098</v>
      </c>
      <c r="E22" s="1316" t="s">
        <v>1099</v>
      </c>
      <c r="F22" s="1317" t="s">
        <v>1100</v>
      </c>
      <c r="G22" s="1317" t="s">
        <v>1101</v>
      </c>
      <c r="H22" s="1310" t="s">
        <v>1102</v>
      </c>
      <c r="I22" s="1302" t="s">
        <v>1103</v>
      </c>
    </row>
    <row r="23" spans="1:9" ht="14.25" thickBot="1">
      <c r="A23" s="3205"/>
      <c r="B23" s="3206"/>
      <c r="C23" s="3207"/>
      <c r="D23" s="1318">
        <f>SUM(Sheet1!D24:E29)</f>
        <v>4610.5999999999995</v>
      </c>
      <c r="E23" s="1318">
        <f>Sheet1!K30</f>
        <v>4.22</v>
      </c>
      <c r="F23" s="1318">
        <v>365</v>
      </c>
      <c r="G23" s="1319"/>
      <c r="H23" s="1320"/>
      <c r="I23" s="1321">
        <f>ROUND(E23*D23*F23*(1-G23)/10000,0)</f>
        <v>710</v>
      </c>
    </row>
    <row r="26" spans="1:9">
      <c r="A26" s="1322" t="s">
        <v>1104</v>
      </c>
      <c r="B26" s="1322"/>
      <c r="C26" s="1322"/>
      <c r="D26" s="1322"/>
      <c r="E26" s="3195">
        <f>C27-C30-C31-C32</f>
        <v>9749.7789999999986</v>
      </c>
      <c r="F26" s="3195"/>
      <c r="G26" s="3195"/>
      <c r="H26" s="1736" t="s">
        <v>1326</v>
      </c>
    </row>
    <row r="27" spans="1:9">
      <c r="A27" s="1323">
        <v>1</v>
      </c>
      <c r="B27" s="1324" t="s">
        <v>1105</v>
      </c>
      <c r="C27" s="1324">
        <f>C28+C29</f>
        <v>14999.66</v>
      </c>
      <c r="D27" s="1324"/>
      <c r="E27" s="3196"/>
      <c r="F27" s="3196"/>
      <c r="G27" s="3196"/>
    </row>
    <row r="28" spans="1:9">
      <c r="A28" s="1325" t="s">
        <v>1106</v>
      </c>
      <c r="B28" s="1324" t="s">
        <v>1107</v>
      </c>
      <c r="C28" s="1324">
        <f>I10</f>
        <v>7366</v>
      </c>
      <c r="D28" s="1324"/>
      <c r="E28" s="3196"/>
      <c r="F28" s="3196"/>
      <c r="G28" s="3196"/>
    </row>
    <row r="29" spans="1:9">
      <c r="A29" s="1325" t="s">
        <v>1108</v>
      </c>
      <c r="B29" s="1324" t="s">
        <v>1109</v>
      </c>
      <c r="C29" s="1324">
        <f>I15+I20+I23</f>
        <v>7633.66</v>
      </c>
      <c r="D29" s="1324"/>
      <c r="E29" s="1324" t="s">
        <v>1110</v>
      </c>
      <c r="F29" s="1324"/>
      <c r="G29" s="1324"/>
    </row>
    <row r="30" spans="1:9">
      <c r="A30" s="1323">
        <v>2</v>
      </c>
      <c r="B30" s="1324" t="s">
        <v>1111</v>
      </c>
      <c r="C30" s="1324">
        <f>C27*D30</f>
        <v>2999.9320000000002</v>
      </c>
      <c r="D30" s="1326">
        <v>0.2</v>
      </c>
      <c r="E30" s="1324" t="s">
        <v>1112</v>
      </c>
      <c r="F30" s="1324"/>
      <c r="G30" s="1324"/>
    </row>
    <row r="31" spans="1:9">
      <c r="A31" s="1323">
        <v>3</v>
      </c>
      <c r="B31" s="1324" t="s">
        <v>1113</v>
      </c>
      <c r="C31" s="1324">
        <f>C27*D31</f>
        <v>1499.9660000000001</v>
      </c>
      <c r="D31" s="1326">
        <v>0.1</v>
      </c>
      <c r="E31" s="1324" t="s">
        <v>1114</v>
      </c>
      <c r="F31" s="1324"/>
      <c r="G31" s="1324"/>
    </row>
    <row r="32" spans="1:9">
      <c r="A32" s="1323">
        <v>4</v>
      </c>
      <c r="B32" s="1324" t="s">
        <v>1115</v>
      </c>
      <c r="C32" s="1324">
        <f>C27*D32</f>
        <v>749.98300000000006</v>
      </c>
      <c r="D32" s="1326">
        <v>0.05</v>
      </c>
      <c r="E32" s="3197"/>
      <c r="F32" s="3197"/>
      <c r="G32" s="3197"/>
    </row>
    <row r="33" spans="1:7" hidden="1">
      <c r="A33" s="3192" t="s">
        <v>1116</v>
      </c>
      <c r="B33" s="3193"/>
      <c r="C33" s="3193"/>
      <c r="D33" s="3194"/>
      <c r="E33" s="3195"/>
      <c r="F33" s="3195"/>
      <c r="G33" s="3195"/>
    </row>
    <row r="34" spans="1:7" hidden="1">
      <c r="A34" s="1327">
        <v>1</v>
      </c>
      <c r="B34" s="1324" t="s">
        <v>1117</v>
      </c>
      <c r="C34" s="1324"/>
      <c r="D34" s="1324"/>
      <c r="E34" s="3196"/>
      <c r="F34" s="3196"/>
      <c r="G34" s="3196"/>
    </row>
    <row r="35" spans="1:7" hidden="1">
      <c r="A35" s="1327">
        <v>2</v>
      </c>
      <c r="B35" s="1324" t="s">
        <v>1118</v>
      </c>
      <c r="C35" s="1324"/>
      <c r="D35" s="1324"/>
      <c r="E35" s="3196"/>
      <c r="F35" s="3196"/>
      <c r="G35" s="3196"/>
    </row>
    <row r="36" spans="1:7" hidden="1">
      <c r="A36" s="1327">
        <v>3</v>
      </c>
      <c r="B36" s="1324" t="s">
        <v>1119</v>
      </c>
      <c r="C36" s="1324"/>
      <c r="D36" s="1324"/>
      <c r="E36" s="3196"/>
      <c r="F36" s="3196"/>
      <c r="G36" s="3196"/>
    </row>
    <row r="37" spans="1:7" hidden="1">
      <c r="A37" s="1327">
        <v>4</v>
      </c>
      <c r="B37" s="1324" t="s">
        <v>1120</v>
      </c>
      <c r="C37" s="1324"/>
      <c r="D37" s="1324"/>
      <c r="E37" s="3196"/>
      <c r="F37" s="3196"/>
      <c r="G37" s="3196"/>
    </row>
    <row r="38" spans="1:7" hidden="1">
      <c r="A38" s="3192" t="s">
        <v>1121</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8"/>
  <sheetViews>
    <sheetView topLeftCell="A10" workbookViewId="0">
      <selection activeCell="J31" sqref="J31"/>
    </sheetView>
  </sheetViews>
  <sheetFormatPr defaultRowHeight="13.5"/>
  <cols>
    <col min="1" max="1" width="2.125" customWidth="1"/>
    <col min="2" max="2" width="13.25" customWidth="1"/>
    <col min="3" max="3" width="16" customWidth="1"/>
    <col min="7" max="7" width="23.125" customWidth="1"/>
    <col min="8" max="8" width="25.625" customWidth="1"/>
    <col min="9" max="9" width="23.125" customWidth="1"/>
    <col min="11" max="11" width="18.375" bestFit="1" customWidth="1"/>
    <col min="257" max="257" width="2.125" customWidth="1"/>
    <col min="258" max="258" width="13.25" customWidth="1"/>
    <col min="259" max="259" width="16" customWidth="1"/>
    <col min="263" max="263" width="23.125" customWidth="1"/>
    <col min="264" max="264" width="25.625" customWidth="1"/>
    <col min="265" max="265" width="23.125" customWidth="1"/>
    <col min="267" max="267" width="18.375" bestFit="1" customWidth="1"/>
    <col min="513" max="513" width="2.125" customWidth="1"/>
    <col min="514" max="514" width="13.25" customWidth="1"/>
    <col min="515" max="515" width="16" customWidth="1"/>
    <col min="519" max="519" width="23.125" customWidth="1"/>
    <col min="520" max="520" width="25.625" customWidth="1"/>
    <col min="521" max="521" width="23.125" customWidth="1"/>
    <col min="523" max="523" width="18.375" bestFit="1" customWidth="1"/>
    <col min="769" max="769" width="2.125" customWidth="1"/>
    <col min="770" max="770" width="13.25" customWidth="1"/>
    <col min="771" max="771" width="16" customWidth="1"/>
    <col min="775" max="775" width="23.125" customWidth="1"/>
    <col min="776" max="776" width="25.625" customWidth="1"/>
    <col min="777" max="777" width="23.125" customWidth="1"/>
    <col min="779" max="779" width="18.375" bestFit="1" customWidth="1"/>
    <col min="1025" max="1025" width="2.125" customWidth="1"/>
    <col min="1026" max="1026" width="13.25" customWidth="1"/>
    <col min="1027" max="1027" width="16" customWidth="1"/>
    <col min="1031" max="1031" width="23.125" customWidth="1"/>
    <col min="1032" max="1032" width="25.625" customWidth="1"/>
    <col min="1033" max="1033" width="23.125" customWidth="1"/>
    <col min="1035" max="1035" width="18.375" bestFit="1" customWidth="1"/>
    <col min="1281" max="1281" width="2.125" customWidth="1"/>
    <col min="1282" max="1282" width="13.25" customWidth="1"/>
    <col min="1283" max="1283" width="16" customWidth="1"/>
    <col min="1287" max="1287" width="23.125" customWidth="1"/>
    <col min="1288" max="1288" width="25.625" customWidth="1"/>
    <col min="1289" max="1289" width="23.125" customWidth="1"/>
    <col min="1291" max="1291" width="18.375" bestFit="1" customWidth="1"/>
    <col min="1537" max="1537" width="2.125" customWidth="1"/>
    <col min="1538" max="1538" width="13.25" customWidth="1"/>
    <col min="1539" max="1539" width="16" customWidth="1"/>
    <col min="1543" max="1543" width="23.125" customWidth="1"/>
    <col min="1544" max="1544" width="25.625" customWidth="1"/>
    <col min="1545" max="1545" width="23.125" customWidth="1"/>
    <col min="1547" max="1547" width="18.375" bestFit="1" customWidth="1"/>
    <col min="1793" max="1793" width="2.125" customWidth="1"/>
    <col min="1794" max="1794" width="13.25" customWidth="1"/>
    <col min="1795" max="1795" width="16" customWidth="1"/>
    <col min="1799" max="1799" width="23.125" customWidth="1"/>
    <col min="1800" max="1800" width="25.625" customWidth="1"/>
    <col min="1801" max="1801" width="23.125" customWidth="1"/>
    <col min="1803" max="1803" width="18.375" bestFit="1" customWidth="1"/>
    <col min="2049" max="2049" width="2.125" customWidth="1"/>
    <col min="2050" max="2050" width="13.25" customWidth="1"/>
    <col min="2051" max="2051" width="16" customWidth="1"/>
    <col min="2055" max="2055" width="23.125" customWidth="1"/>
    <col min="2056" max="2056" width="25.625" customWidth="1"/>
    <col min="2057" max="2057" width="23.125" customWidth="1"/>
    <col min="2059" max="2059" width="18.375" bestFit="1" customWidth="1"/>
    <col min="2305" max="2305" width="2.125" customWidth="1"/>
    <col min="2306" max="2306" width="13.25" customWidth="1"/>
    <col min="2307" max="2307" width="16" customWidth="1"/>
    <col min="2311" max="2311" width="23.125" customWidth="1"/>
    <col min="2312" max="2312" width="25.625" customWidth="1"/>
    <col min="2313" max="2313" width="23.125" customWidth="1"/>
    <col min="2315" max="2315" width="18.375" bestFit="1" customWidth="1"/>
    <col min="2561" max="2561" width="2.125" customWidth="1"/>
    <col min="2562" max="2562" width="13.25" customWidth="1"/>
    <col min="2563" max="2563" width="16" customWidth="1"/>
    <col min="2567" max="2567" width="23.125" customWidth="1"/>
    <col min="2568" max="2568" width="25.625" customWidth="1"/>
    <col min="2569" max="2569" width="23.125" customWidth="1"/>
    <col min="2571" max="2571" width="18.375" bestFit="1" customWidth="1"/>
    <col min="2817" max="2817" width="2.125" customWidth="1"/>
    <col min="2818" max="2818" width="13.25" customWidth="1"/>
    <col min="2819" max="2819" width="16" customWidth="1"/>
    <col min="2823" max="2823" width="23.125" customWidth="1"/>
    <col min="2824" max="2824" width="25.625" customWidth="1"/>
    <col min="2825" max="2825" width="23.125" customWidth="1"/>
    <col min="2827" max="2827" width="18.375" bestFit="1" customWidth="1"/>
    <col min="3073" max="3073" width="2.125" customWidth="1"/>
    <col min="3074" max="3074" width="13.25" customWidth="1"/>
    <col min="3075" max="3075" width="16" customWidth="1"/>
    <col min="3079" max="3079" width="23.125" customWidth="1"/>
    <col min="3080" max="3080" width="25.625" customWidth="1"/>
    <col min="3081" max="3081" width="23.125" customWidth="1"/>
    <col min="3083" max="3083" width="18.375" bestFit="1" customWidth="1"/>
    <col min="3329" max="3329" width="2.125" customWidth="1"/>
    <col min="3330" max="3330" width="13.25" customWidth="1"/>
    <col min="3331" max="3331" width="16" customWidth="1"/>
    <col min="3335" max="3335" width="23.125" customWidth="1"/>
    <col min="3336" max="3336" width="25.625" customWidth="1"/>
    <col min="3337" max="3337" width="23.125" customWidth="1"/>
    <col min="3339" max="3339" width="18.375" bestFit="1" customWidth="1"/>
    <col min="3585" max="3585" width="2.125" customWidth="1"/>
    <col min="3586" max="3586" width="13.25" customWidth="1"/>
    <col min="3587" max="3587" width="16" customWidth="1"/>
    <col min="3591" max="3591" width="23.125" customWidth="1"/>
    <col min="3592" max="3592" width="25.625" customWidth="1"/>
    <col min="3593" max="3593" width="23.125" customWidth="1"/>
    <col min="3595" max="3595" width="18.375" bestFit="1" customWidth="1"/>
    <col min="3841" max="3841" width="2.125" customWidth="1"/>
    <col min="3842" max="3842" width="13.25" customWidth="1"/>
    <col min="3843" max="3843" width="16" customWidth="1"/>
    <col min="3847" max="3847" width="23.125" customWidth="1"/>
    <col min="3848" max="3848" width="25.625" customWidth="1"/>
    <col min="3849" max="3849" width="23.125" customWidth="1"/>
    <col min="3851" max="3851" width="18.375" bestFit="1" customWidth="1"/>
    <col min="4097" max="4097" width="2.125" customWidth="1"/>
    <col min="4098" max="4098" width="13.25" customWidth="1"/>
    <col min="4099" max="4099" width="16" customWidth="1"/>
    <col min="4103" max="4103" width="23.125" customWidth="1"/>
    <col min="4104" max="4104" width="25.625" customWidth="1"/>
    <col min="4105" max="4105" width="23.125" customWidth="1"/>
    <col min="4107" max="4107" width="18.375" bestFit="1" customWidth="1"/>
    <col min="4353" max="4353" width="2.125" customWidth="1"/>
    <col min="4354" max="4354" width="13.25" customWidth="1"/>
    <col min="4355" max="4355" width="16" customWidth="1"/>
    <col min="4359" max="4359" width="23.125" customWidth="1"/>
    <col min="4360" max="4360" width="25.625" customWidth="1"/>
    <col min="4361" max="4361" width="23.125" customWidth="1"/>
    <col min="4363" max="4363" width="18.375" bestFit="1" customWidth="1"/>
    <col min="4609" max="4609" width="2.125" customWidth="1"/>
    <col min="4610" max="4610" width="13.25" customWidth="1"/>
    <col min="4611" max="4611" width="16" customWidth="1"/>
    <col min="4615" max="4615" width="23.125" customWidth="1"/>
    <col min="4616" max="4616" width="25.625" customWidth="1"/>
    <col min="4617" max="4617" width="23.125" customWidth="1"/>
    <col min="4619" max="4619" width="18.375" bestFit="1" customWidth="1"/>
    <col min="4865" max="4865" width="2.125" customWidth="1"/>
    <col min="4866" max="4866" width="13.25" customWidth="1"/>
    <col min="4867" max="4867" width="16" customWidth="1"/>
    <col min="4871" max="4871" width="23.125" customWidth="1"/>
    <col min="4872" max="4872" width="25.625" customWidth="1"/>
    <col min="4873" max="4873" width="23.125" customWidth="1"/>
    <col min="4875" max="4875" width="18.375" bestFit="1" customWidth="1"/>
    <col min="5121" max="5121" width="2.125" customWidth="1"/>
    <col min="5122" max="5122" width="13.25" customWidth="1"/>
    <col min="5123" max="5123" width="16" customWidth="1"/>
    <col min="5127" max="5127" width="23.125" customWidth="1"/>
    <col min="5128" max="5128" width="25.625" customWidth="1"/>
    <col min="5129" max="5129" width="23.125" customWidth="1"/>
    <col min="5131" max="5131" width="18.375" bestFit="1" customWidth="1"/>
    <col min="5377" max="5377" width="2.125" customWidth="1"/>
    <col min="5378" max="5378" width="13.25" customWidth="1"/>
    <col min="5379" max="5379" width="16" customWidth="1"/>
    <col min="5383" max="5383" width="23.125" customWidth="1"/>
    <col min="5384" max="5384" width="25.625" customWidth="1"/>
    <col min="5385" max="5385" width="23.125" customWidth="1"/>
    <col min="5387" max="5387" width="18.375" bestFit="1" customWidth="1"/>
    <col min="5633" max="5633" width="2.125" customWidth="1"/>
    <col min="5634" max="5634" width="13.25" customWidth="1"/>
    <col min="5635" max="5635" width="16" customWidth="1"/>
    <col min="5639" max="5639" width="23.125" customWidth="1"/>
    <col min="5640" max="5640" width="25.625" customWidth="1"/>
    <col min="5641" max="5641" width="23.125" customWidth="1"/>
    <col min="5643" max="5643" width="18.375" bestFit="1" customWidth="1"/>
    <col min="5889" max="5889" width="2.125" customWidth="1"/>
    <col min="5890" max="5890" width="13.25" customWidth="1"/>
    <col min="5891" max="5891" width="16" customWidth="1"/>
    <col min="5895" max="5895" width="23.125" customWidth="1"/>
    <col min="5896" max="5896" width="25.625" customWidth="1"/>
    <col min="5897" max="5897" width="23.125" customWidth="1"/>
    <col min="5899" max="5899" width="18.375" bestFit="1" customWidth="1"/>
    <col min="6145" max="6145" width="2.125" customWidth="1"/>
    <col min="6146" max="6146" width="13.25" customWidth="1"/>
    <col min="6147" max="6147" width="16" customWidth="1"/>
    <col min="6151" max="6151" width="23.125" customWidth="1"/>
    <col min="6152" max="6152" width="25.625" customWidth="1"/>
    <col min="6153" max="6153" width="23.125" customWidth="1"/>
    <col min="6155" max="6155" width="18.375" bestFit="1" customWidth="1"/>
    <col min="6401" max="6401" width="2.125" customWidth="1"/>
    <col min="6402" max="6402" width="13.25" customWidth="1"/>
    <col min="6403" max="6403" width="16" customWidth="1"/>
    <col min="6407" max="6407" width="23.125" customWidth="1"/>
    <col min="6408" max="6408" width="25.625" customWidth="1"/>
    <col min="6409" max="6409" width="23.125" customWidth="1"/>
    <col min="6411" max="6411" width="18.375" bestFit="1" customWidth="1"/>
    <col min="6657" max="6657" width="2.125" customWidth="1"/>
    <col min="6658" max="6658" width="13.25" customWidth="1"/>
    <col min="6659" max="6659" width="16" customWidth="1"/>
    <col min="6663" max="6663" width="23.125" customWidth="1"/>
    <col min="6664" max="6664" width="25.625" customWidth="1"/>
    <col min="6665" max="6665" width="23.125" customWidth="1"/>
    <col min="6667" max="6667" width="18.375" bestFit="1" customWidth="1"/>
    <col min="6913" max="6913" width="2.125" customWidth="1"/>
    <col min="6914" max="6914" width="13.25" customWidth="1"/>
    <col min="6915" max="6915" width="16" customWidth="1"/>
    <col min="6919" max="6919" width="23.125" customWidth="1"/>
    <col min="6920" max="6920" width="25.625" customWidth="1"/>
    <col min="6921" max="6921" width="23.125" customWidth="1"/>
    <col min="6923" max="6923" width="18.375" bestFit="1" customWidth="1"/>
    <col min="7169" max="7169" width="2.125" customWidth="1"/>
    <col min="7170" max="7170" width="13.25" customWidth="1"/>
    <col min="7171" max="7171" width="16" customWidth="1"/>
    <col min="7175" max="7175" width="23.125" customWidth="1"/>
    <col min="7176" max="7176" width="25.625" customWidth="1"/>
    <col min="7177" max="7177" width="23.125" customWidth="1"/>
    <col min="7179" max="7179" width="18.375" bestFit="1" customWidth="1"/>
    <col min="7425" max="7425" width="2.125" customWidth="1"/>
    <col min="7426" max="7426" width="13.25" customWidth="1"/>
    <col min="7427" max="7427" width="16" customWidth="1"/>
    <col min="7431" max="7431" width="23.125" customWidth="1"/>
    <col min="7432" max="7432" width="25.625" customWidth="1"/>
    <col min="7433" max="7433" width="23.125" customWidth="1"/>
    <col min="7435" max="7435" width="18.375" bestFit="1" customWidth="1"/>
    <col min="7681" max="7681" width="2.125" customWidth="1"/>
    <col min="7682" max="7682" width="13.25" customWidth="1"/>
    <col min="7683" max="7683" width="16" customWidth="1"/>
    <col min="7687" max="7687" width="23.125" customWidth="1"/>
    <col min="7688" max="7688" width="25.625" customWidth="1"/>
    <col min="7689" max="7689" width="23.125" customWidth="1"/>
    <col min="7691" max="7691" width="18.375" bestFit="1" customWidth="1"/>
    <col min="7937" max="7937" width="2.125" customWidth="1"/>
    <col min="7938" max="7938" width="13.25" customWidth="1"/>
    <col min="7939" max="7939" width="16" customWidth="1"/>
    <col min="7943" max="7943" width="23.125" customWidth="1"/>
    <col min="7944" max="7944" width="25.625" customWidth="1"/>
    <col min="7945" max="7945" width="23.125" customWidth="1"/>
    <col min="7947" max="7947" width="18.375" bestFit="1" customWidth="1"/>
    <col min="8193" max="8193" width="2.125" customWidth="1"/>
    <col min="8194" max="8194" width="13.25" customWidth="1"/>
    <col min="8195" max="8195" width="16" customWidth="1"/>
    <col min="8199" max="8199" width="23.125" customWidth="1"/>
    <col min="8200" max="8200" width="25.625" customWidth="1"/>
    <col min="8201" max="8201" width="23.125" customWidth="1"/>
    <col min="8203" max="8203" width="18.375" bestFit="1" customWidth="1"/>
    <col min="8449" max="8449" width="2.125" customWidth="1"/>
    <col min="8450" max="8450" width="13.25" customWidth="1"/>
    <col min="8451" max="8451" width="16" customWidth="1"/>
    <col min="8455" max="8455" width="23.125" customWidth="1"/>
    <col min="8456" max="8456" width="25.625" customWidth="1"/>
    <col min="8457" max="8457" width="23.125" customWidth="1"/>
    <col min="8459" max="8459" width="18.375" bestFit="1" customWidth="1"/>
    <col min="8705" max="8705" width="2.125" customWidth="1"/>
    <col min="8706" max="8706" width="13.25" customWidth="1"/>
    <col min="8707" max="8707" width="16" customWidth="1"/>
    <col min="8711" max="8711" width="23.125" customWidth="1"/>
    <col min="8712" max="8712" width="25.625" customWidth="1"/>
    <col min="8713" max="8713" width="23.125" customWidth="1"/>
    <col min="8715" max="8715" width="18.375" bestFit="1" customWidth="1"/>
    <col min="8961" max="8961" width="2.125" customWidth="1"/>
    <col min="8962" max="8962" width="13.25" customWidth="1"/>
    <col min="8963" max="8963" width="16" customWidth="1"/>
    <col min="8967" max="8967" width="23.125" customWidth="1"/>
    <col min="8968" max="8968" width="25.625" customWidth="1"/>
    <col min="8969" max="8969" width="23.125" customWidth="1"/>
    <col min="8971" max="8971" width="18.375" bestFit="1" customWidth="1"/>
    <col min="9217" max="9217" width="2.125" customWidth="1"/>
    <col min="9218" max="9218" width="13.25" customWidth="1"/>
    <col min="9219" max="9219" width="16" customWidth="1"/>
    <col min="9223" max="9223" width="23.125" customWidth="1"/>
    <col min="9224" max="9224" width="25.625" customWidth="1"/>
    <col min="9225" max="9225" width="23.125" customWidth="1"/>
    <col min="9227" max="9227" width="18.375" bestFit="1" customWidth="1"/>
    <col min="9473" max="9473" width="2.125" customWidth="1"/>
    <col min="9474" max="9474" width="13.25" customWidth="1"/>
    <col min="9475" max="9475" width="16" customWidth="1"/>
    <col min="9479" max="9479" width="23.125" customWidth="1"/>
    <col min="9480" max="9480" width="25.625" customWidth="1"/>
    <col min="9481" max="9481" width="23.125" customWidth="1"/>
    <col min="9483" max="9483" width="18.375" bestFit="1" customWidth="1"/>
    <col min="9729" max="9729" width="2.125" customWidth="1"/>
    <col min="9730" max="9730" width="13.25" customWidth="1"/>
    <col min="9731" max="9731" width="16" customWidth="1"/>
    <col min="9735" max="9735" width="23.125" customWidth="1"/>
    <col min="9736" max="9736" width="25.625" customWidth="1"/>
    <col min="9737" max="9737" width="23.125" customWidth="1"/>
    <col min="9739" max="9739" width="18.375" bestFit="1" customWidth="1"/>
    <col min="9985" max="9985" width="2.125" customWidth="1"/>
    <col min="9986" max="9986" width="13.25" customWidth="1"/>
    <col min="9987" max="9987" width="16" customWidth="1"/>
    <col min="9991" max="9991" width="23.125" customWidth="1"/>
    <col min="9992" max="9992" width="25.625" customWidth="1"/>
    <col min="9993" max="9993" width="23.125" customWidth="1"/>
    <col min="9995" max="9995" width="18.375" bestFit="1" customWidth="1"/>
    <col min="10241" max="10241" width="2.125" customWidth="1"/>
    <col min="10242" max="10242" width="13.25" customWidth="1"/>
    <col min="10243" max="10243" width="16" customWidth="1"/>
    <col min="10247" max="10247" width="23.125" customWidth="1"/>
    <col min="10248" max="10248" width="25.625" customWidth="1"/>
    <col min="10249" max="10249" width="23.125" customWidth="1"/>
    <col min="10251" max="10251" width="18.375" bestFit="1" customWidth="1"/>
    <col min="10497" max="10497" width="2.125" customWidth="1"/>
    <col min="10498" max="10498" width="13.25" customWidth="1"/>
    <col min="10499" max="10499" width="16" customWidth="1"/>
    <col min="10503" max="10503" width="23.125" customWidth="1"/>
    <col min="10504" max="10504" width="25.625" customWidth="1"/>
    <col min="10505" max="10505" width="23.125" customWidth="1"/>
    <col min="10507" max="10507" width="18.375" bestFit="1" customWidth="1"/>
    <col min="10753" max="10753" width="2.125" customWidth="1"/>
    <col min="10754" max="10754" width="13.25" customWidth="1"/>
    <col min="10755" max="10755" width="16" customWidth="1"/>
    <col min="10759" max="10759" width="23.125" customWidth="1"/>
    <col min="10760" max="10760" width="25.625" customWidth="1"/>
    <col min="10761" max="10761" width="23.125" customWidth="1"/>
    <col min="10763" max="10763" width="18.375" bestFit="1" customWidth="1"/>
    <col min="11009" max="11009" width="2.125" customWidth="1"/>
    <col min="11010" max="11010" width="13.25" customWidth="1"/>
    <col min="11011" max="11011" width="16" customWidth="1"/>
    <col min="11015" max="11015" width="23.125" customWidth="1"/>
    <col min="11016" max="11016" width="25.625" customWidth="1"/>
    <col min="11017" max="11017" width="23.125" customWidth="1"/>
    <col min="11019" max="11019" width="18.375" bestFit="1" customWidth="1"/>
    <col min="11265" max="11265" width="2.125" customWidth="1"/>
    <col min="11266" max="11266" width="13.25" customWidth="1"/>
    <col min="11267" max="11267" width="16" customWidth="1"/>
    <col min="11271" max="11271" width="23.125" customWidth="1"/>
    <col min="11272" max="11272" width="25.625" customWidth="1"/>
    <col min="11273" max="11273" width="23.125" customWidth="1"/>
    <col min="11275" max="11275" width="18.375" bestFit="1" customWidth="1"/>
    <col min="11521" max="11521" width="2.125" customWidth="1"/>
    <col min="11522" max="11522" width="13.25" customWidth="1"/>
    <col min="11523" max="11523" width="16" customWidth="1"/>
    <col min="11527" max="11527" width="23.125" customWidth="1"/>
    <col min="11528" max="11528" width="25.625" customWidth="1"/>
    <col min="11529" max="11529" width="23.125" customWidth="1"/>
    <col min="11531" max="11531" width="18.375" bestFit="1" customWidth="1"/>
    <col min="11777" max="11777" width="2.125" customWidth="1"/>
    <col min="11778" max="11778" width="13.25" customWidth="1"/>
    <col min="11779" max="11779" width="16" customWidth="1"/>
    <col min="11783" max="11783" width="23.125" customWidth="1"/>
    <col min="11784" max="11784" width="25.625" customWidth="1"/>
    <col min="11785" max="11785" width="23.125" customWidth="1"/>
    <col min="11787" max="11787" width="18.375" bestFit="1" customWidth="1"/>
    <col min="12033" max="12033" width="2.125" customWidth="1"/>
    <col min="12034" max="12034" width="13.25" customWidth="1"/>
    <col min="12035" max="12035" width="16" customWidth="1"/>
    <col min="12039" max="12039" width="23.125" customWidth="1"/>
    <col min="12040" max="12040" width="25.625" customWidth="1"/>
    <col min="12041" max="12041" width="23.125" customWidth="1"/>
    <col min="12043" max="12043" width="18.375" bestFit="1" customWidth="1"/>
    <col min="12289" max="12289" width="2.125" customWidth="1"/>
    <col min="12290" max="12290" width="13.25" customWidth="1"/>
    <col min="12291" max="12291" width="16" customWidth="1"/>
    <col min="12295" max="12295" width="23.125" customWidth="1"/>
    <col min="12296" max="12296" width="25.625" customWidth="1"/>
    <col min="12297" max="12297" width="23.125" customWidth="1"/>
    <col min="12299" max="12299" width="18.375" bestFit="1" customWidth="1"/>
    <col min="12545" max="12545" width="2.125" customWidth="1"/>
    <col min="12546" max="12546" width="13.25" customWidth="1"/>
    <col min="12547" max="12547" width="16" customWidth="1"/>
    <col min="12551" max="12551" width="23.125" customWidth="1"/>
    <col min="12552" max="12552" width="25.625" customWidth="1"/>
    <col min="12553" max="12553" width="23.125" customWidth="1"/>
    <col min="12555" max="12555" width="18.375" bestFit="1" customWidth="1"/>
    <col min="12801" max="12801" width="2.125" customWidth="1"/>
    <col min="12802" max="12802" width="13.25" customWidth="1"/>
    <col min="12803" max="12803" width="16" customWidth="1"/>
    <col min="12807" max="12807" width="23.125" customWidth="1"/>
    <col min="12808" max="12808" width="25.625" customWidth="1"/>
    <col min="12809" max="12809" width="23.125" customWidth="1"/>
    <col min="12811" max="12811" width="18.375" bestFit="1" customWidth="1"/>
    <col min="13057" max="13057" width="2.125" customWidth="1"/>
    <col min="13058" max="13058" width="13.25" customWidth="1"/>
    <col min="13059" max="13059" width="16" customWidth="1"/>
    <col min="13063" max="13063" width="23.125" customWidth="1"/>
    <col min="13064" max="13064" width="25.625" customWidth="1"/>
    <col min="13065" max="13065" width="23.125" customWidth="1"/>
    <col min="13067" max="13067" width="18.375" bestFit="1" customWidth="1"/>
    <col min="13313" max="13313" width="2.125" customWidth="1"/>
    <col min="13314" max="13314" width="13.25" customWidth="1"/>
    <col min="13315" max="13315" width="16" customWidth="1"/>
    <col min="13319" max="13319" width="23.125" customWidth="1"/>
    <col min="13320" max="13320" width="25.625" customWidth="1"/>
    <col min="13321" max="13321" width="23.125" customWidth="1"/>
    <col min="13323" max="13323" width="18.375" bestFit="1" customWidth="1"/>
    <col min="13569" max="13569" width="2.125" customWidth="1"/>
    <col min="13570" max="13570" width="13.25" customWidth="1"/>
    <col min="13571" max="13571" width="16" customWidth="1"/>
    <col min="13575" max="13575" width="23.125" customWidth="1"/>
    <col min="13576" max="13576" width="25.625" customWidth="1"/>
    <col min="13577" max="13577" width="23.125" customWidth="1"/>
    <col min="13579" max="13579" width="18.375" bestFit="1" customWidth="1"/>
    <col min="13825" max="13825" width="2.125" customWidth="1"/>
    <col min="13826" max="13826" width="13.25" customWidth="1"/>
    <col min="13827" max="13827" width="16" customWidth="1"/>
    <col min="13831" max="13831" width="23.125" customWidth="1"/>
    <col min="13832" max="13832" width="25.625" customWidth="1"/>
    <col min="13833" max="13833" width="23.125" customWidth="1"/>
    <col min="13835" max="13835" width="18.375" bestFit="1" customWidth="1"/>
    <col min="14081" max="14081" width="2.125" customWidth="1"/>
    <col min="14082" max="14082" width="13.25" customWidth="1"/>
    <col min="14083" max="14083" width="16" customWidth="1"/>
    <col min="14087" max="14087" width="23.125" customWidth="1"/>
    <col min="14088" max="14088" width="25.625" customWidth="1"/>
    <col min="14089" max="14089" width="23.125" customWidth="1"/>
    <col min="14091" max="14091" width="18.375" bestFit="1" customWidth="1"/>
    <col min="14337" max="14337" width="2.125" customWidth="1"/>
    <col min="14338" max="14338" width="13.25" customWidth="1"/>
    <col min="14339" max="14339" width="16" customWidth="1"/>
    <col min="14343" max="14343" width="23.125" customWidth="1"/>
    <col min="14344" max="14344" width="25.625" customWidth="1"/>
    <col min="14345" max="14345" width="23.125" customWidth="1"/>
    <col min="14347" max="14347" width="18.375" bestFit="1" customWidth="1"/>
    <col min="14593" max="14593" width="2.125" customWidth="1"/>
    <col min="14594" max="14594" width="13.25" customWidth="1"/>
    <col min="14595" max="14595" width="16" customWidth="1"/>
    <col min="14599" max="14599" width="23.125" customWidth="1"/>
    <col min="14600" max="14600" width="25.625" customWidth="1"/>
    <col min="14601" max="14601" width="23.125" customWidth="1"/>
    <col min="14603" max="14603" width="18.375" bestFit="1" customWidth="1"/>
    <col min="14849" max="14849" width="2.125" customWidth="1"/>
    <col min="14850" max="14850" width="13.25" customWidth="1"/>
    <col min="14851" max="14851" width="16" customWidth="1"/>
    <col min="14855" max="14855" width="23.125" customWidth="1"/>
    <col min="14856" max="14856" width="25.625" customWidth="1"/>
    <col min="14857" max="14857" width="23.125" customWidth="1"/>
    <col min="14859" max="14859" width="18.375" bestFit="1" customWidth="1"/>
    <col min="15105" max="15105" width="2.125" customWidth="1"/>
    <col min="15106" max="15106" width="13.25" customWidth="1"/>
    <col min="15107" max="15107" width="16" customWidth="1"/>
    <col min="15111" max="15111" width="23.125" customWidth="1"/>
    <col min="15112" max="15112" width="25.625" customWidth="1"/>
    <col min="15113" max="15113" width="23.125" customWidth="1"/>
    <col min="15115" max="15115" width="18.375" bestFit="1" customWidth="1"/>
    <col min="15361" max="15361" width="2.125" customWidth="1"/>
    <col min="15362" max="15362" width="13.25" customWidth="1"/>
    <col min="15363" max="15363" width="16" customWidth="1"/>
    <col min="15367" max="15367" width="23.125" customWidth="1"/>
    <col min="15368" max="15368" width="25.625" customWidth="1"/>
    <col min="15369" max="15369" width="23.125" customWidth="1"/>
    <col min="15371" max="15371" width="18.375" bestFit="1" customWidth="1"/>
    <col min="15617" max="15617" width="2.125" customWidth="1"/>
    <col min="15618" max="15618" width="13.25" customWidth="1"/>
    <col min="15619" max="15619" width="16" customWidth="1"/>
    <col min="15623" max="15623" width="23.125" customWidth="1"/>
    <col min="15624" max="15624" width="25.625" customWidth="1"/>
    <col min="15625" max="15625" width="23.125" customWidth="1"/>
    <col min="15627" max="15627" width="18.375" bestFit="1" customWidth="1"/>
    <col min="15873" max="15873" width="2.125" customWidth="1"/>
    <col min="15874" max="15874" width="13.25" customWidth="1"/>
    <col min="15875" max="15875" width="16" customWidth="1"/>
    <col min="15879" max="15879" width="23.125" customWidth="1"/>
    <col min="15880" max="15880" width="25.625" customWidth="1"/>
    <col min="15881" max="15881" width="23.125" customWidth="1"/>
    <col min="15883" max="15883" width="18.375" bestFit="1" customWidth="1"/>
    <col min="16129" max="16129" width="2.125" customWidth="1"/>
    <col min="16130" max="16130" width="13.25" customWidth="1"/>
    <col min="16131" max="16131" width="16" customWidth="1"/>
    <col min="16135" max="16135" width="23.125" customWidth="1"/>
    <col min="16136" max="16136" width="25.625" customWidth="1"/>
    <col min="16137" max="16137" width="23.125" customWidth="1"/>
    <col min="16139" max="16139" width="18.375" bestFit="1" customWidth="1"/>
  </cols>
  <sheetData>
    <row r="1" spans="2:11" ht="20.45" customHeight="1" thickBot="1"/>
    <row r="2" spans="2:11" ht="20.45" customHeight="1" thickBot="1">
      <c r="B2" s="3215" t="s">
        <v>3061</v>
      </c>
      <c r="C2" s="3217"/>
      <c r="D2" s="3217"/>
      <c r="E2" s="3217"/>
      <c r="F2" s="3217"/>
      <c r="G2" s="3217"/>
      <c r="H2" s="3217"/>
      <c r="I2" s="3216"/>
    </row>
    <row r="3" spans="2:11" ht="20.45" customHeight="1">
      <c r="B3" s="3218" t="s">
        <v>3062</v>
      </c>
      <c r="C3" s="3219"/>
      <c r="D3" s="3220"/>
      <c r="E3" s="3218" t="s">
        <v>3063</v>
      </c>
      <c r="F3" s="3220"/>
      <c r="G3" s="3218" t="s">
        <v>3064</v>
      </c>
      <c r="H3" s="3220"/>
      <c r="I3" s="2954" t="s">
        <v>3065</v>
      </c>
    </row>
    <row r="4" spans="2:11" ht="20.45" customHeight="1" thickBot="1">
      <c r="B4" s="3221"/>
      <c r="C4" s="3222"/>
      <c r="D4" s="3223"/>
      <c r="E4" s="3221" t="s">
        <v>3066</v>
      </c>
      <c r="F4" s="3223"/>
      <c r="G4" s="3221" t="s">
        <v>3067</v>
      </c>
      <c r="H4" s="3223"/>
      <c r="I4" s="2955" t="s">
        <v>3068</v>
      </c>
    </row>
    <row r="5" spans="2:11" ht="20.45" customHeight="1" thickBot="1">
      <c r="B5" s="3225" t="s">
        <v>3069</v>
      </c>
      <c r="C5" s="3213" t="s">
        <v>3070</v>
      </c>
      <c r="D5" s="3214"/>
      <c r="E5" s="3213">
        <v>92</v>
      </c>
      <c r="F5" s="3214"/>
      <c r="G5" s="3228">
        <v>505</v>
      </c>
      <c r="H5" s="3229"/>
      <c r="I5" s="2956">
        <v>0.8</v>
      </c>
      <c r="J5" s="2957"/>
    </row>
    <row r="6" spans="2:11" ht="20.45" customHeight="1" thickBot="1">
      <c r="B6" s="3226"/>
      <c r="C6" s="3213" t="s">
        <v>3071</v>
      </c>
      <c r="D6" s="3214"/>
      <c r="E6" s="3213">
        <v>174</v>
      </c>
      <c r="F6" s="3214"/>
      <c r="G6" s="3228">
        <v>610</v>
      </c>
      <c r="H6" s="3229"/>
      <c r="I6" s="2956">
        <v>0.66</v>
      </c>
    </row>
    <row r="7" spans="2:11" ht="20.45" customHeight="1" thickBot="1">
      <c r="B7" s="3226"/>
      <c r="C7" s="3213" t="s">
        <v>3072</v>
      </c>
      <c r="D7" s="3214"/>
      <c r="E7" s="3213">
        <v>104</v>
      </c>
      <c r="F7" s="3214"/>
      <c r="G7" s="3215">
        <v>681</v>
      </c>
      <c r="H7" s="3216"/>
      <c r="I7" s="2958">
        <v>0.89</v>
      </c>
    </row>
    <row r="8" spans="2:11" ht="20.45" customHeight="1" thickBot="1">
      <c r="B8" s="3226"/>
      <c r="C8" s="3213" t="s">
        <v>3073</v>
      </c>
      <c r="D8" s="3214"/>
      <c r="E8" s="3213">
        <v>64</v>
      </c>
      <c r="F8" s="3214"/>
      <c r="G8" s="3215">
        <v>896</v>
      </c>
      <c r="H8" s="3216"/>
      <c r="I8" s="2958">
        <v>0.55000000000000004</v>
      </c>
    </row>
    <row r="9" spans="2:11" ht="20.45" customHeight="1" thickBot="1">
      <c r="B9" s="3227"/>
      <c r="C9" s="3213" t="s">
        <v>3074</v>
      </c>
      <c r="D9" s="3224"/>
      <c r="E9" s="3224"/>
      <c r="F9" s="3224"/>
      <c r="G9" s="3224"/>
      <c r="H9" s="3224"/>
      <c r="I9" s="3214"/>
    </row>
    <row r="10" spans="2:11" ht="20.45" customHeight="1">
      <c r="B10" s="3218" t="s">
        <v>3062</v>
      </c>
      <c r="C10" s="3220"/>
      <c r="D10" s="3218" t="s">
        <v>3063</v>
      </c>
      <c r="E10" s="3220"/>
      <c r="F10" s="3218" t="s">
        <v>3075</v>
      </c>
      <c r="G10" s="3219"/>
      <c r="H10" s="3220"/>
      <c r="I10" s="2954" t="s">
        <v>3076</v>
      </c>
    </row>
    <row r="11" spans="2:11" ht="20.45" customHeight="1" thickBot="1">
      <c r="B11" s="3221"/>
      <c r="C11" s="3223"/>
      <c r="D11" s="3221" t="s">
        <v>3066</v>
      </c>
      <c r="E11" s="3223"/>
      <c r="F11" s="3221" t="s">
        <v>3067</v>
      </c>
      <c r="G11" s="3222"/>
      <c r="H11" s="3223"/>
      <c r="I11" s="2955" t="s">
        <v>3068</v>
      </c>
    </row>
    <row r="12" spans="2:11" ht="20.45" customHeight="1" thickBot="1">
      <c r="B12" s="2959" t="s">
        <v>3077</v>
      </c>
      <c r="C12" s="2960" t="s">
        <v>3078</v>
      </c>
      <c r="D12" s="3213">
        <v>1</v>
      </c>
      <c r="E12" s="3214"/>
      <c r="F12" s="3228">
        <v>39000</v>
      </c>
      <c r="G12" s="3230"/>
      <c r="H12" s="3229"/>
      <c r="I12" s="2958">
        <v>0.57999999999999996</v>
      </c>
      <c r="K12" s="2961"/>
    </row>
    <row r="13" spans="2:11" ht="31.5" customHeight="1" thickBot="1">
      <c r="B13" s="2962" t="s">
        <v>3079</v>
      </c>
      <c r="C13" s="2963" t="s">
        <v>3077</v>
      </c>
      <c r="D13" s="3215">
        <v>6</v>
      </c>
      <c r="E13" s="3216"/>
      <c r="F13" s="3215">
        <v>12500</v>
      </c>
      <c r="G13" s="3217"/>
      <c r="H13" s="3216"/>
      <c r="I13" s="2958">
        <v>0.72</v>
      </c>
      <c r="K13" s="2961"/>
    </row>
    <row r="14" spans="2:11" ht="20.45" customHeight="1">
      <c r="B14" s="3218" t="s">
        <v>3062</v>
      </c>
      <c r="C14" s="3220"/>
      <c r="D14" s="3218" t="s">
        <v>3080</v>
      </c>
      <c r="E14" s="3220"/>
      <c r="F14" s="3218" t="s">
        <v>3081</v>
      </c>
      <c r="G14" s="3219"/>
      <c r="H14" s="3220"/>
      <c r="I14" s="2954" t="s">
        <v>3082</v>
      </c>
    </row>
    <row r="15" spans="2:11" ht="20.45" customHeight="1" thickBot="1">
      <c r="B15" s="3221"/>
      <c r="C15" s="3223"/>
      <c r="D15" s="3221" t="s">
        <v>3083</v>
      </c>
      <c r="E15" s="3223"/>
      <c r="F15" s="3221" t="s">
        <v>3084</v>
      </c>
      <c r="G15" s="3222"/>
      <c r="H15" s="3223"/>
      <c r="I15" s="2955" t="s">
        <v>3068</v>
      </c>
      <c r="K15" s="2961"/>
    </row>
    <row r="16" spans="2:11" ht="20.45" customHeight="1" thickBot="1">
      <c r="B16" s="3225" t="s">
        <v>3085</v>
      </c>
      <c r="C16" s="2963" t="s">
        <v>3086</v>
      </c>
      <c r="D16" s="3215">
        <v>75</v>
      </c>
      <c r="E16" s="3216"/>
      <c r="F16" s="3215">
        <v>51.9</v>
      </c>
      <c r="G16" s="3217"/>
      <c r="H16" s="3216"/>
      <c r="I16" s="2964">
        <v>0.22900000000000001</v>
      </c>
      <c r="J16">
        <f>F16*(1-I16)</f>
        <v>40.014899999999997</v>
      </c>
      <c r="K16" s="2965"/>
    </row>
    <row r="17" spans="2:11" ht="20.45" customHeight="1" thickBot="1">
      <c r="B17" s="3226"/>
      <c r="C17" s="2963" t="s">
        <v>3087</v>
      </c>
      <c r="D17" s="3215">
        <v>206</v>
      </c>
      <c r="E17" s="3216"/>
      <c r="F17" s="3215">
        <v>997.54</v>
      </c>
      <c r="G17" s="3217"/>
      <c r="H17" s="3216"/>
      <c r="I17" s="2964">
        <v>0.37859999999999999</v>
      </c>
      <c r="J17">
        <f t="shared" ref="J17:J21" si="0">F17*(1-I17)</f>
        <v>619.87135599999988</v>
      </c>
    </row>
    <row r="18" spans="2:11" ht="20.45" customHeight="1" thickBot="1">
      <c r="B18" s="3226"/>
      <c r="C18" s="2963" t="s">
        <v>3088</v>
      </c>
      <c r="D18" s="3215">
        <v>206</v>
      </c>
      <c r="E18" s="3216"/>
      <c r="F18" s="3215">
        <v>1825.18</v>
      </c>
      <c r="G18" s="3217"/>
      <c r="H18" s="3216"/>
      <c r="I18" s="2964">
        <v>0.43440000000000001</v>
      </c>
      <c r="J18">
        <f t="shared" si="0"/>
        <v>1032.3218079999999</v>
      </c>
    </row>
    <row r="19" spans="2:11" ht="20.45" customHeight="1" thickBot="1">
      <c r="B19" s="3226"/>
      <c r="C19" s="2963" t="s">
        <v>3089</v>
      </c>
      <c r="D19" s="3215">
        <v>28</v>
      </c>
      <c r="E19" s="3216"/>
      <c r="F19" s="3215">
        <v>132.26</v>
      </c>
      <c r="G19" s="3217"/>
      <c r="H19" s="3216"/>
      <c r="I19" s="2964">
        <v>0.26829999999999998</v>
      </c>
      <c r="J19">
        <f t="shared" si="0"/>
        <v>96.774642</v>
      </c>
    </row>
    <row r="20" spans="2:11" ht="20.45" customHeight="1" thickBot="1">
      <c r="B20" s="2966"/>
      <c r="C20" s="2963" t="s">
        <v>3090</v>
      </c>
      <c r="D20" s="3215">
        <v>18</v>
      </c>
      <c r="E20" s="3216"/>
      <c r="F20" s="3215">
        <v>27.39</v>
      </c>
      <c r="G20" s="3217"/>
      <c r="H20" s="3216"/>
      <c r="I20" s="2964">
        <v>0.22919999999999999</v>
      </c>
      <c r="J20">
        <f t="shared" si="0"/>
        <v>21.112212000000003</v>
      </c>
    </row>
    <row r="21" spans="2:11" ht="20.45" customHeight="1" thickBot="1">
      <c r="B21" s="2967"/>
      <c r="C21" s="2960" t="s">
        <v>3091</v>
      </c>
      <c r="D21" s="3215"/>
      <c r="E21" s="3216"/>
      <c r="F21" s="3215">
        <v>1092.3900000000001</v>
      </c>
      <c r="G21" s="3217"/>
      <c r="H21" s="3216"/>
      <c r="I21" s="2964">
        <v>0.41520000000000001</v>
      </c>
      <c r="J21">
        <f t="shared" si="0"/>
        <v>638.82967200000007</v>
      </c>
    </row>
    <row r="22" spans="2:11" ht="20.45" customHeight="1">
      <c r="B22" s="3231" t="s">
        <v>3062</v>
      </c>
      <c r="C22" s="3232"/>
      <c r="D22" s="3218" t="s">
        <v>3092</v>
      </c>
      <c r="E22" s="3220"/>
      <c r="F22" s="3218" t="s">
        <v>3093</v>
      </c>
      <c r="G22" s="3220"/>
      <c r="H22" s="3235" t="s">
        <v>3094</v>
      </c>
      <c r="I22" s="2954" t="s">
        <v>3095</v>
      </c>
      <c r="J22">
        <f>SUM(J16:J21)</f>
        <v>2448.9245900000001</v>
      </c>
    </row>
    <row r="23" spans="2:11" ht="20.45" customHeight="1" thickBot="1">
      <c r="B23" s="3233"/>
      <c r="C23" s="3234"/>
      <c r="D23" s="3221" t="s">
        <v>3096</v>
      </c>
      <c r="E23" s="3223"/>
      <c r="F23" s="3221"/>
      <c r="G23" s="3223"/>
      <c r="H23" s="3236"/>
      <c r="I23" s="2955" t="s">
        <v>3097</v>
      </c>
    </row>
    <row r="24" spans="2:11" ht="20.45" customHeight="1" thickBot="1">
      <c r="B24" s="3239" t="s">
        <v>3098</v>
      </c>
      <c r="C24" s="2960" t="s">
        <v>3099</v>
      </c>
      <c r="D24" s="3215">
        <v>1500</v>
      </c>
      <c r="E24" s="3216"/>
      <c r="F24" s="3215" t="s">
        <v>3100</v>
      </c>
      <c r="G24" s="3216"/>
      <c r="H24" s="2955"/>
      <c r="I24" s="2955">
        <v>0.56000000000000005</v>
      </c>
      <c r="J24">
        <f>I24*365*D24</f>
        <v>306600</v>
      </c>
    </row>
    <row r="25" spans="2:11" ht="20.45" customHeight="1" thickBot="1">
      <c r="B25" s="3240"/>
      <c r="C25" s="2963" t="s">
        <v>3101</v>
      </c>
      <c r="D25" s="3215">
        <v>153.69999999999999</v>
      </c>
      <c r="E25" s="3216"/>
      <c r="F25" s="3215" t="s">
        <v>3102</v>
      </c>
      <c r="G25" s="3216"/>
      <c r="H25" s="2958">
        <v>0.1</v>
      </c>
      <c r="I25" s="2955">
        <v>20.79</v>
      </c>
      <c r="J25">
        <f>I25*(1+H25)^8*365*D25</f>
        <v>2500130.6398960706</v>
      </c>
    </row>
    <row r="26" spans="2:11" ht="20.45" customHeight="1" thickBot="1">
      <c r="B26" s="3240"/>
      <c r="C26" s="2963" t="s">
        <v>3103</v>
      </c>
      <c r="D26" s="3215">
        <v>1290.7</v>
      </c>
      <c r="E26" s="3216"/>
      <c r="F26" s="3215" t="s">
        <v>3104</v>
      </c>
      <c r="G26" s="3216"/>
      <c r="H26" s="2955" t="s">
        <v>3105</v>
      </c>
      <c r="I26" s="2955">
        <v>2.5499999999999998</v>
      </c>
      <c r="J26">
        <f t="shared" ref="J26:J29" si="1">I26*365*D26</f>
        <v>1201319.0249999999</v>
      </c>
    </row>
    <row r="27" spans="2:11" ht="20.45" customHeight="1" thickBot="1">
      <c r="B27" s="3240"/>
      <c r="C27" s="2963" t="s">
        <v>3106</v>
      </c>
      <c r="D27" s="3215">
        <v>682</v>
      </c>
      <c r="E27" s="3216"/>
      <c r="F27" s="3215" t="s">
        <v>3107</v>
      </c>
      <c r="G27" s="3216"/>
      <c r="H27" s="2955" t="s">
        <v>3108</v>
      </c>
      <c r="I27" s="2955">
        <v>4.0199999999999996</v>
      </c>
      <c r="J27">
        <v>1000000</v>
      </c>
    </row>
    <row r="28" spans="2:11" ht="20.45" customHeight="1" thickBot="1">
      <c r="B28" s="3240"/>
      <c r="C28" s="2963" t="s">
        <v>3109</v>
      </c>
      <c r="D28" s="3215">
        <v>675</v>
      </c>
      <c r="E28" s="3216"/>
      <c r="F28" s="3215" t="s">
        <v>3110</v>
      </c>
      <c r="G28" s="3216"/>
      <c r="H28" s="2955" t="s">
        <v>3105</v>
      </c>
      <c r="I28" s="2955">
        <v>6.49</v>
      </c>
      <c r="J28">
        <f t="shared" si="1"/>
        <v>1598973.75</v>
      </c>
    </row>
    <row r="29" spans="2:11" ht="20.45" customHeight="1" thickBot="1">
      <c r="B29" s="3240"/>
      <c r="C29" s="2963" t="s">
        <v>3111</v>
      </c>
      <c r="D29" s="3215">
        <v>309.2</v>
      </c>
      <c r="E29" s="3216"/>
      <c r="F29" s="3215" t="s">
        <v>3112</v>
      </c>
      <c r="G29" s="3216"/>
      <c r="H29" s="2955" t="s">
        <v>3105</v>
      </c>
      <c r="I29" s="2955">
        <v>4.43</v>
      </c>
      <c r="J29">
        <f t="shared" si="1"/>
        <v>499960.93999999994</v>
      </c>
    </row>
    <row r="30" spans="2:11" ht="20.45" customHeight="1" thickBot="1">
      <c r="B30" s="3240"/>
      <c r="C30" s="2963"/>
      <c r="D30" s="3215">
        <f>SUM(D24:D29)</f>
        <v>4610.5999999999995</v>
      </c>
      <c r="E30" s="3216"/>
      <c r="F30" s="2968"/>
      <c r="G30" s="2969"/>
      <c r="H30" s="2955"/>
      <c r="I30" s="2955"/>
      <c r="J30">
        <f>SUM(J24:J29)</f>
        <v>7106984.3548960704</v>
      </c>
      <c r="K30">
        <f>ROUND(J30/365/D30,2)</f>
        <v>4.22</v>
      </c>
    </row>
    <row r="31" spans="2:11" ht="20.45" customHeight="1" thickBot="1">
      <c r="B31" s="3241"/>
      <c r="C31" s="2963"/>
      <c r="D31" s="3215"/>
      <c r="E31" s="3216"/>
      <c r="F31" s="3215"/>
      <c r="G31" s="3216"/>
      <c r="H31" s="2955"/>
      <c r="I31" s="2955"/>
    </row>
    <row r="32" spans="2:11" ht="20.45" customHeight="1">
      <c r="B32" s="3242" t="s">
        <v>3062</v>
      </c>
      <c r="C32" s="3243"/>
      <c r="D32" s="3218" t="s">
        <v>3113</v>
      </c>
      <c r="E32" s="3220"/>
      <c r="F32" s="3218" t="s">
        <v>3114</v>
      </c>
      <c r="G32" s="3219"/>
      <c r="H32" s="3220"/>
      <c r="I32" s="2954" t="s">
        <v>3115</v>
      </c>
    </row>
    <row r="33" spans="2:9" ht="15" thickBot="1">
      <c r="B33" s="3233"/>
      <c r="C33" s="3234"/>
      <c r="D33" s="3221" t="s">
        <v>3116</v>
      </c>
      <c r="E33" s="3223"/>
      <c r="F33" s="3221" t="s">
        <v>3117</v>
      </c>
      <c r="G33" s="3222"/>
      <c r="H33" s="3223"/>
      <c r="I33" s="2955" t="s">
        <v>3118</v>
      </c>
    </row>
    <row r="34" spans="2:9" ht="15" thickBot="1">
      <c r="B34" s="3237" t="s">
        <v>48</v>
      </c>
      <c r="C34" s="3238"/>
      <c r="D34" s="3215">
        <v>150</v>
      </c>
      <c r="E34" s="3216"/>
      <c r="F34" s="3215"/>
      <c r="G34" s="3217"/>
      <c r="H34" s="3216"/>
      <c r="I34" s="2955"/>
    </row>
    <row r="35" spans="2:9" ht="14.25">
      <c r="B35" s="2970"/>
      <c r="C35" s="2970"/>
      <c r="D35" s="2970"/>
      <c r="E35" s="2970"/>
      <c r="F35" s="2970"/>
      <c r="G35" s="2970"/>
      <c r="H35" s="2970"/>
      <c r="I35" s="2970"/>
    </row>
    <row r="36" spans="2:9" ht="57">
      <c r="B36" s="2971" t="s">
        <v>3119</v>
      </c>
    </row>
    <row r="37" spans="2:9" ht="57">
      <c r="B37" s="2971" t="s">
        <v>3120</v>
      </c>
    </row>
    <row r="38" spans="2:9" ht="14.25">
      <c r="B38" s="2972"/>
    </row>
  </sheetData>
  <mergeCells count="76">
    <mergeCell ref="B32:C33"/>
    <mergeCell ref="D32:E32"/>
    <mergeCell ref="F32:H32"/>
    <mergeCell ref="D33:E33"/>
    <mergeCell ref="F33:H33"/>
    <mergeCell ref="B34:C34"/>
    <mergeCell ref="D34:E34"/>
    <mergeCell ref="F34:H34"/>
    <mergeCell ref="F28:G28"/>
    <mergeCell ref="D29:E29"/>
    <mergeCell ref="F29:G29"/>
    <mergeCell ref="D30:E30"/>
    <mergeCell ref="D31:E31"/>
    <mergeCell ref="F31:G31"/>
    <mergeCell ref="B24:B31"/>
    <mergeCell ref="D24:E24"/>
    <mergeCell ref="F24:G24"/>
    <mergeCell ref="D25:E25"/>
    <mergeCell ref="F25:G25"/>
    <mergeCell ref="D26:E26"/>
    <mergeCell ref="F26:G26"/>
    <mergeCell ref="D27:E27"/>
    <mergeCell ref="F27:G27"/>
    <mergeCell ref="D28:E28"/>
    <mergeCell ref="D20:E20"/>
    <mergeCell ref="F20:H20"/>
    <mergeCell ref="D21:E21"/>
    <mergeCell ref="F21:H21"/>
    <mergeCell ref="B22:C23"/>
    <mergeCell ref="D22:E22"/>
    <mergeCell ref="F22:G23"/>
    <mergeCell ref="H22:H23"/>
    <mergeCell ref="D23:E23"/>
    <mergeCell ref="B16:B19"/>
    <mergeCell ref="D16:E16"/>
    <mergeCell ref="F16:H16"/>
    <mergeCell ref="D17:E17"/>
    <mergeCell ref="F17:H17"/>
    <mergeCell ref="D18:E18"/>
    <mergeCell ref="F18:H18"/>
    <mergeCell ref="D19:E19"/>
    <mergeCell ref="F19:H19"/>
    <mergeCell ref="D12:E12"/>
    <mergeCell ref="F12:H12"/>
    <mergeCell ref="D13:E13"/>
    <mergeCell ref="F13:H13"/>
    <mergeCell ref="B14:C15"/>
    <mergeCell ref="D14:E14"/>
    <mergeCell ref="F14:H14"/>
    <mergeCell ref="D15:E15"/>
    <mergeCell ref="F15:H15"/>
    <mergeCell ref="C8:D8"/>
    <mergeCell ref="E8:F8"/>
    <mergeCell ref="G8:H8"/>
    <mergeCell ref="C9:I9"/>
    <mergeCell ref="B10:C11"/>
    <mergeCell ref="D10:E10"/>
    <mergeCell ref="F10:H10"/>
    <mergeCell ref="D11:E11"/>
    <mergeCell ref="F11:H11"/>
    <mergeCell ref="B5:B9"/>
    <mergeCell ref="C5:D5"/>
    <mergeCell ref="E5:F5"/>
    <mergeCell ref="G5:H5"/>
    <mergeCell ref="C6:D6"/>
    <mergeCell ref="E6:F6"/>
    <mergeCell ref="G6:H6"/>
    <mergeCell ref="C7:D7"/>
    <mergeCell ref="E7:F7"/>
    <mergeCell ref="G7:H7"/>
    <mergeCell ref="B2:I2"/>
    <mergeCell ref="B3:D4"/>
    <mergeCell ref="E3:F3"/>
    <mergeCell ref="G3:H3"/>
    <mergeCell ref="E4:F4"/>
    <mergeCell ref="G4:H4"/>
  </mergeCells>
  <phoneticPr fontId="143" type="noConversion"/>
  <dataValidations count="2">
    <dataValidation type="textLength" errorStyle="information" allowBlank="1" showInputMessage="1" showErrorMessage="1" error="XLBVal:6=118874.11_x000d__x000a_" sqref="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formula1>0</formula1>
      <formula2>300</formula2>
    </dataValidation>
    <dataValidation type="textLength" errorStyle="information" allowBlank="1" showInputMessage="1" showErrorMessage="1" error="XLBVal:6=-96809128.82_x000d__x000a_" 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ormula1>0</formula1>
      <formula2>300</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2511</v>
      </c>
      <c r="C1" s="1633" t="s">
        <v>2512</v>
      </c>
      <c r="D1" s="1620"/>
      <c r="E1" s="2583"/>
      <c r="F1" s="2584" t="s">
        <v>2513</v>
      </c>
      <c r="G1" s="1630" t="s">
        <v>2514</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1380</v>
      </c>
      <c r="B2" s="1417" t="e">
        <f ca="1">IF(C2="——",ROUND(C49*D3/10000,0),ROUND(C49*D3/10000,0)-D2)</f>
        <v>#DIV/0!</v>
      </c>
      <c r="C2" s="2586"/>
      <c r="D2" s="1364" t="e">
        <f ca="1">SUMIF(INDIRECT("'"&amp;F2&amp;"'"&amp;"!A:A"),"承租人权益价值",INDIRECT("'"&amp;F2&amp;"'"&amp;"!c:c"))</f>
        <v>#REF!</v>
      </c>
      <c r="E2" s="2587" t="s">
        <v>2515</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1381</v>
      </c>
      <c r="B3" s="399" t="e">
        <f ca="1">IF(C2="——",C49,ROUND(B2*10000/D3,0))</f>
        <v>#DIV/0!</v>
      </c>
      <c r="C3" s="400" t="s">
        <v>2516</v>
      </c>
      <c r="D3" s="399">
        <f>IF(D1="",'数据-汇总表'!E3,SUMIF('数据-汇总表'!$C19:$C33,D1,'数据-汇总表'!$E19:$E33))</f>
        <v>55990.490000000005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2517</v>
      </c>
      <c r="B4" s="402"/>
      <c r="C4" s="3262" t="s">
        <v>2518</v>
      </c>
      <c r="D4" s="3263"/>
      <c r="E4" s="3264" t="s">
        <v>2519</v>
      </c>
      <c r="F4" s="3265"/>
      <c r="G4" s="3262" t="s">
        <v>2520</v>
      </c>
      <c r="H4" s="3263"/>
      <c r="I4" s="3262" t="s">
        <v>2521</v>
      </c>
      <c r="J4" s="3263"/>
      <c r="K4" s="2596" t="s">
        <v>2522</v>
      </c>
      <c r="L4" s="1130"/>
      <c r="M4" s="1131"/>
      <c r="N4" s="1131"/>
      <c r="O4" s="1131"/>
      <c r="P4" s="3266" t="s">
        <v>2523</v>
      </c>
      <c r="Q4" s="3267"/>
      <c r="R4" s="3272" t="s">
        <v>2519</v>
      </c>
      <c r="S4" s="3273"/>
      <c r="T4" s="3272" t="s">
        <v>2520</v>
      </c>
      <c r="U4" s="3273"/>
      <c r="V4" s="3278" t="s">
        <v>2521</v>
      </c>
      <c r="W4" s="3278"/>
      <c r="X4" s="1812"/>
      <c r="Y4" s="3272" t="s">
        <v>2523</v>
      </c>
      <c r="Z4" s="3273"/>
      <c r="AA4" s="3259" t="s">
        <v>2519</v>
      </c>
      <c r="AB4" s="3259" t="s">
        <v>2520</v>
      </c>
      <c r="AC4" s="3259" t="s">
        <v>2521</v>
      </c>
    </row>
    <row r="5" spans="1:29" ht="15">
      <c r="A5" s="404"/>
      <c r="B5" s="405"/>
      <c r="C5" s="3281" t="s">
        <v>2524</v>
      </c>
      <c r="D5" s="3282"/>
      <c r="E5" s="3288" t="s">
        <v>2525</v>
      </c>
      <c r="F5" s="3289"/>
      <c r="G5" s="3281" t="s">
        <v>2526</v>
      </c>
      <c r="H5" s="3282"/>
      <c r="I5" s="3281" t="s">
        <v>2527</v>
      </c>
      <c r="J5" s="3282"/>
      <c r="K5" s="2597"/>
      <c r="L5" s="1130"/>
      <c r="M5" s="1131"/>
      <c r="N5" s="1131"/>
      <c r="O5" s="1131"/>
      <c r="P5" s="3268"/>
      <c r="Q5" s="3269"/>
      <c r="R5" s="3274"/>
      <c r="S5" s="3275"/>
      <c r="T5" s="3274"/>
      <c r="U5" s="3275"/>
      <c r="V5" s="3278"/>
      <c r="W5" s="3278"/>
      <c r="X5" s="1812"/>
      <c r="Y5" s="3274"/>
      <c r="Z5" s="3275"/>
      <c r="AA5" s="3260"/>
      <c r="AB5" s="3260"/>
      <c r="AC5" s="3260"/>
    </row>
    <row r="6" spans="1:29" ht="15.75" thickBot="1">
      <c r="A6" s="406"/>
      <c r="B6" s="407"/>
      <c r="C6" s="3279" t="s">
        <v>2528</v>
      </c>
      <c r="D6" s="3280"/>
      <c r="E6" s="3286" t="s">
        <v>2528</v>
      </c>
      <c r="F6" s="3287"/>
      <c r="G6" s="3279" t="s">
        <v>2528</v>
      </c>
      <c r="H6" s="3280"/>
      <c r="I6" s="3279" t="s">
        <v>2528</v>
      </c>
      <c r="J6" s="3280"/>
      <c r="K6" s="2597" t="s">
        <v>2529</v>
      </c>
      <c r="L6" s="1130"/>
      <c r="M6" s="1131"/>
      <c r="N6" s="1131"/>
      <c r="O6" s="1131"/>
      <c r="P6" s="3270"/>
      <c r="Q6" s="3271"/>
      <c r="R6" s="3274"/>
      <c r="S6" s="3275"/>
      <c r="T6" s="3276"/>
      <c r="U6" s="3277"/>
      <c r="V6" s="3278"/>
      <c r="W6" s="3278"/>
      <c r="X6" s="1812"/>
      <c r="Y6" s="3276"/>
      <c r="Z6" s="3277"/>
      <c r="AA6" s="3261"/>
      <c r="AB6" s="3261"/>
      <c r="AC6" s="3261"/>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83" t="s">
        <v>2531</v>
      </c>
      <c r="Q7" s="3285"/>
      <c r="R7" s="770" t="s">
        <v>23</v>
      </c>
      <c r="S7" s="771">
        <f t="shared" ref="S7:S15" si="0">F7</f>
        <v>0</v>
      </c>
      <c r="T7" s="770" t="s">
        <v>23</v>
      </c>
      <c r="U7" s="771">
        <f t="shared" ref="U7:U15" si="1">H7</f>
        <v>0</v>
      </c>
      <c r="V7" s="770" t="s">
        <v>23</v>
      </c>
      <c r="W7" s="771">
        <f t="shared" ref="W7:W15" si="2">J7</f>
        <v>0</v>
      </c>
      <c r="X7" s="772"/>
      <c r="Y7" s="3283" t="s">
        <v>2531</v>
      </c>
      <c r="Z7" s="3284"/>
      <c r="AA7" s="773" t="e">
        <f>D7/F7</f>
        <v>#DIV/0!</v>
      </c>
      <c r="AB7" s="773" t="e">
        <f>D7/H7</f>
        <v>#DIV/0!</v>
      </c>
      <c r="AC7" s="773"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83" t="s">
        <v>2534</v>
      </c>
      <c r="Q8" s="3284"/>
      <c r="R8" s="770" t="s">
        <v>23</v>
      </c>
      <c r="S8" s="771">
        <f t="shared" si="0"/>
        <v>0</v>
      </c>
      <c r="T8" s="770" t="s">
        <v>23</v>
      </c>
      <c r="U8" s="771">
        <f t="shared" si="1"/>
        <v>0</v>
      </c>
      <c r="V8" s="770" t="s">
        <v>23</v>
      </c>
      <c r="W8" s="771">
        <f t="shared" si="2"/>
        <v>0</v>
      </c>
      <c r="X8" s="772"/>
      <c r="Y8" s="3283" t="s">
        <v>2534</v>
      </c>
      <c r="Z8" s="3284"/>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58"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8"/>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8"/>
      <c r="Q11" s="1794"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58"/>
      <c r="Q12" s="1794">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58"/>
      <c r="Q13" s="1794">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58"/>
      <c r="Q14" s="1794">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2541</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6" t="s">
        <v>2542</v>
      </c>
      <c r="Q15" s="1809" t="str">
        <f t="shared" si="6"/>
        <v>居住社区成熟度</v>
      </c>
      <c r="R15" s="774" t="s">
        <v>21</v>
      </c>
      <c r="S15" s="775">
        <f t="shared" si="0"/>
        <v>100</v>
      </c>
      <c r="T15" s="774" t="s">
        <v>21</v>
      </c>
      <c r="U15" s="775">
        <f t="shared" si="1"/>
        <v>100</v>
      </c>
      <c r="V15" s="774" t="s">
        <v>21</v>
      </c>
      <c r="W15" s="775">
        <f t="shared" si="2"/>
        <v>100</v>
      </c>
      <c r="X15" s="1812"/>
      <c r="Y15" s="3249" t="s">
        <v>2542</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7"/>
      <c r="Q16" s="1809"/>
      <c r="R16" s="774"/>
      <c r="S16" s="775"/>
      <c r="T16" s="774"/>
      <c r="U16" s="775"/>
      <c r="V16" s="774"/>
      <c r="W16" s="775"/>
      <c r="X16" s="1812"/>
      <c r="Y16" s="3250"/>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7"/>
      <c r="Q17" s="1809" t="str">
        <f>B17</f>
        <v>交通便捷度</v>
      </c>
      <c r="R17" s="774" t="s">
        <v>21</v>
      </c>
      <c r="S17" s="775">
        <f>F17</f>
        <v>100</v>
      </c>
      <c r="T17" s="774" t="s">
        <v>21</v>
      </c>
      <c r="U17" s="775">
        <f>H17</f>
        <v>100</v>
      </c>
      <c r="V17" s="774" t="s">
        <v>21</v>
      </c>
      <c r="W17" s="775">
        <f>J17</f>
        <v>100</v>
      </c>
      <c r="X17" s="1812"/>
      <c r="Y17" s="3250"/>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7"/>
      <c r="Q18" s="1809"/>
      <c r="R18" s="774"/>
      <c r="S18" s="775"/>
      <c r="T18" s="774"/>
      <c r="U18" s="775"/>
      <c r="V18" s="774"/>
      <c r="W18" s="775"/>
      <c r="X18" s="1812"/>
      <c r="Y18" s="3250"/>
      <c r="Z18" s="1813"/>
      <c r="AA18" s="1810">
        <v>1</v>
      </c>
      <c r="AB18" s="1810">
        <v>1</v>
      </c>
      <c r="AC18" s="1810">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7"/>
      <c r="Q19" s="1809" t="str">
        <f>B19</f>
        <v>公共配套设施</v>
      </c>
      <c r="R19" s="774" t="s">
        <v>21</v>
      </c>
      <c r="S19" s="775">
        <f>F19</f>
        <v>100</v>
      </c>
      <c r="T19" s="774" t="s">
        <v>21</v>
      </c>
      <c r="U19" s="775">
        <f>H19</f>
        <v>100</v>
      </c>
      <c r="V19" s="774" t="s">
        <v>21</v>
      </c>
      <c r="W19" s="775">
        <f>J19</f>
        <v>100</v>
      </c>
      <c r="X19" s="1812"/>
      <c r="Y19" s="3250"/>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7"/>
      <c r="Q20" s="1809"/>
      <c r="R20" s="774"/>
      <c r="S20" s="775"/>
      <c r="T20" s="774"/>
      <c r="U20" s="775"/>
      <c r="V20" s="774"/>
      <c r="W20" s="775"/>
      <c r="X20" s="1812"/>
      <c r="Y20" s="3250"/>
      <c r="Z20" s="1813"/>
      <c r="AA20" s="1810">
        <v>1</v>
      </c>
      <c r="AB20" s="1810">
        <v>1</v>
      </c>
      <c r="AC20" s="1810">
        <v>1</v>
      </c>
    </row>
    <row r="21" spans="1:29" ht="28.5">
      <c r="A21" s="428"/>
      <c r="B21" s="1383"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7"/>
      <c r="Q21" s="1809" t="str">
        <f>B21</f>
        <v>基础设施水平</v>
      </c>
      <c r="R21" s="774" t="s">
        <v>17</v>
      </c>
      <c r="S21" s="775">
        <f>F21</f>
        <v>100</v>
      </c>
      <c r="T21" s="774" t="s">
        <v>17</v>
      </c>
      <c r="U21" s="775">
        <f>H21</f>
        <v>100</v>
      </c>
      <c r="V21" s="774" t="s">
        <v>17</v>
      </c>
      <c r="W21" s="775">
        <f>J21</f>
        <v>100</v>
      </c>
      <c r="X21" s="1812"/>
      <c r="Y21" s="3250"/>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257"/>
      <c r="Q22" s="1809"/>
      <c r="R22" s="774"/>
      <c r="S22" s="775"/>
      <c r="T22" s="774"/>
      <c r="U22" s="775"/>
      <c r="V22" s="774"/>
      <c r="W22" s="775"/>
      <c r="X22" s="1812"/>
      <c r="Y22" s="3250"/>
      <c r="Z22" s="1813"/>
      <c r="AA22" s="1810">
        <v>1</v>
      </c>
      <c r="AB22" s="1810">
        <v>1</v>
      </c>
      <c r="AC22" s="1810">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7"/>
      <c r="Q23" s="1809" t="str">
        <f>B23</f>
        <v>自然及人文环境</v>
      </c>
      <c r="R23" s="774" t="s">
        <v>21</v>
      </c>
      <c r="S23" s="775">
        <f>F23</f>
        <v>100</v>
      </c>
      <c r="T23" s="774" t="s">
        <v>21</v>
      </c>
      <c r="U23" s="775">
        <f>H23</f>
        <v>100</v>
      </c>
      <c r="V23" s="774" t="s">
        <v>21</v>
      </c>
      <c r="W23" s="775">
        <f>J23</f>
        <v>100</v>
      </c>
      <c r="X23" s="1812"/>
      <c r="Y23" s="3250"/>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7"/>
      <c r="Q24" s="1809"/>
      <c r="R24" s="774"/>
      <c r="S24" s="775"/>
      <c r="T24" s="774"/>
      <c r="U24" s="775"/>
      <c r="V24" s="774"/>
      <c r="W24" s="775"/>
      <c r="X24" s="1812"/>
      <c r="Y24" s="3250"/>
      <c r="Z24" s="1813"/>
      <c r="AA24" s="1810">
        <v>1</v>
      </c>
      <c r="AB24" s="1810">
        <v>1</v>
      </c>
      <c r="AC24" s="1810">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0"/>
      <c r="Z25" s="1813" t="str">
        <f>Q25</f>
        <v>楼层-1</v>
      </c>
      <c r="AA25" s="1810">
        <f t="shared" ref="AA25:AA46" si="15">D25/F25</f>
        <v>1</v>
      </c>
      <c r="AB25" s="1810">
        <f t="shared" ref="AB25:AB46" si="16">D25/H25</f>
        <v>1</v>
      </c>
      <c r="AC25" s="1810">
        <f t="shared" ref="AC25:AC46" si="17">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7"/>
      <c r="Q26" s="1809" t="str">
        <f t="shared" si="11"/>
        <v>朝向</v>
      </c>
      <c r="R26" s="774" t="s">
        <v>21</v>
      </c>
      <c r="S26" s="775">
        <f t="shared" si="12"/>
        <v>100</v>
      </c>
      <c r="T26" s="774" t="s">
        <v>21</v>
      </c>
      <c r="U26" s="775">
        <f t="shared" si="13"/>
        <v>100</v>
      </c>
      <c r="V26" s="774" t="s">
        <v>21</v>
      </c>
      <c r="W26" s="775">
        <f t="shared" si="14"/>
        <v>100</v>
      </c>
      <c r="X26" s="1812"/>
      <c r="Y26" s="325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7"/>
      <c r="Q27" s="1794">
        <f t="shared" si="11"/>
        <v>111</v>
      </c>
      <c r="R27" s="770" t="s">
        <v>21</v>
      </c>
      <c r="S27" s="771">
        <f t="shared" si="12"/>
        <v>100</v>
      </c>
      <c r="T27" s="770" t="s">
        <v>21</v>
      </c>
      <c r="U27" s="771">
        <f t="shared" si="13"/>
        <v>100</v>
      </c>
      <c r="V27" s="770" t="s">
        <v>21</v>
      </c>
      <c r="W27" s="771">
        <f t="shared" si="14"/>
        <v>100</v>
      </c>
      <c r="X27" s="772"/>
      <c r="Y27" s="325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7"/>
      <c r="Q28" s="1809">
        <f t="shared" si="11"/>
        <v>111</v>
      </c>
      <c r="R28" s="774" t="s">
        <v>21</v>
      </c>
      <c r="S28" s="775">
        <f t="shared" si="12"/>
        <v>100</v>
      </c>
      <c r="T28" s="774" t="s">
        <v>21</v>
      </c>
      <c r="U28" s="775">
        <f t="shared" si="13"/>
        <v>100</v>
      </c>
      <c r="V28" s="774" t="s">
        <v>21</v>
      </c>
      <c r="W28" s="775">
        <f t="shared" si="14"/>
        <v>100</v>
      </c>
      <c r="X28" s="1812"/>
      <c r="Y28" s="325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7"/>
      <c r="Q29" s="1809">
        <f t="shared" si="11"/>
        <v>111</v>
      </c>
      <c r="R29" s="774" t="s">
        <v>21</v>
      </c>
      <c r="S29" s="775">
        <f t="shared" si="12"/>
        <v>100</v>
      </c>
      <c r="T29" s="774" t="s">
        <v>21</v>
      </c>
      <c r="U29" s="775">
        <f t="shared" si="13"/>
        <v>100</v>
      </c>
      <c r="V29" s="774" t="s">
        <v>21</v>
      </c>
      <c r="W29" s="775">
        <f t="shared" si="14"/>
        <v>100</v>
      </c>
      <c r="X29" s="1812"/>
      <c r="Y29" s="325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7"/>
      <c r="Q30" s="1809">
        <f t="shared" si="11"/>
        <v>111</v>
      </c>
      <c r="R30" s="774" t="s">
        <v>21</v>
      </c>
      <c r="S30" s="775">
        <f t="shared" si="12"/>
        <v>100</v>
      </c>
      <c r="T30" s="774" t="s">
        <v>21</v>
      </c>
      <c r="U30" s="775">
        <f t="shared" si="13"/>
        <v>100</v>
      </c>
      <c r="V30" s="774" t="s">
        <v>21</v>
      </c>
      <c r="W30" s="775">
        <f t="shared" si="14"/>
        <v>100</v>
      </c>
      <c r="X30" s="1812"/>
      <c r="Y30" s="325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7"/>
      <c r="Q31" s="1809">
        <f t="shared" si="11"/>
        <v>111</v>
      </c>
      <c r="R31" s="774" t="s">
        <v>21</v>
      </c>
      <c r="S31" s="775">
        <f t="shared" si="12"/>
        <v>100</v>
      </c>
      <c r="T31" s="774" t="s">
        <v>21</v>
      </c>
      <c r="U31" s="775">
        <f t="shared" si="13"/>
        <v>100</v>
      </c>
      <c r="V31" s="774" t="s">
        <v>21</v>
      </c>
      <c r="W31" s="775">
        <f t="shared" si="14"/>
        <v>100</v>
      </c>
      <c r="X31" s="1812"/>
      <c r="Y31" s="3250"/>
      <c r="Z31" s="1813">
        <f t="shared" si="18"/>
        <v>111</v>
      </c>
      <c r="AA31" s="1810">
        <f t="shared" si="15"/>
        <v>1</v>
      </c>
      <c r="AB31" s="1810">
        <f t="shared" si="16"/>
        <v>1</v>
      </c>
      <c r="AC31" s="1810">
        <f t="shared" si="17"/>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1" t="s">
        <v>2547</v>
      </c>
      <c r="Q32" s="1809" t="str">
        <f t="shared" si="11"/>
        <v>建筑类型</v>
      </c>
      <c r="R32" s="774" t="s">
        <v>21</v>
      </c>
      <c r="S32" s="775">
        <f t="shared" si="12"/>
        <v>100</v>
      </c>
      <c r="T32" s="774" t="s">
        <v>21</v>
      </c>
      <c r="U32" s="775">
        <f t="shared" si="13"/>
        <v>100</v>
      </c>
      <c r="V32" s="774" t="s">
        <v>21</v>
      </c>
      <c r="W32" s="775">
        <f t="shared" si="14"/>
        <v>100</v>
      </c>
      <c r="X32" s="1812"/>
      <c r="Y32" s="3254" t="s">
        <v>2547</v>
      </c>
      <c r="Z32" s="1813" t="str">
        <f t="shared" si="18"/>
        <v>建筑类型</v>
      </c>
      <c r="AA32" s="1810">
        <f t="shared" si="15"/>
        <v>1</v>
      </c>
      <c r="AB32" s="1810">
        <f t="shared" si="16"/>
        <v>1</v>
      </c>
      <c r="AC32" s="1810">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2"/>
      <c r="Q33" s="776" t="str">
        <f t="shared" si="11"/>
        <v>项目建筑规模</v>
      </c>
      <c r="R33" s="777" t="s">
        <v>21</v>
      </c>
      <c r="S33" s="778" t="e">
        <f t="shared" si="12"/>
        <v>#N/A</v>
      </c>
      <c r="T33" s="777" t="s">
        <v>21</v>
      </c>
      <c r="U33" s="778" t="e">
        <f t="shared" si="13"/>
        <v>#N/A</v>
      </c>
      <c r="V33" s="777" t="s">
        <v>21</v>
      </c>
      <c r="W33" s="778" t="e">
        <f t="shared" si="14"/>
        <v>#N/A</v>
      </c>
      <c r="X33" s="779"/>
      <c r="Y33" s="3254"/>
      <c r="Z33" s="780" t="str">
        <f t="shared" si="18"/>
        <v>项目建筑规模</v>
      </c>
      <c r="AA33" s="1810" t="e">
        <f t="shared" si="15"/>
        <v>#N/A</v>
      </c>
      <c r="AB33" s="1810" t="e">
        <f t="shared" si="16"/>
        <v>#N/A</v>
      </c>
      <c r="AC33" s="1810" t="e">
        <f t="shared" si="17"/>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2"/>
      <c r="Q34" s="1809" t="str">
        <f t="shared" si="11"/>
        <v>建筑结构</v>
      </c>
      <c r="R34" s="774" t="s">
        <v>21</v>
      </c>
      <c r="S34" s="775">
        <f t="shared" si="12"/>
        <v>100</v>
      </c>
      <c r="T34" s="774" t="s">
        <v>21</v>
      </c>
      <c r="U34" s="775">
        <f t="shared" si="13"/>
        <v>100</v>
      </c>
      <c r="V34" s="774" t="s">
        <v>21</v>
      </c>
      <c r="W34" s="775">
        <f t="shared" si="14"/>
        <v>100</v>
      </c>
      <c r="X34" s="1812"/>
      <c r="Y34" s="3254"/>
      <c r="Z34" s="1813" t="str">
        <f t="shared" si="18"/>
        <v>建筑结构</v>
      </c>
      <c r="AA34" s="1810">
        <f t="shared" si="15"/>
        <v>1</v>
      </c>
      <c r="AB34" s="1810">
        <f t="shared" si="16"/>
        <v>1</v>
      </c>
      <c r="AC34" s="1810">
        <f t="shared" si="17"/>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2"/>
      <c r="Q35" s="1809" t="str">
        <f t="shared" si="11"/>
        <v>建筑品质</v>
      </c>
      <c r="R35" s="774" t="s">
        <v>21</v>
      </c>
      <c r="S35" s="775">
        <f t="shared" si="12"/>
        <v>100</v>
      </c>
      <c r="T35" s="774" t="s">
        <v>21</v>
      </c>
      <c r="U35" s="775">
        <f t="shared" si="13"/>
        <v>100</v>
      </c>
      <c r="V35" s="774" t="s">
        <v>21</v>
      </c>
      <c r="W35" s="775">
        <f t="shared" si="14"/>
        <v>100</v>
      </c>
      <c r="X35" s="1812"/>
      <c r="Y35" s="3254"/>
      <c r="Z35" s="1813" t="str">
        <f t="shared" si="18"/>
        <v>建筑品质</v>
      </c>
      <c r="AA35" s="1810">
        <f t="shared" si="15"/>
        <v>1</v>
      </c>
      <c r="AB35" s="1810">
        <f t="shared" si="16"/>
        <v>1</v>
      </c>
      <c r="AC35" s="1810">
        <f t="shared" si="17"/>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2"/>
      <c r="Q36" s="1809" t="str">
        <f t="shared" si="11"/>
        <v>公共部分装修</v>
      </c>
      <c r="R36" s="774" t="s">
        <v>21</v>
      </c>
      <c r="S36" s="775">
        <f t="shared" si="12"/>
        <v>100</v>
      </c>
      <c r="T36" s="774" t="s">
        <v>21</v>
      </c>
      <c r="U36" s="775">
        <f t="shared" si="13"/>
        <v>100</v>
      </c>
      <c r="V36" s="774" t="s">
        <v>21</v>
      </c>
      <c r="W36" s="775">
        <f t="shared" si="14"/>
        <v>100</v>
      </c>
      <c r="X36" s="1812"/>
      <c r="Y36" s="3254"/>
      <c r="Z36" s="1813" t="str">
        <f t="shared" si="18"/>
        <v>公共部分装修</v>
      </c>
      <c r="AA36" s="1810">
        <f t="shared" si="15"/>
        <v>1</v>
      </c>
      <c r="AB36" s="1810">
        <f t="shared" si="16"/>
        <v>1</v>
      </c>
      <c r="AC36" s="1810">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2"/>
      <c r="Q37" s="1794" t="str">
        <f t="shared" si="11"/>
        <v>成新度</v>
      </c>
      <c r="R37" s="770" t="s">
        <v>21</v>
      </c>
      <c r="S37" s="771" t="e">
        <f t="shared" si="12"/>
        <v>#N/A</v>
      </c>
      <c r="T37" s="770" t="s">
        <v>21</v>
      </c>
      <c r="U37" s="771" t="e">
        <f t="shared" si="13"/>
        <v>#N/A</v>
      </c>
      <c r="V37" s="770" t="s">
        <v>21</v>
      </c>
      <c r="W37" s="771" t="e">
        <f t="shared" si="14"/>
        <v>#N/A</v>
      </c>
      <c r="X37" s="772"/>
      <c r="Y37" s="3254"/>
      <c r="Z37" s="55" t="str">
        <f t="shared" si="18"/>
        <v>成新度</v>
      </c>
      <c r="AA37" s="773" t="e">
        <f t="shared" si="15"/>
        <v>#N/A</v>
      </c>
      <c r="AB37" s="773" t="e">
        <f t="shared" si="16"/>
        <v>#N/A</v>
      </c>
      <c r="AC37" s="773" t="e">
        <f t="shared" si="17"/>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2" t="s">
        <v>2547</v>
      </c>
      <c r="Q38" s="1809" t="str">
        <f t="shared" si="11"/>
        <v>物业管理</v>
      </c>
      <c r="R38" s="774" t="s">
        <v>21</v>
      </c>
      <c r="S38" s="775">
        <f t="shared" si="12"/>
        <v>100</v>
      </c>
      <c r="T38" s="774" t="s">
        <v>21</v>
      </c>
      <c r="U38" s="775">
        <f t="shared" si="13"/>
        <v>100</v>
      </c>
      <c r="V38" s="774" t="s">
        <v>21</v>
      </c>
      <c r="W38" s="775">
        <f t="shared" si="14"/>
        <v>100</v>
      </c>
      <c r="X38" s="1812"/>
      <c r="Y38" s="3254" t="s">
        <v>2547</v>
      </c>
      <c r="Z38" s="1813" t="str">
        <f t="shared" si="18"/>
        <v>物业管理</v>
      </c>
      <c r="AA38" s="1810">
        <f t="shared" si="15"/>
        <v>1</v>
      </c>
      <c r="AB38" s="1810">
        <f t="shared" si="16"/>
        <v>1</v>
      </c>
      <c r="AC38" s="1810">
        <f t="shared" si="17"/>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2"/>
      <c r="Q39" s="1809" t="str">
        <f t="shared" si="11"/>
        <v>市政基础设施</v>
      </c>
      <c r="R39" s="774" t="s">
        <v>21</v>
      </c>
      <c r="S39" s="775">
        <f t="shared" si="12"/>
        <v>100</v>
      </c>
      <c r="T39" s="774" t="s">
        <v>21</v>
      </c>
      <c r="U39" s="775">
        <f t="shared" si="13"/>
        <v>100</v>
      </c>
      <c r="V39" s="774" t="s">
        <v>21</v>
      </c>
      <c r="W39" s="775">
        <f t="shared" si="14"/>
        <v>100</v>
      </c>
      <c r="X39" s="1812"/>
      <c r="Y39" s="3254"/>
      <c r="Z39" s="1813" t="str">
        <f t="shared" si="18"/>
        <v>市政基础设施</v>
      </c>
      <c r="AA39" s="1810">
        <f t="shared" si="15"/>
        <v>1</v>
      </c>
      <c r="AB39" s="1810">
        <f t="shared" si="16"/>
        <v>1</v>
      </c>
      <c r="AC39" s="1810">
        <f t="shared" si="17"/>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2"/>
      <c r="Q40" s="1809" t="str">
        <f t="shared" si="11"/>
        <v>房型</v>
      </c>
      <c r="R40" s="774" t="s">
        <v>21</v>
      </c>
      <c r="S40" s="775">
        <f t="shared" si="12"/>
        <v>100</v>
      </c>
      <c r="T40" s="774" t="s">
        <v>21</v>
      </c>
      <c r="U40" s="775">
        <f t="shared" si="13"/>
        <v>100</v>
      </c>
      <c r="V40" s="774" t="s">
        <v>21</v>
      </c>
      <c r="W40" s="775">
        <f t="shared" si="14"/>
        <v>100</v>
      </c>
      <c r="X40" s="1812"/>
      <c r="Y40" s="3254"/>
      <c r="Z40" s="1813" t="str">
        <f t="shared" si="18"/>
        <v>房型</v>
      </c>
      <c r="AA40" s="1810">
        <f t="shared" si="15"/>
        <v>1</v>
      </c>
      <c r="AB40" s="1810">
        <f t="shared" si="16"/>
        <v>1</v>
      </c>
      <c r="AC40" s="1810">
        <f t="shared" si="17"/>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10">
        <f t="shared" si="15"/>
        <v>1</v>
      </c>
      <c r="AB41" s="1810">
        <f t="shared" si="16"/>
        <v>1</v>
      </c>
      <c r="AC41" s="1810">
        <f t="shared" si="17"/>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2"/>
      <c r="Q42" s="1809" t="str">
        <f t="shared" si="11"/>
        <v>内部装修</v>
      </c>
      <c r="R42" s="774" t="s">
        <v>21</v>
      </c>
      <c r="S42" s="775">
        <f t="shared" si="12"/>
        <v>100</v>
      </c>
      <c r="T42" s="774" t="s">
        <v>21</v>
      </c>
      <c r="U42" s="775">
        <f t="shared" si="13"/>
        <v>100</v>
      </c>
      <c r="V42" s="774" t="s">
        <v>21</v>
      </c>
      <c r="W42" s="775">
        <f t="shared" si="14"/>
        <v>100</v>
      </c>
      <c r="X42" s="1812"/>
      <c r="Y42" s="3254"/>
      <c r="Z42" s="1813" t="str">
        <f t="shared" si="18"/>
        <v>内部装修</v>
      </c>
      <c r="AA42" s="1810">
        <f t="shared" si="15"/>
        <v>1</v>
      </c>
      <c r="AB42" s="1810">
        <f t="shared" si="16"/>
        <v>1</v>
      </c>
      <c r="AC42" s="1810">
        <f t="shared" si="17"/>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2"/>
      <c r="Q43" s="1809" t="str">
        <f t="shared" si="11"/>
        <v>内部装修维护情况</v>
      </c>
      <c r="R43" s="774" t="s">
        <v>21</v>
      </c>
      <c r="S43" s="775">
        <f t="shared" si="12"/>
        <v>100</v>
      </c>
      <c r="T43" s="774" t="s">
        <v>21</v>
      </c>
      <c r="U43" s="775">
        <f t="shared" si="13"/>
        <v>100</v>
      </c>
      <c r="V43" s="774" t="s">
        <v>21</v>
      </c>
      <c r="W43" s="775">
        <f t="shared" si="14"/>
        <v>100</v>
      </c>
      <c r="X43" s="1812"/>
      <c r="Y43" s="325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2"/>
      <c r="Q44" s="1794">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2"/>
      <c r="Q45" s="1809">
        <f t="shared" si="11"/>
        <v>111</v>
      </c>
      <c r="R45" s="774" t="s">
        <v>21</v>
      </c>
      <c r="S45" s="775">
        <f t="shared" si="12"/>
        <v>100</v>
      </c>
      <c r="T45" s="774" t="s">
        <v>21</v>
      </c>
      <c r="U45" s="775">
        <f t="shared" si="13"/>
        <v>100</v>
      </c>
      <c r="V45" s="774" t="s">
        <v>21</v>
      </c>
      <c r="W45" s="775">
        <f t="shared" si="14"/>
        <v>100</v>
      </c>
      <c r="X45" s="1812"/>
      <c r="Y45" s="3254"/>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3"/>
      <c r="Q46" s="1809">
        <f t="shared" si="11"/>
        <v>111</v>
      </c>
      <c r="R46" s="774" t="s">
        <v>20</v>
      </c>
      <c r="S46" s="775">
        <f t="shared" si="12"/>
        <v>100</v>
      </c>
      <c r="T46" s="774" t="s">
        <v>20</v>
      </c>
      <c r="U46" s="775">
        <f t="shared" si="13"/>
        <v>100</v>
      </c>
      <c r="V46" s="774" t="s">
        <v>20</v>
      </c>
      <c r="W46" s="775">
        <f t="shared" si="14"/>
        <v>100</v>
      </c>
      <c r="X46" s="1812"/>
      <c r="Y46" s="3255"/>
      <c r="Z46" s="1813">
        <f t="shared" si="18"/>
        <v>111</v>
      </c>
      <c r="AA46" s="1810">
        <f t="shared" si="15"/>
        <v>1</v>
      </c>
      <c r="AB46" s="1810">
        <f t="shared" si="16"/>
        <v>1</v>
      </c>
      <c r="AC46" s="1810">
        <f t="shared" si="17"/>
        <v>1</v>
      </c>
    </row>
    <row r="47" spans="1:29" ht="15">
      <c r="A47" s="479" t="s">
        <v>2559</v>
      </c>
      <c r="B47" s="480"/>
      <c r="C47" s="1406" t="s">
        <v>19</v>
      </c>
      <c r="D47" s="1407"/>
      <c r="E47" s="1408"/>
      <c r="F47" s="1409"/>
      <c r="G47" s="1410"/>
      <c r="H47" s="1411"/>
      <c r="I47" s="1408"/>
      <c r="J47" s="1411"/>
      <c r="K47" s="2621"/>
      <c r="L47" s="1143"/>
      <c r="M47" s="1144"/>
      <c r="N47" s="1131"/>
      <c r="O47" s="1144"/>
      <c r="P47" s="3247" t="str">
        <f>A47</f>
        <v>成交单价（元/平方米）</v>
      </c>
      <c r="Q47" s="3247"/>
      <c r="R47" s="3248">
        <f>E47</f>
        <v>0</v>
      </c>
      <c r="S47" s="3248"/>
      <c r="T47" s="3248">
        <f>G47</f>
        <v>0</v>
      </c>
      <c r="U47" s="3248"/>
      <c r="V47" s="3248">
        <f>I47</f>
        <v>0</v>
      </c>
      <c r="W47" s="3248"/>
      <c r="X47" s="759"/>
      <c r="Y47" s="781"/>
      <c r="Z47" s="759"/>
      <c r="AA47" s="759"/>
      <c r="AB47" s="759"/>
      <c r="AC47" s="759"/>
    </row>
    <row r="48" spans="1:29" ht="15.75" thickBot="1">
      <c r="A48" s="486" t="s">
        <v>2560</v>
      </c>
      <c r="B48" s="487"/>
      <c r="C48" s="1412" t="e">
        <f>R49</f>
        <v>#DIV/0!</v>
      </c>
      <c r="D48" s="1413"/>
      <c r="E48" s="1414" t="e">
        <f>R48</f>
        <v>#DIV/0!</v>
      </c>
      <c r="F48" s="1414"/>
      <c r="G48" s="1412" t="e">
        <f>T48</f>
        <v>#DIV/0!</v>
      </c>
      <c r="H48" s="1413"/>
      <c r="I48" s="1414" t="e">
        <f>V48</f>
        <v>#DIV/0!</v>
      </c>
      <c r="J48" s="1413"/>
      <c r="K48" s="2622"/>
      <c r="L48" s="1143"/>
      <c r="M48" s="1144"/>
      <c r="N48" s="1144"/>
      <c r="O48" s="1144"/>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2561</v>
      </c>
      <c r="B49" s="493"/>
      <c r="C49" s="1415" t="e">
        <f>R49</f>
        <v>#DIV/0!</v>
      </c>
      <c r="D49" s="1416"/>
      <c r="E49" s="1416"/>
      <c r="F49" s="1416"/>
      <c r="G49" s="1416"/>
      <c r="H49" s="1416"/>
      <c r="I49" s="1416"/>
      <c r="J49" s="1416"/>
      <c r="K49" s="2623"/>
      <c r="L49" s="1143"/>
      <c r="M49" s="1144"/>
      <c r="N49" s="1144"/>
      <c r="O49" s="1144"/>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2565</v>
      </c>
      <c r="B57" s="759"/>
      <c r="C57" s="764"/>
      <c r="D57" s="764"/>
      <c r="E57" s="764"/>
      <c r="F57" s="765"/>
      <c r="G57" s="765"/>
      <c r="H57" s="764"/>
      <c r="I57" s="764"/>
      <c r="J57" s="764"/>
      <c r="K57" s="1160"/>
      <c r="L57" s="1161"/>
      <c r="M57" s="1159"/>
      <c r="N57" s="1159"/>
      <c r="O57" s="1159"/>
      <c r="P57" s="2626"/>
      <c r="Q57" s="504"/>
    </row>
    <row r="58" spans="1:29" s="508" customFormat="1" ht="15">
      <c r="A58" s="505" t="s">
        <v>2566</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2586</v>
      </c>
      <c r="D82" s="539" t="s">
        <v>2587</v>
      </c>
      <c r="E82" s="539" t="s">
        <v>2588</v>
      </c>
      <c r="F82" s="539" t="s">
        <v>2589</v>
      </c>
      <c r="G82" s="539" t="s">
        <v>2590</v>
      </c>
      <c r="H82" s="539"/>
      <c r="I82" s="539"/>
      <c r="J82" s="539"/>
      <c r="K82" s="539"/>
      <c r="L82" s="539"/>
      <c r="M82" s="1381"/>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2593</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2545</v>
      </c>
      <c r="B100" s="528" t="s">
        <v>2594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2597</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2598</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2599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2601</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2556</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4">
        <v>6</v>
      </c>
      <c r="C139" s="1085">
        <v>96</v>
      </c>
      <c r="D139" s="2648" t="s">
        <v>2613</v>
      </c>
      <c r="E139" s="1086">
        <v>100</v>
      </c>
      <c r="F139" s="1087">
        <v>102.5</v>
      </c>
      <c r="G139" s="2648" t="s">
        <v>2613</v>
      </c>
      <c r="H139" s="1088">
        <v>105</v>
      </c>
      <c r="I139" s="2649" t="s">
        <v>2614</v>
      </c>
      <c r="J139" s="1085">
        <v>20</v>
      </c>
      <c r="K139" s="1089">
        <f>C145/(J139-2)</f>
        <v>4.0555555555555553E-3</v>
      </c>
    </row>
    <row r="140" spans="1:17" ht="15">
      <c r="B140" s="1090">
        <v>5</v>
      </c>
      <c r="C140" s="1091">
        <v>100</v>
      </c>
      <c r="D140" s="1091"/>
      <c r="E140" s="1092"/>
      <c r="F140" s="1093">
        <v>102</v>
      </c>
      <c r="G140" s="1091"/>
      <c r="H140" s="1094"/>
      <c r="I140" s="2650" t="s">
        <v>2615</v>
      </c>
      <c r="J140" s="315">
        <f>ROUNDUP((J139-1)/2,0)</f>
        <v>10</v>
      </c>
      <c r="K140" s="1095">
        <v>100</v>
      </c>
    </row>
    <row r="141" spans="1:17" ht="15">
      <c r="B141" s="1090">
        <v>4</v>
      </c>
      <c r="C141" s="1091">
        <v>102</v>
      </c>
      <c r="D141" s="1091"/>
      <c r="E141" s="1092"/>
      <c r="F141" s="1093">
        <v>101.5</v>
      </c>
      <c r="G141" s="1091"/>
      <c r="H141" s="1094"/>
      <c r="I141" s="2650" t="s">
        <v>2616</v>
      </c>
      <c r="J141" s="315">
        <v>1</v>
      </c>
      <c r="K141" s="1096">
        <f>ROUND(100+(J141-J140)*K139*100,1)</f>
        <v>96.4</v>
      </c>
    </row>
    <row r="142" spans="1:17" ht="15">
      <c r="B142" s="1090">
        <v>3</v>
      </c>
      <c r="C142" s="1091">
        <v>103</v>
      </c>
      <c r="D142" s="1091"/>
      <c r="E142" s="1092"/>
      <c r="F142" s="1093">
        <v>101</v>
      </c>
      <c r="G142" s="1091"/>
      <c r="H142" s="1094"/>
      <c r="I142" s="2650" t="s">
        <v>2617</v>
      </c>
      <c r="J142" s="315">
        <f>J139</f>
        <v>20</v>
      </c>
      <c r="K142" s="1097">
        <v>95</v>
      </c>
    </row>
    <row r="143" spans="1:17" ht="15">
      <c r="B143" s="1090">
        <v>2</v>
      </c>
      <c r="C143" s="1091">
        <v>100</v>
      </c>
      <c r="D143" s="1091"/>
      <c r="E143" s="1092"/>
      <c r="F143" s="1093">
        <v>100.5</v>
      </c>
      <c r="G143" s="1091"/>
      <c r="H143" s="1094"/>
      <c r="I143" s="2650" t="s">
        <v>2618</v>
      </c>
      <c r="J143" s="1091">
        <v>15</v>
      </c>
      <c r="K143" s="1096">
        <f>ROUND(100+(J143-J140)*K139*100,1)</f>
        <v>102</v>
      </c>
    </row>
    <row r="144" spans="1:17" ht="15">
      <c r="B144" s="1090">
        <v>1</v>
      </c>
      <c r="C144" s="1091">
        <v>98</v>
      </c>
      <c r="D144" s="2651" t="s">
        <v>2619</v>
      </c>
      <c r="E144" s="1092">
        <v>102</v>
      </c>
      <c r="F144" s="1098">
        <v>100</v>
      </c>
      <c r="G144" s="2651" t="s">
        <v>2619</v>
      </c>
      <c r="H144" s="1094">
        <v>105</v>
      </c>
      <c r="I144" s="2650" t="s">
        <v>2618</v>
      </c>
      <c r="J144" s="1091">
        <v>18</v>
      </c>
      <c r="K144" s="1096">
        <f>ROUND(100+(J144-J140)*K139*100,1)</f>
        <v>103.2</v>
      </c>
    </row>
    <row r="145" spans="2:11" ht="15.75" thickBot="1">
      <c r="B145" s="2652" t="s">
        <v>2620</v>
      </c>
      <c r="C145" s="1099">
        <f>ROUND(MAX(C139:C144)/MIN(C139:C144)-1,3)</f>
        <v>7.2999999999999995E-2</v>
      </c>
      <c r="D145" s="1100"/>
      <c r="E145" s="1100"/>
      <c r="F145" s="2653" t="s">
        <v>2621</v>
      </c>
      <c r="G145" s="2654"/>
      <c r="H145" s="2655"/>
      <c r="I145" s="2656" t="s">
        <v>2618</v>
      </c>
      <c r="J145" s="1101">
        <v>8</v>
      </c>
      <c r="K145" s="1102">
        <f>ROUND(100+(J145-J140)*K139*100,1)</f>
        <v>99.2</v>
      </c>
    </row>
    <row r="147" spans="2:11">
      <c r="B147" s="2637" t="s">
        <v>2622</v>
      </c>
    </row>
    <row r="148" spans="2:11">
      <c r="B148" s="2637"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2624</v>
      </c>
      <c r="C1" s="1633" t="s">
        <v>2512</v>
      </c>
      <c r="D1" s="1620"/>
      <c r="E1" s="2657"/>
      <c r="F1" s="2584"/>
      <c r="G1" s="1630" t="s">
        <v>2625</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2309</v>
      </c>
      <c r="B2" s="1417" t="e">
        <f ca="1">IF(C2="——",ROUND(C49*D3/10000,0),ROUND(C49*D3/10000,0)-D2)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2311</v>
      </c>
      <c r="B3" s="609" t="e">
        <f ca="1">IF(C2="——",C49,ROUND(B2*10000/D3,0))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78" t="s">
        <v>2630</v>
      </c>
      <c r="AC4" s="3259" t="s">
        <v>2631</v>
      </c>
    </row>
    <row r="5" spans="1:29"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78"/>
      <c r="AC5" s="3260"/>
    </row>
    <row r="6" spans="1:29" ht="15.75" thickBot="1">
      <c r="A6" s="406"/>
      <c r="B6" s="407"/>
      <c r="C6" s="3279" t="s">
        <v>2528</v>
      </c>
      <c r="D6" s="3280"/>
      <c r="E6" s="3286" t="s">
        <v>2528</v>
      </c>
      <c r="F6" s="3287"/>
      <c r="G6" s="3279" t="s">
        <v>2528</v>
      </c>
      <c r="H6" s="3280"/>
      <c r="I6" s="3279" t="s">
        <v>2528</v>
      </c>
      <c r="J6" s="3280"/>
      <c r="K6" s="610" t="s">
        <v>2529</v>
      </c>
      <c r="L6" s="1130"/>
      <c r="M6" s="1131"/>
      <c r="N6" s="1131"/>
      <c r="O6" s="1131"/>
      <c r="P6" s="3270"/>
      <c r="Q6" s="3271"/>
      <c r="R6" s="3274"/>
      <c r="S6" s="3275"/>
      <c r="T6" s="3276"/>
      <c r="U6" s="3277"/>
      <c r="V6" s="3278"/>
      <c r="W6" s="3278"/>
      <c r="X6" s="1812"/>
      <c r="Y6" s="3276"/>
      <c r="Z6" s="3277"/>
      <c r="AA6" s="3261"/>
      <c r="AB6" s="3278"/>
      <c r="AC6" s="3261"/>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3" t="s">
        <v>2531</v>
      </c>
      <c r="Q7" s="3285"/>
      <c r="R7" s="770" t="s">
        <v>17</v>
      </c>
      <c r="S7" s="771">
        <f t="shared" ref="S7:S15" si="0">F7</f>
        <v>0</v>
      </c>
      <c r="T7" s="770" t="s">
        <v>17</v>
      </c>
      <c r="U7" s="771">
        <f t="shared" ref="U7:U15" si="1">H7</f>
        <v>0</v>
      </c>
      <c r="V7" s="770" t="s">
        <v>17</v>
      </c>
      <c r="W7" s="771">
        <f t="shared" ref="W7:W15" si="2">J7</f>
        <v>0</v>
      </c>
      <c r="X7" s="772"/>
      <c r="Y7" s="3283" t="s">
        <v>2531</v>
      </c>
      <c r="Z7" s="3284"/>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8"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8"/>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8"/>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8"/>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8"/>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8"/>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2541</v>
      </c>
      <c r="B15" s="69" t="s">
        <v>2635</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6" t="s">
        <v>2542</v>
      </c>
      <c r="Q15" s="1809" t="str">
        <f t="shared" si="6"/>
        <v>商业繁华度</v>
      </c>
      <c r="R15" s="774" t="s">
        <v>17</v>
      </c>
      <c r="S15" s="775">
        <f t="shared" si="0"/>
        <v>100</v>
      </c>
      <c r="T15" s="774" t="s">
        <v>17</v>
      </c>
      <c r="U15" s="775">
        <f t="shared" si="1"/>
        <v>100</v>
      </c>
      <c r="V15" s="774" t="s">
        <v>17</v>
      </c>
      <c r="W15" s="775">
        <f t="shared" si="2"/>
        <v>100</v>
      </c>
      <c r="X15" s="1812"/>
      <c r="Y15" s="3249" t="s">
        <v>2542</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7"/>
      <c r="Q16" s="1809"/>
      <c r="R16" s="774"/>
      <c r="S16" s="775"/>
      <c r="T16" s="774"/>
      <c r="U16" s="775"/>
      <c r="V16" s="774"/>
      <c r="W16" s="775"/>
      <c r="X16" s="1812"/>
      <c r="Y16" s="3250"/>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7"/>
      <c r="Q17" s="1809" t="str">
        <f>B17</f>
        <v>交通便捷度</v>
      </c>
      <c r="R17" s="774" t="s">
        <v>17</v>
      </c>
      <c r="S17" s="775">
        <f>F17</f>
        <v>100</v>
      </c>
      <c r="T17" s="774" t="s">
        <v>17</v>
      </c>
      <c r="U17" s="775">
        <f>H17</f>
        <v>100</v>
      </c>
      <c r="V17" s="774" t="s">
        <v>17</v>
      </c>
      <c r="W17" s="775">
        <f>J17</f>
        <v>100</v>
      </c>
      <c r="X17" s="1812"/>
      <c r="Y17" s="325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7"/>
      <c r="Q18" s="1809"/>
      <c r="R18" s="774"/>
      <c r="S18" s="775"/>
      <c r="T18" s="774"/>
      <c r="U18" s="775"/>
      <c r="V18" s="774"/>
      <c r="W18" s="775"/>
      <c r="X18" s="1812"/>
      <c r="Y18" s="3250"/>
      <c r="Z18" s="1813"/>
      <c r="AA18" s="1810">
        <v>1</v>
      </c>
      <c r="AB18" s="1810">
        <v>1</v>
      </c>
      <c r="AC18" s="1810">
        <v>1</v>
      </c>
    </row>
    <row r="19" spans="1:29" ht="42.75">
      <c r="A19" s="428"/>
      <c r="B19" s="451" t="s">
        <v>2636</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7"/>
      <c r="Q19" s="1809" t="str">
        <f>B19</f>
        <v>公共配套设施</v>
      </c>
      <c r="R19" s="774" t="s">
        <v>17</v>
      </c>
      <c r="S19" s="775">
        <f>F19</f>
        <v>100</v>
      </c>
      <c r="T19" s="774" t="s">
        <v>17</v>
      </c>
      <c r="U19" s="775">
        <f>H19</f>
        <v>100</v>
      </c>
      <c r="V19" s="774" t="s">
        <v>17</v>
      </c>
      <c r="W19" s="775">
        <f>J19</f>
        <v>100</v>
      </c>
      <c r="X19" s="1812"/>
      <c r="Y19" s="325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7"/>
      <c r="Q20" s="1809"/>
      <c r="R20" s="774"/>
      <c r="S20" s="775"/>
      <c r="T20" s="774"/>
      <c r="U20" s="775"/>
      <c r="V20" s="774"/>
      <c r="W20" s="775"/>
      <c r="X20" s="1812"/>
      <c r="Y20" s="3250"/>
      <c r="Z20" s="1813"/>
      <c r="AA20" s="1810">
        <v>1</v>
      </c>
      <c r="AB20" s="1810">
        <v>1</v>
      </c>
      <c r="AC20" s="1810">
        <v>1</v>
      </c>
    </row>
    <row r="21" spans="1:29" ht="28.5">
      <c r="A21" s="428"/>
      <c r="B21" s="1383" t="s">
        <v>2637</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7"/>
      <c r="Q21" s="1809" t="str">
        <f>B21</f>
        <v>基础设施水平</v>
      </c>
      <c r="R21" s="774" t="s">
        <v>17</v>
      </c>
      <c r="S21" s="775">
        <f>F21</f>
        <v>100</v>
      </c>
      <c r="T21" s="774" t="s">
        <v>17</v>
      </c>
      <c r="U21" s="775">
        <f>H21</f>
        <v>100</v>
      </c>
      <c r="V21" s="774" t="s">
        <v>17</v>
      </c>
      <c r="W21" s="775">
        <f>J21</f>
        <v>100</v>
      </c>
      <c r="X21" s="1812"/>
      <c r="Y21" s="3250"/>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257"/>
      <c r="Q22" s="1809"/>
      <c r="R22" s="774"/>
      <c r="S22" s="775"/>
      <c r="T22" s="774"/>
      <c r="U22" s="775"/>
      <c r="V22" s="774"/>
      <c r="W22" s="775"/>
      <c r="X22" s="1812"/>
      <c r="Y22" s="3250"/>
      <c r="Z22" s="1813"/>
      <c r="AA22" s="1810">
        <v>1</v>
      </c>
      <c r="AB22" s="1810">
        <v>1</v>
      </c>
      <c r="AC22" s="1810">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7"/>
      <c r="Q23" s="1809" t="str">
        <f>B23</f>
        <v>自然及人文环境</v>
      </c>
      <c r="R23" s="774" t="s">
        <v>17</v>
      </c>
      <c r="S23" s="775">
        <f>F23</f>
        <v>100</v>
      </c>
      <c r="T23" s="774" t="s">
        <v>17</v>
      </c>
      <c r="U23" s="775">
        <f>H23</f>
        <v>100</v>
      </c>
      <c r="V23" s="774" t="s">
        <v>17</v>
      </c>
      <c r="W23" s="775">
        <f>J23</f>
        <v>100</v>
      </c>
      <c r="X23" s="1812"/>
      <c r="Y23" s="3250"/>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7"/>
      <c r="Q24" s="1809"/>
      <c r="R24" s="774"/>
      <c r="S24" s="775"/>
      <c r="T24" s="774"/>
      <c r="U24" s="775"/>
      <c r="V24" s="774"/>
      <c r="W24" s="775"/>
      <c r="X24" s="1812"/>
      <c r="Y24" s="3250"/>
      <c r="Z24" s="1813"/>
      <c r="AA24" s="1810">
        <v>1</v>
      </c>
      <c r="AB24" s="1810">
        <v>1</v>
      </c>
      <c r="AC24" s="1810">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7"/>
      <c r="Q25" s="1809" t="str">
        <f t="shared" ref="Q25:Q46" si="11">B25</f>
        <v>临街状况</v>
      </c>
      <c r="R25" s="774" t="s">
        <v>17</v>
      </c>
      <c r="S25" s="775">
        <f>F25</f>
        <v>100</v>
      </c>
      <c r="T25" s="774" t="s">
        <v>17</v>
      </c>
      <c r="U25" s="775">
        <f>H25</f>
        <v>100</v>
      </c>
      <c r="V25" s="774" t="s">
        <v>17</v>
      </c>
      <c r="W25" s="775">
        <f>J25</f>
        <v>100</v>
      </c>
      <c r="X25" s="1812"/>
      <c r="Y25" s="3250"/>
      <c r="Z25" s="1813" t="str">
        <f>Q25</f>
        <v>临街状况</v>
      </c>
      <c r="AA25" s="1810">
        <f t="shared" si="3"/>
        <v>1</v>
      </c>
      <c r="AB25" s="1810">
        <f t="shared" si="4"/>
        <v>1</v>
      </c>
      <c r="AC25" s="1810">
        <f t="shared" si="5"/>
        <v>1</v>
      </c>
    </row>
    <row r="26" spans="1:29" ht="15">
      <c r="A26" s="428"/>
      <c r="B26" s="1385" t="s">
        <v>2639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7"/>
      <c r="Q26" s="1809" t="str">
        <f t="shared" si="11"/>
        <v>平面位置/可视性</v>
      </c>
      <c r="R26" s="774" t="s">
        <v>17</v>
      </c>
      <c r="S26" s="775">
        <f>F26</f>
        <v>100</v>
      </c>
      <c r="T26" s="774" t="s">
        <v>17</v>
      </c>
      <c r="U26" s="775">
        <f>H26</f>
        <v>100</v>
      </c>
      <c r="V26" s="774" t="s">
        <v>17</v>
      </c>
      <c r="W26" s="775">
        <f>J26</f>
        <v>100</v>
      </c>
      <c r="X26" s="1812"/>
      <c r="Y26" s="3250"/>
      <c r="Z26" s="1813" t="str">
        <f>Q26</f>
        <v>平面位置/可视性</v>
      </c>
      <c r="AA26" s="1810">
        <f t="shared" si="3"/>
        <v>1</v>
      </c>
      <c r="AB26" s="1810">
        <f t="shared" si="4"/>
        <v>1</v>
      </c>
      <c r="AC26" s="1810">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7"/>
      <c r="Q27" s="1794" t="str">
        <f t="shared" si="11"/>
        <v>人流量</v>
      </c>
      <c r="R27" s="770" t="s">
        <v>17</v>
      </c>
      <c r="S27" s="771">
        <f>F27</f>
        <v>100</v>
      </c>
      <c r="T27" s="770" t="s">
        <v>17</v>
      </c>
      <c r="U27" s="771">
        <f>H27</f>
        <v>100</v>
      </c>
      <c r="V27" s="770" t="s">
        <v>17</v>
      </c>
      <c r="W27" s="771">
        <f>J27</f>
        <v>100</v>
      </c>
      <c r="X27" s="772"/>
      <c r="Y27" s="3250"/>
      <c r="Z27" s="55" t="str">
        <f>Q27</f>
        <v>人流量</v>
      </c>
      <c r="AA27" s="1810">
        <f>D27/F27</f>
        <v>1</v>
      </c>
      <c r="AB27" s="1810">
        <f>D27/H27</f>
        <v>1</v>
      </c>
      <c r="AC27" s="1810">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7"/>
      <c r="Q29" s="1809">
        <f t="shared" si="11"/>
        <v>111</v>
      </c>
      <c r="R29" s="774" t="s">
        <v>17</v>
      </c>
      <c r="S29" s="775">
        <f t="shared" si="12"/>
        <v>100</v>
      </c>
      <c r="T29" s="774" t="s">
        <v>17</v>
      </c>
      <c r="U29" s="775">
        <f t="shared" si="13"/>
        <v>100</v>
      </c>
      <c r="V29" s="774" t="s">
        <v>17</v>
      </c>
      <c r="W29" s="775">
        <f t="shared" si="14"/>
        <v>100</v>
      </c>
      <c r="X29" s="1812"/>
      <c r="Y29" s="325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7"/>
      <c r="Q30" s="1809">
        <f t="shared" si="11"/>
        <v>111</v>
      </c>
      <c r="R30" s="774" t="s">
        <v>17</v>
      </c>
      <c r="S30" s="775">
        <f t="shared" si="12"/>
        <v>100</v>
      </c>
      <c r="T30" s="774" t="s">
        <v>17</v>
      </c>
      <c r="U30" s="775">
        <f t="shared" si="13"/>
        <v>100</v>
      </c>
      <c r="V30" s="774" t="s">
        <v>17</v>
      </c>
      <c r="W30" s="775">
        <f t="shared" si="14"/>
        <v>100</v>
      </c>
      <c r="X30" s="1812"/>
      <c r="Y30" s="325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7"/>
      <c r="Q31" s="1809">
        <f t="shared" si="11"/>
        <v>111</v>
      </c>
      <c r="R31" s="774" t="s">
        <v>17</v>
      </c>
      <c r="S31" s="775">
        <f t="shared" si="12"/>
        <v>100</v>
      </c>
      <c r="T31" s="774" t="s">
        <v>17</v>
      </c>
      <c r="U31" s="775">
        <f t="shared" si="13"/>
        <v>100</v>
      </c>
      <c r="V31" s="774" t="s">
        <v>17</v>
      </c>
      <c r="W31" s="775">
        <f t="shared" si="14"/>
        <v>100</v>
      </c>
      <c r="X31" s="1812"/>
      <c r="Y31" s="3250"/>
      <c r="Z31" s="1813">
        <f t="shared" si="15"/>
        <v>111</v>
      </c>
      <c r="AA31" s="1810">
        <f t="shared" si="3"/>
        <v>1</v>
      </c>
      <c r="AB31" s="1810">
        <f t="shared" si="4"/>
        <v>1</v>
      </c>
      <c r="AC31" s="1810">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1" t="s">
        <v>2547</v>
      </c>
      <c r="Q32" s="1809" t="str">
        <f t="shared" si="11"/>
        <v>商业类型</v>
      </c>
      <c r="R32" s="774" t="s">
        <v>17</v>
      </c>
      <c r="S32" s="775">
        <f t="shared" si="12"/>
        <v>100</v>
      </c>
      <c r="T32" s="774" t="s">
        <v>17</v>
      </c>
      <c r="U32" s="775">
        <f t="shared" si="13"/>
        <v>100</v>
      </c>
      <c r="V32" s="774" t="s">
        <v>17</v>
      </c>
      <c r="W32" s="775">
        <f t="shared" si="14"/>
        <v>100</v>
      </c>
      <c r="X32" s="1812"/>
      <c r="Y32" s="3254" t="s">
        <v>2547</v>
      </c>
      <c r="Z32" s="1813" t="str">
        <f t="shared" si="15"/>
        <v>商业类型</v>
      </c>
      <c r="AA32" s="1810">
        <f t="shared" si="3"/>
        <v>1</v>
      </c>
      <c r="AB32" s="1810">
        <f t="shared" si="4"/>
        <v>1</v>
      </c>
      <c r="AC32" s="1810">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2"/>
      <c r="Q33" s="776" t="str">
        <f t="shared" si="11"/>
        <v>项目建筑规模</v>
      </c>
      <c r="R33" s="777" t="s">
        <v>17</v>
      </c>
      <c r="S33" s="778" t="e">
        <f t="shared" si="12"/>
        <v>#N/A</v>
      </c>
      <c r="T33" s="777" t="s">
        <v>17</v>
      </c>
      <c r="U33" s="778" t="e">
        <f t="shared" si="13"/>
        <v>#N/A</v>
      </c>
      <c r="V33" s="777" t="s">
        <v>17</v>
      </c>
      <c r="W33" s="778" t="e">
        <f t="shared" si="14"/>
        <v>#N/A</v>
      </c>
      <c r="X33" s="779"/>
      <c r="Y33" s="3254"/>
      <c r="Z33" s="780" t="str">
        <f t="shared" si="15"/>
        <v>项目建筑规模</v>
      </c>
      <c r="AA33" s="1810" t="e">
        <f t="shared" si="3"/>
        <v>#N/A</v>
      </c>
      <c r="AB33" s="1810" t="e">
        <f t="shared" si="4"/>
        <v>#N/A</v>
      </c>
      <c r="AC33" s="1810"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2"/>
      <c r="Q34" s="1809" t="str">
        <f t="shared" si="11"/>
        <v>建筑结构</v>
      </c>
      <c r="R34" s="774" t="s">
        <v>17</v>
      </c>
      <c r="S34" s="775">
        <f t="shared" si="12"/>
        <v>100</v>
      </c>
      <c r="T34" s="774" t="s">
        <v>17</v>
      </c>
      <c r="U34" s="775">
        <f t="shared" si="13"/>
        <v>100</v>
      </c>
      <c r="V34" s="774" t="s">
        <v>17</v>
      </c>
      <c r="W34" s="775">
        <f t="shared" si="14"/>
        <v>100</v>
      </c>
      <c r="X34" s="1812"/>
      <c r="Y34" s="3254"/>
      <c r="Z34" s="1813" t="str">
        <f t="shared" si="15"/>
        <v>建筑结构</v>
      </c>
      <c r="AA34" s="1810">
        <f t="shared" si="3"/>
        <v>1</v>
      </c>
      <c r="AB34" s="1810">
        <f t="shared" si="4"/>
        <v>1</v>
      </c>
      <c r="AC34" s="1810">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2"/>
      <c r="Q35" s="1809" t="str">
        <f t="shared" si="11"/>
        <v>公共部分装修</v>
      </c>
      <c r="R35" s="774" t="s">
        <v>17</v>
      </c>
      <c r="S35" s="775">
        <f t="shared" si="12"/>
        <v>100</v>
      </c>
      <c r="T35" s="774" t="s">
        <v>17</v>
      </c>
      <c r="U35" s="775">
        <f t="shared" si="13"/>
        <v>100</v>
      </c>
      <c r="V35" s="774" t="s">
        <v>17</v>
      </c>
      <c r="W35" s="775">
        <f t="shared" si="14"/>
        <v>100</v>
      </c>
      <c r="X35" s="1812"/>
      <c r="Y35" s="3254"/>
      <c r="Z35" s="1813" t="str">
        <f t="shared" si="15"/>
        <v>公共部分装修</v>
      </c>
      <c r="AA35" s="1810">
        <f t="shared" si="3"/>
        <v>1</v>
      </c>
      <c r="AB35" s="1810">
        <f t="shared" si="4"/>
        <v>1</v>
      </c>
      <c r="AC35" s="1810">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2"/>
      <c r="Q36" s="1809" t="str">
        <f t="shared" si="11"/>
        <v>成新度</v>
      </c>
      <c r="R36" s="774" t="s">
        <v>17</v>
      </c>
      <c r="S36" s="775" t="e">
        <f t="shared" si="12"/>
        <v>#N/A</v>
      </c>
      <c r="T36" s="774" t="s">
        <v>17</v>
      </c>
      <c r="U36" s="775" t="e">
        <f t="shared" si="13"/>
        <v>#N/A</v>
      </c>
      <c r="V36" s="774" t="s">
        <v>17</v>
      </c>
      <c r="W36" s="775" t="e">
        <f t="shared" si="14"/>
        <v>#N/A</v>
      </c>
      <c r="X36" s="1812"/>
      <c r="Y36" s="3254"/>
      <c r="Z36" s="1813" t="str">
        <f t="shared" si="15"/>
        <v>成新度</v>
      </c>
      <c r="AA36" s="1810" t="e">
        <f t="shared" si="3"/>
        <v>#N/A</v>
      </c>
      <c r="AB36" s="1810" t="e">
        <f t="shared" si="4"/>
        <v>#N/A</v>
      </c>
      <c r="AC36" s="1810"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2"/>
      <c r="Q37" s="1794"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2" t="s">
        <v>2547</v>
      </c>
      <c r="Q38" s="1809" t="str">
        <f t="shared" si="11"/>
        <v>业态</v>
      </c>
      <c r="R38" s="774" t="s">
        <v>17</v>
      </c>
      <c r="S38" s="775">
        <f t="shared" si="12"/>
        <v>100</v>
      </c>
      <c r="T38" s="774" t="s">
        <v>17</v>
      </c>
      <c r="U38" s="775">
        <f t="shared" si="13"/>
        <v>100</v>
      </c>
      <c r="V38" s="774" t="s">
        <v>17</v>
      </c>
      <c r="W38" s="775">
        <f t="shared" si="14"/>
        <v>100</v>
      </c>
      <c r="X38" s="1812"/>
      <c r="Y38" s="3254" t="s">
        <v>2547</v>
      </c>
      <c r="Z38" s="1813" t="str">
        <f t="shared" si="15"/>
        <v>业态</v>
      </c>
      <c r="AA38" s="1810">
        <f t="shared" si="3"/>
        <v>1</v>
      </c>
      <c r="AB38" s="1810">
        <f t="shared" si="4"/>
        <v>1</v>
      </c>
      <c r="AC38" s="1810">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2"/>
      <c r="Q39" s="1809" t="str">
        <f t="shared" si="11"/>
        <v>层高</v>
      </c>
      <c r="R39" s="774" t="s">
        <v>17</v>
      </c>
      <c r="S39" s="775">
        <f t="shared" si="12"/>
        <v>100</v>
      </c>
      <c r="T39" s="774" t="s">
        <v>17</v>
      </c>
      <c r="U39" s="775">
        <f t="shared" si="13"/>
        <v>100</v>
      </c>
      <c r="V39" s="774" t="s">
        <v>17</v>
      </c>
      <c r="W39" s="775">
        <f t="shared" si="14"/>
        <v>100</v>
      </c>
      <c r="X39" s="1812"/>
      <c r="Y39" s="3254"/>
      <c r="Z39" s="1813" t="str">
        <f t="shared" si="15"/>
        <v>层高</v>
      </c>
      <c r="AA39" s="1810">
        <f t="shared" si="3"/>
        <v>1</v>
      </c>
      <c r="AB39" s="1810">
        <f t="shared" si="4"/>
        <v>1</v>
      </c>
      <c r="AC39" s="1810">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2"/>
      <c r="Q40" s="1809" t="str">
        <f t="shared" si="11"/>
        <v>单套建筑面积</v>
      </c>
      <c r="R40" s="774" t="s">
        <v>17</v>
      </c>
      <c r="S40" s="775">
        <f t="shared" si="12"/>
        <v>100</v>
      </c>
      <c r="T40" s="774" t="s">
        <v>17</v>
      </c>
      <c r="U40" s="775">
        <f t="shared" si="13"/>
        <v>100</v>
      </c>
      <c r="V40" s="774" t="s">
        <v>17</v>
      </c>
      <c r="W40" s="775">
        <f t="shared" si="14"/>
        <v>100</v>
      </c>
      <c r="X40" s="1812"/>
      <c r="Y40" s="3254"/>
      <c r="Z40" s="1813" t="str">
        <f t="shared" si="15"/>
        <v>单套建筑面积</v>
      </c>
      <c r="AA40" s="1810">
        <f t="shared" si="3"/>
        <v>1</v>
      </c>
      <c r="AB40" s="1810">
        <f t="shared" si="4"/>
        <v>1</v>
      </c>
      <c r="AC40" s="1810">
        <f t="shared" si="5"/>
        <v>1</v>
      </c>
    </row>
    <row r="41" spans="1:29" s="471" customFormat="1" ht="15">
      <c r="A41" s="468"/>
      <c r="B41" s="1811"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10">
        <f t="shared" si="3"/>
        <v>1</v>
      </c>
      <c r="AB41" s="1810">
        <f t="shared" si="4"/>
        <v>1</v>
      </c>
      <c r="AC41" s="1810">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2"/>
      <c r="Q42" s="1809" t="str">
        <f t="shared" si="11"/>
        <v>内部装修</v>
      </c>
      <c r="R42" s="774" t="s">
        <v>17</v>
      </c>
      <c r="S42" s="775">
        <f t="shared" si="12"/>
        <v>100</v>
      </c>
      <c r="T42" s="774" t="s">
        <v>17</v>
      </c>
      <c r="U42" s="775">
        <f t="shared" si="13"/>
        <v>100</v>
      </c>
      <c r="V42" s="774" t="s">
        <v>17</v>
      </c>
      <c r="W42" s="775">
        <f t="shared" si="14"/>
        <v>100</v>
      </c>
      <c r="X42" s="1812"/>
      <c r="Y42" s="3254"/>
      <c r="Z42" s="1813" t="str">
        <f t="shared" si="15"/>
        <v>内部装修</v>
      </c>
      <c r="AA42" s="1810">
        <f t="shared" si="3"/>
        <v>1</v>
      </c>
      <c r="AB42" s="1810">
        <f t="shared" si="4"/>
        <v>1</v>
      </c>
      <c r="AC42" s="1810">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2"/>
      <c r="Q43" s="1809" t="str">
        <f t="shared" si="11"/>
        <v>内部装修维护情况</v>
      </c>
      <c r="R43" s="774" t="s">
        <v>17</v>
      </c>
      <c r="S43" s="775">
        <f t="shared" si="12"/>
        <v>100</v>
      </c>
      <c r="T43" s="774" t="s">
        <v>17</v>
      </c>
      <c r="U43" s="775">
        <f t="shared" si="13"/>
        <v>100</v>
      </c>
      <c r="V43" s="774" t="s">
        <v>17</v>
      </c>
      <c r="W43" s="775">
        <f t="shared" si="14"/>
        <v>100</v>
      </c>
      <c r="X43" s="1812"/>
      <c r="Y43" s="325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2"/>
      <c r="Q44" s="1794">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2"/>
      <c r="Q45" s="1809">
        <f t="shared" si="11"/>
        <v>111</v>
      </c>
      <c r="R45" s="774" t="s">
        <v>17</v>
      </c>
      <c r="S45" s="775">
        <f t="shared" si="12"/>
        <v>100</v>
      </c>
      <c r="T45" s="774" t="s">
        <v>17</v>
      </c>
      <c r="U45" s="775">
        <f t="shared" si="13"/>
        <v>100</v>
      </c>
      <c r="V45" s="774" t="s">
        <v>17</v>
      </c>
      <c r="W45" s="775">
        <f t="shared" si="14"/>
        <v>100</v>
      </c>
      <c r="X45" s="1812"/>
      <c r="Y45" s="3254"/>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3"/>
      <c r="Q46" s="1809">
        <f t="shared" si="11"/>
        <v>111</v>
      </c>
      <c r="R46" s="774" t="s">
        <v>17</v>
      </c>
      <c r="S46" s="775">
        <f t="shared" si="12"/>
        <v>100</v>
      </c>
      <c r="T46" s="774" t="s">
        <v>17</v>
      </c>
      <c r="U46" s="775">
        <f t="shared" si="13"/>
        <v>100</v>
      </c>
      <c r="V46" s="774" t="s">
        <v>17</v>
      </c>
      <c r="W46" s="775">
        <f t="shared" si="14"/>
        <v>100</v>
      </c>
      <c r="X46" s="1812"/>
      <c r="Y46" s="3255"/>
      <c r="Z46" s="1813">
        <f t="shared" si="15"/>
        <v>111</v>
      </c>
      <c r="AA46" s="1810">
        <f t="shared" si="3"/>
        <v>1</v>
      </c>
      <c r="AB46" s="1810">
        <f t="shared" si="4"/>
        <v>1</v>
      </c>
      <c r="AC46" s="1810">
        <f t="shared" si="5"/>
        <v>1</v>
      </c>
    </row>
    <row r="47" spans="1:29" ht="15">
      <c r="A47" s="479" t="s">
        <v>2559</v>
      </c>
      <c r="B47" s="480"/>
      <c r="C47" s="1406" t="s">
        <v>1</v>
      </c>
      <c r="D47" s="1407"/>
      <c r="E47" s="1408"/>
      <c r="F47" s="1409"/>
      <c r="G47" s="1410"/>
      <c r="H47" s="1411"/>
      <c r="I47" s="1408"/>
      <c r="J47" s="1411"/>
      <c r="K47" s="783"/>
      <c r="L47" s="1143"/>
      <c r="M47" s="1144"/>
      <c r="N47" s="1131"/>
      <c r="O47" s="1144"/>
      <c r="P47" s="3247" t="str">
        <f>A47</f>
        <v>成交单价（元/平方米）</v>
      </c>
      <c r="Q47" s="3247"/>
      <c r="R47" s="3278">
        <f>E47</f>
        <v>0</v>
      </c>
      <c r="S47" s="3278"/>
      <c r="T47" s="3278">
        <f>G47</f>
        <v>0</v>
      </c>
      <c r="U47" s="3278"/>
      <c r="V47" s="3278">
        <f>I47</f>
        <v>0</v>
      </c>
      <c r="W47" s="3278"/>
      <c r="X47" s="759"/>
      <c r="Y47" s="781"/>
      <c r="Z47" s="759"/>
      <c r="AA47" s="759"/>
      <c r="AB47" s="759"/>
      <c r="AC47" s="759"/>
    </row>
    <row r="48" spans="1:29" ht="15.75" thickBot="1">
      <c r="A48" s="486" t="s">
        <v>2651</v>
      </c>
      <c r="B48" s="487"/>
      <c r="C48" s="1412" t="e">
        <f>R49</f>
        <v>#DIV/0!</v>
      </c>
      <c r="D48" s="1413"/>
      <c r="E48" s="1414" t="e">
        <f>R48</f>
        <v>#DIV/0!</v>
      </c>
      <c r="F48" s="1414"/>
      <c r="G48" s="1412" t="e">
        <f>T48</f>
        <v>#DIV/0!</v>
      </c>
      <c r="H48" s="1413"/>
      <c r="I48" s="1414" t="e">
        <f>V48</f>
        <v>#DIV/0!</v>
      </c>
      <c r="J48" s="1413"/>
      <c r="K48" s="784"/>
      <c r="L48" s="1143"/>
      <c r="M48" s="1144"/>
      <c r="N48" s="1131"/>
      <c r="O48" s="1144"/>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2652</v>
      </c>
      <c r="B49" s="493"/>
      <c r="C49" s="1416" t="e">
        <f>R49</f>
        <v>#DIV/0!</v>
      </c>
      <c r="D49" s="1416"/>
      <c r="E49" s="1416"/>
      <c r="F49" s="1416"/>
      <c r="G49" s="1416"/>
      <c r="H49" s="1416"/>
      <c r="I49" s="1416"/>
      <c r="J49" s="1416"/>
      <c r="K49" s="785"/>
      <c r="L49" s="1143"/>
      <c r="M49" s="1144"/>
      <c r="N49" s="1131"/>
      <c r="O49" s="1144"/>
      <c r="P49" s="3244" t="str">
        <f>A49</f>
        <v>估价对象XX用房的比较价值（楼面单价，元/平方米）</v>
      </c>
      <c r="Q49" s="3245"/>
      <c r="R49" s="3246" t="e">
        <f>IF(F1="售价",ROUND(AVERAGE(R48:V48),0),ROUND(AVERAGE(R48:V48),1))</f>
        <v>#DIV/0!</v>
      </c>
      <c r="S49" s="3246"/>
      <c r="T49" s="3246"/>
      <c r="U49" s="3246"/>
      <c r="V49" s="3246"/>
      <c r="W49" s="324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2530</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2545</v>
      </c>
      <c r="B100" s="528" t="s">
        <v>2663</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2598</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2600</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2666</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2667</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1597</v>
      </c>
    </row>
    <row r="2" spans="1:1">
      <c r="A2" s="1945"/>
    </row>
    <row r="3" spans="1:1" ht="18">
      <c r="A3" s="1946" t="str">
        <f>项目基本情况!B5&amp;"："</f>
        <v>北京兴基伟业投资管理有限公司：</v>
      </c>
    </row>
    <row r="4" spans="1:1" ht="36">
      <c r="A4" s="1947" t="str">
        <f>"受贵公司委托，我公司对"&amp;项目基本情况!S1&amp;"进行了预评估。"</f>
        <v>受贵公司委托，我公司对北京市北京经济技术开发区荣华南路12号1幢房地产抵押价值进行了预评估。</v>
      </c>
    </row>
    <row r="5" spans="1:1" ht="18.75">
      <c r="A5" s="1948" t="s">
        <v>1598</v>
      </c>
    </row>
    <row r="6" spans="1:1" ht="18.75">
      <c r="A6" s="1949" t="s">
        <v>1599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1" ht="57.75">
      <c r="A8" s="1950" t="s">
        <v>1600</v>
      </c>
    </row>
    <row r="9" spans="1:1" ht="18.75">
      <c r="A9" s="1949" t="s">
        <v>1601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1" spans="1:1" ht="76.5">
      <c r="A11" s="1950" t="s">
        <v>1602</v>
      </c>
    </row>
    <row r="12" spans="1:1" ht="18.75">
      <c r="A12" s="1948" t="s">
        <v>1603</v>
      </c>
    </row>
    <row r="13" spans="1:1" ht="38.25" customHeight="1">
      <c r="A13" s="1951" t="str">
        <f>IF(项目基本情况!B8="抵押",IF(项目基本情况!B5=项目基本情况!B6,定义!C51,定义!B51),定义!D51)</f>
        <v>为估价委托人在向工商银行开发区支行办理贷款手续过程中，确定房地产抵押贷款额度提供参考依据而评估房地产抵押价值。</v>
      </c>
    </row>
    <row r="14" spans="1:1" ht="18.75">
      <c r="A14" s="1952" t="s">
        <v>1604</v>
      </c>
    </row>
    <row r="15" spans="1:1" ht="18">
      <c r="A15" s="1953" t="str">
        <f>TEXT(项目基本情况!D3,"yyyy年m月d日;;")&amp;IF(项目基本情况!D3=项目基本情况!B3,"（评估专业人员实地查勘之日）","")</f>
        <v>2019年5月20日（评估专业人员实地查勘之日）</v>
      </c>
    </row>
    <row r="16" spans="1:1" ht="18.75">
      <c r="A16" s="1952" t="s">
        <v>1605</v>
      </c>
    </row>
    <row r="17" spans="1:1" ht="75">
      <c r="A17" s="1947" t="s">
        <v>1606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1595</v>
      </c>
    </row>
    <row r="24" spans="1:1" ht="18">
      <c r="A24" s="1954" t="str">
        <f>"本次评估采用的主估价方法为"&amp;结果表!K4&amp;"和"&amp;结果表!L4&amp;"。"</f>
        <v>本次评估采用的主估价方法为成本法和收益法。</v>
      </c>
    </row>
    <row r="25" spans="1:1" ht="18">
      <c r="A25" s="1954"/>
    </row>
    <row r="26" spans="1:1" ht="18.75">
      <c r="A26" s="1955" t="s">
        <v>1596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2668</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IF(C2="——",ROUND(C50*D3/10000,0),ROUND(C50*D3/10000,0)-D2)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IF(C2="——",C50,ROUND(B2*10000/D3,0))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96" t="s">
        <v>2633</v>
      </c>
      <c r="Q4" s="3297"/>
      <c r="R4" s="3300" t="s">
        <v>2629</v>
      </c>
      <c r="S4" s="3301"/>
      <c r="T4" s="3300" t="s">
        <v>2630</v>
      </c>
      <c r="U4" s="3301"/>
      <c r="V4" s="3302" t="s">
        <v>2631</v>
      </c>
      <c r="W4" s="3302"/>
      <c r="X4" s="2670"/>
      <c r="Y4" s="3300" t="s">
        <v>2633</v>
      </c>
      <c r="Z4" s="3301"/>
      <c r="AA4" s="3304" t="s">
        <v>2629</v>
      </c>
      <c r="AB4" s="3304" t="s">
        <v>2630</v>
      </c>
      <c r="AC4" s="3293" t="s">
        <v>2631</v>
      </c>
    </row>
    <row r="5" spans="1:29" ht="15">
      <c r="A5" s="404"/>
      <c r="B5" s="405"/>
      <c r="C5" s="3281" t="s">
        <v>2524</v>
      </c>
      <c r="D5" s="3282"/>
      <c r="E5" s="3288" t="s">
        <v>2525</v>
      </c>
      <c r="F5" s="3289"/>
      <c r="G5" s="3281" t="s">
        <v>2526</v>
      </c>
      <c r="H5" s="3282"/>
      <c r="I5" s="3281" t="s">
        <v>2527</v>
      </c>
      <c r="J5" s="3282"/>
      <c r="K5" s="610"/>
      <c r="L5" s="1130"/>
      <c r="M5" s="1131"/>
      <c r="N5" s="1131"/>
      <c r="O5" s="1131"/>
      <c r="P5" s="3298"/>
      <c r="Q5" s="3269"/>
      <c r="R5" s="3274"/>
      <c r="S5" s="3275"/>
      <c r="T5" s="3274"/>
      <c r="U5" s="3275"/>
      <c r="V5" s="3278"/>
      <c r="W5" s="3278"/>
      <c r="X5" s="1812"/>
      <c r="Y5" s="3274"/>
      <c r="Z5" s="3275"/>
      <c r="AA5" s="3260"/>
      <c r="AB5" s="3260"/>
      <c r="AC5" s="3294"/>
    </row>
    <row r="6" spans="1:29" ht="15.75" thickBot="1">
      <c r="A6" s="406"/>
      <c r="B6" s="407"/>
      <c r="C6" s="3279" t="s">
        <v>2528</v>
      </c>
      <c r="D6" s="3280"/>
      <c r="E6" s="3286" t="s">
        <v>2528</v>
      </c>
      <c r="F6" s="3287"/>
      <c r="G6" s="3279" t="s">
        <v>2528</v>
      </c>
      <c r="H6" s="3280"/>
      <c r="I6" s="3279" t="s">
        <v>2528</v>
      </c>
      <c r="J6" s="3280"/>
      <c r="K6" s="610" t="s">
        <v>2529</v>
      </c>
      <c r="L6" s="1130"/>
      <c r="M6" s="1131"/>
      <c r="N6" s="1131"/>
      <c r="O6" s="1131"/>
      <c r="P6" s="3299"/>
      <c r="Q6" s="3271"/>
      <c r="R6" s="3274"/>
      <c r="S6" s="3275"/>
      <c r="T6" s="3276"/>
      <c r="U6" s="3277"/>
      <c r="V6" s="3278"/>
      <c r="W6" s="3278"/>
      <c r="X6" s="1812"/>
      <c r="Y6" s="3276"/>
      <c r="Z6" s="3277"/>
      <c r="AA6" s="3261"/>
      <c r="AB6" s="3261"/>
      <c r="AC6" s="3295"/>
    </row>
    <row r="7" spans="1:29" s="117" customFormat="1" ht="15.75" thickBot="1">
      <c r="A7" s="408" t="s">
        <v>2530</v>
      </c>
      <c r="B7" s="409"/>
      <c r="C7" s="410">
        <f>'数据-取费表'!B2</f>
        <v>43605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3" t="s">
        <v>2531</v>
      </c>
      <c r="Q7" s="3285"/>
      <c r="R7" s="770" t="s">
        <v>17</v>
      </c>
      <c r="S7" s="771">
        <f t="shared" ref="S7:S15" si="0">F7</f>
        <v>0</v>
      </c>
      <c r="T7" s="770" t="s">
        <v>17</v>
      </c>
      <c r="U7" s="771">
        <f t="shared" ref="U7:U15" si="1">H7</f>
        <v>0</v>
      </c>
      <c r="V7" s="770" t="s">
        <v>17</v>
      </c>
      <c r="W7" s="771">
        <f t="shared" ref="W7:W15" si="2">J7</f>
        <v>0</v>
      </c>
      <c r="X7" s="772"/>
      <c r="Y7" s="3283" t="s">
        <v>2531</v>
      </c>
      <c r="Z7" s="3284"/>
      <c r="AA7" s="773" t="e">
        <f>D7/F7</f>
        <v>#DIV/0!</v>
      </c>
      <c r="AB7" s="773"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3" t="s">
        <v>2534</v>
      </c>
      <c r="Q8" s="3284"/>
      <c r="R8" s="770" t="s">
        <v>17</v>
      </c>
      <c r="S8" s="771">
        <f t="shared" si="0"/>
        <v>0</v>
      </c>
      <c r="T8" s="770" t="s">
        <v>17</v>
      </c>
      <c r="U8" s="771">
        <f t="shared" si="1"/>
        <v>0</v>
      </c>
      <c r="V8" s="770" t="s">
        <v>17</v>
      </c>
      <c r="W8" s="771">
        <f t="shared" si="2"/>
        <v>0</v>
      </c>
      <c r="X8" s="772"/>
      <c r="Y8" s="3283" t="s">
        <v>2534</v>
      </c>
      <c r="Z8" s="3284"/>
      <c r="AA8" s="773" t="e">
        <f t="shared" ref="AA8:AA47" si="3">D8/F8</f>
        <v>#DIV/0!</v>
      </c>
      <c r="AB8" s="773"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8"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8"/>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8"/>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58"/>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58"/>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58"/>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1">
        <f t="shared" si="5"/>
        <v>1</v>
      </c>
    </row>
    <row r="15" spans="1:29" ht="71.25">
      <c r="A15" s="440" t="s">
        <v>2541</v>
      </c>
      <c r="B15" s="629" t="s">
        <v>2669</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6" t="s">
        <v>2542</v>
      </c>
      <c r="Q15" s="1809" t="str">
        <f t="shared" si="6"/>
        <v>办公集聚程度</v>
      </c>
      <c r="R15" s="774" t="s">
        <v>17</v>
      </c>
      <c r="S15" s="775">
        <f t="shared" si="0"/>
        <v>100</v>
      </c>
      <c r="T15" s="774" t="s">
        <v>17</v>
      </c>
      <c r="U15" s="775">
        <f t="shared" si="1"/>
        <v>100</v>
      </c>
      <c r="V15" s="774" t="s">
        <v>17</v>
      </c>
      <c r="W15" s="775">
        <f t="shared" si="2"/>
        <v>100</v>
      </c>
      <c r="X15" s="1812"/>
      <c r="Y15" s="3249" t="s">
        <v>2542</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7"/>
      <c r="Q16" s="1809"/>
      <c r="R16" s="774"/>
      <c r="S16" s="775"/>
      <c r="T16" s="774"/>
      <c r="U16" s="775"/>
      <c r="V16" s="774"/>
      <c r="W16" s="775"/>
      <c r="X16" s="1812"/>
      <c r="Y16" s="3250"/>
      <c r="Z16" s="1813"/>
      <c r="AA16" s="1810">
        <v>1</v>
      </c>
      <c r="AB16" s="1810">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7"/>
      <c r="Q17" s="1809" t="str">
        <f>B17</f>
        <v>交通便捷度</v>
      </c>
      <c r="R17" s="774" t="s">
        <v>17</v>
      </c>
      <c r="S17" s="775">
        <f>F17</f>
        <v>100</v>
      </c>
      <c r="T17" s="774" t="s">
        <v>17</v>
      </c>
      <c r="U17" s="775">
        <f>H17</f>
        <v>100</v>
      </c>
      <c r="V17" s="774" t="s">
        <v>17</v>
      </c>
      <c r="W17" s="775">
        <f>J17</f>
        <v>100</v>
      </c>
      <c r="X17" s="1812"/>
      <c r="Y17" s="3250"/>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7"/>
      <c r="Q18" s="1809"/>
      <c r="R18" s="774"/>
      <c r="S18" s="775"/>
      <c r="T18" s="774"/>
      <c r="U18" s="775"/>
      <c r="V18" s="774"/>
      <c r="W18" s="775"/>
      <c r="X18" s="1812"/>
      <c r="Y18" s="3250"/>
      <c r="Z18" s="1813"/>
      <c r="AA18" s="1810">
        <v>1</v>
      </c>
      <c r="AB18" s="1810">
        <v>1</v>
      </c>
      <c r="AC18" s="2674">
        <v>1</v>
      </c>
    </row>
    <row r="19" spans="1:29" ht="42.75">
      <c r="A19" s="428"/>
      <c r="B19" s="631" t="s">
        <v>2670</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7"/>
      <c r="Q19" s="1809" t="str">
        <f>B19</f>
        <v>公共配套设施</v>
      </c>
      <c r="R19" s="774" t="s">
        <v>17</v>
      </c>
      <c r="S19" s="775">
        <f>F19</f>
        <v>100</v>
      </c>
      <c r="T19" s="774" t="s">
        <v>17</v>
      </c>
      <c r="U19" s="775">
        <f>H19</f>
        <v>100</v>
      </c>
      <c r="V19" s="774" t="s">
        <v>17</v>
      </c>
      <c r="W19" s="775">
        <f>J19</f>
        <v>100</v>
      </c>
      <c r="X19" s="1812"/>
      <c r="Y19" s="3250"/>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7"/>
      <c r="Q20" s="1809"/>
      <c r="R20" s="774"/>
      <c r="S20" s="775"/>
      <c r="T20" s="774"/>
      <c r="U20" s="775"/>
      <c r="V20" s="774"/>
      <c r="W20" s="775"/>
      <c r="X20" s="1812"/>
      <c r="Y20" s="3250"/>
      <c r="Z20" s="1813"/>
      <c r="AA20" s="1810">
        <v>1</v>
      </c>
      <c r="AB20" s="1810">
        <v>1</v>
      </c>
      <c r="AC20" s="2674">
        <v>1</v>
      </c>
    </row>
    <row r="21" spans="1:29" ht="28.5">
      <c r="A21" s="428"/>
      <c r="B21" s="633" t="s">
        <v>2671</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7"/>
      <c r="Q21" s="1809" t="str">
        <f>B21</f>
        <v>基础设施水平</v>
      </c>
      <c r="R21" s="774" t="s">
        <v>17</v>
      </c>
      <c r="S21" s="775">
        <f>F21</f>
        <v>100</v>
      </c>
      <c r="T21" s="774" t="s">
        <v>17</v>
      </c>
      <c r="U21" s="775">
        <f>H21</f>
        <v>100</v>
      </c>
      <c r="V21" s="774" t="s">
        <v>17</v>
      </c>
      <c r="W21" s="775">
        <f>J21</f>
        <v>100</v>
      </c>
      <c r="X21" s="1812"/>
      <c r="Y21" s="3250"/>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257"/>
      <c r="Q22" s="1809"/>
      <c r="R22" s="774"/>
      <c r="S22" s="775"/>
      <c r="T22" s="774"/>
      <c r="U22" s="775"/>
      <c r="V22" s="774"/>
      <c r="W22" s="775"/>
      <c r="X22" s="1812"/>
      <c r="Y22" s="3250"/>
      <c r="Z22" s="1813"/>
      <c r="AA22" s="1810">
        <v>1</v>
      </c>
      <c r="AB22" s="1810">
        <v>1</v>
      </c>
      <c r="AC22" s="2674">
        <v>1</v>
      </c>
    </row>
    <row r="23" spans="1:29" ht="42.75">
      <c r="A23" s="428"/>
      <c r="B23" s="631" t="s">
        <v>2672</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7"/>
      <c r="Q23" s="1809" t="str">
        <f>B23</f>
        <v>环境质量</v>
      </c>
      <c r="R23" s="774" t="s">
        <v>17</v>
      </c>
      <c r="S23" s="775">
        <f>F23</f>
        <v>100</v>
      </c>
      <c r="T23" s="774" t="s">
        <v>17</v>
      </c>
      <c r="U23" s="775">
        <f>H23</f>
        <v>100</v>
      </c>
      <c r="V23" s="774" t="s">
        <v>17</v>
      </c>
      <c r="W23" s="775">
        <f>J23</f>
        <v>100</v>
      </c>
      <c r="X23" s="1812"/>
      <c r="Y23" s="3250"/>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7"/>
      <c r="Q24" s="1809"/>
      <c r="R24" s="774"/>
      <c r="S24" s="775"/>
      <c r="T24" s="774"/>
      <c r="U24" s="775"/>
      <c r="V24" s="774"/>
      <c r="W24" s="775"/>
      <c r="X24" s="1812"/>
      <c r="Y24" s="3250"/>
      <c r="Z24" s="1813"/>
      <c r="AA24" s="1810">
        <v>1</v>
      </c>
      <c r="AB24" s="1810">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7"/>
      <c r="Q25" s="1809" t="str">
        <f>B25</f>
        <v>毗邻道路的类型与等级</v>
      </c>
      <c r="R25" s="774" t="s">
        <v>17</v>
      </c>
      <c r="S25" s="775">
        <f>F25</f>
        <v>100</v>
      </c>
      <c r="T25" s="774" t="s">
        <v>17</v>
      </c>
      <c r="U25" s="775">
        <f>H25</f>
        <v>100</v>
      </c>
      <c r="V25" s="774" t="s">
        <v>17</v>
      </c>
      <c r="W25" s="775">
        <f>J25</f>
        <v>100</v>
      </c>
      <c r="X25" s="1812"/>
      <c r="Y25" s="3250"/>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7"/>
      <c r="Q26" s="1809"/>
      <c r="R26" s="774"/>
      <c r="S26" s="775"/>
      <c r="T26" s="774"/>
      <c r="U26" s="775"/>
      <c r="V26" s="774"/>
      <c r="W26" s="775"/>
      <c r="X26" s="1812"/>
      <c r="Y26" s="3250"/>
      <c r="Z26" s="1813"/>
      <c r="AA26" s="1810">
        <v>1</v>
      </c>
      <c r="AB26" s="1810">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7"/>
      <c r="Q27" s="1809" t="str">
        <f t="shared" ref="Q27:Q47" si="11">B27</f>
        <v>楼层</v>
      </c>
      <c r="R27" s="774" t="s">
        <v>17</v>
      </c>
      <c r="S27" s="775">
        <f>F27</f>
        <v>100</v>
      </c>
      <c r="T27" s="774" t="s">
        <v>17</v>
      </c>
      <c r="U27" s="775">
        <f>H27</f>
        <v>100</v>
      </c>
      <c r="V27" s="774" t="s">
        <v>17</v>
      </c>
      <c r="W27" s="775">
        <f>J27</f>
        <v>100</v>
      </c>
      <c r="X27" s="1812"/>
      <c r="Y27" s="3250"/>
      <c r="Z27" s="1813" t="str">
        <f>Q27</f>
        <v>楼层</v>
      </c>
      <c r="AA27" s="1810">
        <f t="shared" si="3"/>
        <v>1</v>
      </c>
      <c r="AB27" s="1810">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7"/>
      <c r="Q28" s="1794" t="str">
        <f t="shared" si="11"/>
        <v>朝向</v>
      </c>
      <c r="R28" s="770" t="s">
        <v>17</v>
      </c>
      <c r="S28" s="771">
        <f>F28</f>
        <v>100</v>
      </c>
      <c r="T28" s="770" t="s">
        <v>17</v>
      </c>
      <c r="U28" s="771">
        <f>H28</f>
        <v>100</v>
      </c>
      <c r="V28" s="770" t="s">
        <v>17</v>
      </c>
      <c r="W28" s="771">
        <f>J28</f>
        <v>100</v>
      </c>
      <c r="X28" s="772"/>
      <c r="Y28" s="3250"/>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7"/>
      <c r="Q29" s="1809">
        <f t="shared" si="11"/>
        <v>111</v>
      </c>
      <c r="R29" s="774" t="s">
        <v>17</v>
      </c>
      <c r="S29" s="775">
        <f t="shared" ref="S29:S47" si="12">F29</f>
        <v>100</v>
      </c>
      <c r="T29" s="774" t="s">
        <v>17</v>
      </c>
      <c r="U29" s="775">
        <f t="shared" ref="U29:U47" si="13">H29</f>
        <v>100</v>
      </c>
      <c r="V29" s="774" t="s">
        <v>17</v>
      </c>
      <c r="W29" s="775">
        <f t="shared" ref="W29:W47" si="14">J29</f>
        <v>100</v>
      </c>
      <c r="X29" s="1812"/>
      <c r="Y29" s="3250"/>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7"/>
      <c r="Q30" s="1809">
        <f t="shared" si="11"/>
        <v>111</v>
      </c>
      <c r="R30" s="774" t="s">
        <v>17</v>
      </c>
      <c r="S30" s="775">
        <f t="shared" si="12"/>
        <v>100</v>
      </c>
      <c r="T30" s="774" t="s">
        <v>17</v>
      </c>
      <c r="U30" s="775">
        <f t="shared" si="13"/>
        <v>100</v>
      </c>
      <c r="V30" s="774" t="s">
        <v>17</v>
      </c>
      <c r="W30" s="775">
        <f t="shared" si="14"/>
        <v>100</v>
      </c>
      <c r="X30" s="1812"/>
      <c r="Y30" s="3250"/>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7"/>
      <c r="Q31" s="1809">
        <f t="shared" si="11"/>
        <v>111</v>
      </c>
      <c r="R31" s="774" t="s">
        <v>17</v>
      </c>
      <c r="S31" s="775">
        <f t="shared" si="12"/>
        <v>100</v>
      </c>
      <c r="T31" s="774" t="s">
        <v>17</v>
      </c>
      <c r="U31" s="775">
        <f t="shared" si="13"/>
        <v>100</v>
      </c>
      <c r="V31" s="774" t="s">
        <v>17</v>
      </c>
      <c r="W31" s="775">
        <f t="shared" si="14"/>
        <v>100</v>
      </c>
      <c r="X31" s="1812"/>
      <c r="Y31" s="3250"/>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7"/>
      <c r="Q32" s="1809">
        <f t="shared" si="11"/>
        <v>111</v>
      </c>
      <c r="R32" s="774" t="s">
        <v>17</v>
      </c>
      <c r="S32" s="775">
        <f t="shared" si="12"/>
        <v>100</v>
      </c>
      <c r="T32" s="774" t="s">
        <v>17</v>
      </c>
      <c r="U32" s="775">
        <f t="shared" si="13"/>
        <v>100</v>
      </c>
      <c r="V32" s="774" t="s">
        <v>17</v>
      </c>
      <c r="W32" s="775">
        <f t="shared" si="14"/>
        <v>100</v>
      </c>
      <c r="X32" s="1812"/>
      <c r="Y32" s="3250"/>
      <c r="Z32" s="1813">
        <f t="shared" si="15"/>
        <v>111</v>
      </c>
      <c r="AA32" s="1810">
        <f t="shared" si="3"/>
        <v>1</v>
      </c>
      <c r="AB32" s="1810">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1" t="s">
        <v>2547</v>
      </c>
      <c r="Q33" s="1809" t="str">
        <f t="shared" si="11"/>
        <v>建筑类型</v>
      </c>
      <c r="R33" s="774" t="s">
        <v>17</v>
      </c>
      <c r="S33" s="775">
        <f t="shared" si="12"/>
        <v>100</v>
      </c>
      <c r="T33" s="774" t="s">
        <v>17</v>
      </c>
      <c r="U33" s="775">
        <f t="shared" si="13"/>
        <v>100</v>
      </c>
      <c r="V33" s="774" t="s">
        <v>17</v>
      </c>
      <c r="W33" s="775">
        <f t="shared" si="14"/>
        <v>100</v>
      </c>
      <c r="X33" s="1812"/>
      <c r="Y33" s="3254" t="s">
        <v>2547</v>
      </c>
      <c r="Z33" s="1813" t="str">
        <f t="shared" si="15"/>
        <v>建筑类型</v>
      </c>
      <c r="AA33" s="1810">
        <f t="shared" si="3"/>
        <v>1</v>
      </c>
      <c r="AB33" s="1810">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2"/>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10" t="e">
        <f t="shared" si="3"/>
        <v>#N/A</v>
      </c>
      <c r="AB34" s="1810"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2"/>
      <c r="Q35" s="1809" t="str">
        <f t="shared" si="11"/>
        <v>建筑结构</v>
      </c>
      <c r="R35" s="774" t="s">
        <v>17</v>
      </c>
      <c r="S35" s="775">
        <f t="shared" si="12"/>
        <v>100</v>
      </c>
      <c r="T35" s="774" t="s">
        <v>17</v>
      </c>
      <c r="U35" s="775">
        <f t="shared" si="13"/>
        <v>100</v>
      </c>
      <c r="V35" s="774" t="s">
        <v>17</v>
      </c>
      <c r="W35" s="775">
        <f t="shared" si="14"/>
        <v>100</v>
      </c>
      <c r="X35" s="1812"/>
      <c r="Y35" s="3254"/>
      <c r="Z35" s="1813" t="str">
        <f t="shared" si="15"/>
        <v>建筑结构</v>
      </c>
      <c r="AA35" s="1810">
        <f t="shared" si="3"/>
        <v>1</v>
      </c>
      <c r="AB35" s="1810">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2"/>
      <c r="Q36" s="1809" t="str">
        <f t="shared" si="11"/>
        <v>公共部分装修</v>
      </c>
      <c r="R36" s="774" t="s">
        <v>17</v>
      </c>
      <c r="S36" s="775">
        <f t="shared" si="12"/>
        <v>100</v>
      </c>
      <c r="T36" s="774" t="s">
        <v>17</v>
      </c>
      <c r="U36" s="775">
        <f t="shared" si="13"/>
        <v>100</v>
      </c>
      <c r="V36" s="774" t="s">
        <v>17</v>
      </c>
      <c r="W36" s="775">
        <f t="shared" si="14"/>
        <v>100</v>
      </c>
      <c r="X36" s="1812"/>
      <c r="Y36" s="3254"/>
      <c r="Z36" s="1813" t="str">
        <f t="shared" si="15"/>
        <v>公共部分装修</v>
      </c>
      <c r="AA36" s="1810">
        <f t="shared" si="3"/>
        <v>1</v>
      </c>
      <c r="AB36" s="1810">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2"/>
      <c r="Q37" s="1809" t="str">
        <f t="shared" si="11"/>
        <v>成新度</v>
      </c>
      <c r="R37" s="774" t="s">
        <v>17</v>
      </c>
      <c r="S37" s="775" t="e">
        <f t="shared" si="12"/>
        <v>#N/A</v>
      </c>
      <c r="T37" s="774" t="s">
        <v>17</v>
      </c>
      <c r="U37" s="775" t="e">
        <f t="shared" si="13"/>
        <v>#N/A</v>
      </c>
      <c r="V37" s="774" t="s">
        <v>17</v>
      </c>
      <c r="W37" s="775" t="e">
        <f t="shared" si="14"/>
        <v>#N/A</v>
      </c>
      <c r="X37" s="1812"/>
      <c r="Y37" s="3254"/>
      <c r="Z37" s="1813" t="str">
        <f t="shared" si="15"/>
        <v>成新度</v>
      </c>
      <c r="AA37" s="1810" t="e">
        <f t="shared" si="3"/>
        <v>#N/A</v>
      </c>
      <c r="AB37" s="1810"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2"/>
      <c r="Q38" s="1794"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2" t="s">
        <v>2547</v>
      </c>
      <c r="Q39" s="1809" t="str">
        <f t="shared" si="11"/>
        <v>物业管理</v>
      </c>
      <c r="R39" s="774" t="s">
        <v>17</v>
      </c>
      <c r="S39" s="775">
        <f t="shared" si="12"/>
        <v>100</v>
      </c>
      <c r="T39" s="774" t="s">
        <v>17</v>
      </c>
      <c r="U39" s="775">
        <f t="shared" si="13"/>
        <v>100</v>
      </c>
      <c r="V39" s="774" t="s">
        <v>17</v>
      </c>
      <c r="W39" s="775">
        <f t="shared" si="14"/>
        <v>100</v>
      </c>
      <c r="X39" s="1812"/>
      <c r="Y39" s="3254" t="s">
        <v>2547</v>
      </c>
      <c r="Z39" s="1813" t="str">
        <f t="shared" si="15"/>
        <v>物业管理</v>
      </c>
      <c r="AA39" s="1810">
        <f t="shared" si="3"/>
        <v>1</v>
      </c>
      <c r="AB39" s="1810">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2"/>
      <c r="Q40" s="1809" t="str">
        <f t="shared" si="11"/>
        <v>市政基础设施</v>
      </c>
      <c r="R40" s="774" t="s">
        <v>17</v>
      </c>
      <c r="S40" s="775">
        <f t="shared" si="12"/>
        <v>100</v>
      </c>
      <c r="T40" s="774" t="s">
        <v>17</v>
      </c>
      <c r="U40" s="775">
        <f t="shared" si="13"/>
        <v>100</v>
      </c>
      <c r="V40" s="774" t="s">
        <v>17</v>
      </c>
      <c r="W40" s="775">
        <f t="shared" si="14"/>
        <v>100</v>
      </c>
      <c r="X40" s="1812"/>
      <c r="Y40" s="3254"/>
      <c r="Z40" s="1813" t="str">
        <f t="shared" si="15"/>
        <v>市政基础设施</v>
      </c>
      <c r="AA40" s="1810">
        <f t="shared" si="3"/>
        <v>1</v>
      </c>
      <c r="AB40" s="1810">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2"/>
      <c r="Q41" s="1809" t="str">
        <f t="shared" si="11"/>
        <v>层高</v>
      </c>
      <c r="R41" s="774" t="s">
        <v>17</v>
      </c>
      <c r="S41" s="775">
        <f t="shared" si="12"/>
        <v>100</v>
      </c>
      <c r="T41" s="774" t="s">
        <v>17</v>
      </c>
      <c r="U41" s="775">
        <f t="shared" si="13"/>
        <v>100</v>
      </c>
      <c r="V41" s="774" t="s">
        <v>17</v>
      </c>
      <c r="W41" s="775">
        <f t="shared" si="14"/>
        <v>100</v>
      </c>
      <c r="X41" s="1812"/>
      <c r="Y41" s="3254"/>
      <c r="Z41" s="1813" t="str">
        <f t="shared" si="15"/>
        <v>层高</v>
      </c>
      <c r="AA41" s="1810">
        <f t="shared" si="3"/>
        <v>1</v>
      </c>
      <c r="AB41" s="1810">
        <f t="shared" si="4"/>
        <v>1</v>
      </c>
      <c r="AC41" s="2674">
        <f t="shared" si="5"/>
        <v>1</v>
      </c>
    </row>
    <row r="42" spans="1:29" s="471" customFormat="1" ht="15">
      <c r="A42" s="468"/>
      <c r="B42" s="1811"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10">
        <f t="shared" si="3"/>
        <v>1</v>
      </c>
      <c r="AB42" s="1810">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2"/>
      <c r="Q43" s="1809" t="str">
        <f t="shared" si="11"/>
        <v>内部装修</v>
      </c>
      <c r="R43" s="774" t="s">
        <v>17</v>
      </c>
      <c r="S43" s="775">
        <f t="shared" si="12"/>
        <v>100</v>
      </c>
      <c r="T43" s="774" t="s">
        <v>17</v>
      </c>
      <c r="U43" s="775">
        <f t="shared" si="13"/>
        <v>100</v>
      </c>
      <c r="V43" s="774" t="s">
        <v>17</v>
      </c>
      <c r="W43" s="775">
        <f t="shared" si="14"/>
        <v>100</v>
      </c>
      <c r="X43" s="1812"/>
      <c r="Y43" s="3254"/>
      <c r="Z43" s="1813" t="str">
        <f t="shared" si="15"/>
        <v>内部装修</v>
      </c>
      <c r="AA43" s="1810">
        <f t="shared" si="3"/>
        <v>1</v>
      </c>
      <c r="AB43" s="1810">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2"/>
      <c r="Q44" s="1809" t="str">
        <f t="shared" si="11"/>
        <v>内部装修维护情况</v>
      </c>
      <c r="R44" s="774" t="s">
        <v>17</v>
      </c>
      <c r="S44" s="775">
        <f t="shared" si="12"/>
        <v>100</v>
      </c>
      <c r="T44" s="774" t="s">
        <v>17</v>
      </c>
      <c r="U44" s="775">
        <f t="shared" si="13"/>
        <v>100</v>
      </c>
      <c r="V44" s="774" t="s">
        <v>17</v>
      </c>
      <c r="W44" s="775">
        <f t="shared" si="14"/>
        <v>100</v>
      </c>
      <c r="X44" s="1812"/>
      <c r="Y44" s="3254"/>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2"/>
      <c r="Q45" s="1794">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2"/>
      <c r="Q46" s="1809">
        <f t="shared" si="11"/>
        <v>111</v>
      </c>
      <c r="R46" s="774" t="s">
        <v>17</v>
      </c>
      <c r="S46" s="775">
        <f t="shared" si="12"/>
        <v>100</v>
      </c>
      <c r="T46" s="774" t="s">
        <v>17</v>
      </c>
      <c r="U46" s="775">
        <f t="shared" si="13"/>
        <v>100</v>
      </c>
      <c r="V46" s="774" t="s">
        <v>17</v>
      </c>
      <c r="W46" s="775">
        <f t="shared" si="14"/>
        <v>100</v>
      </c>
      <c r="X46" s="1812"/>
      <c r="Y46" s="3254"/>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3"/>
      <c r="Q47" s="1809">
        <f t="shared" si="11"/>
        <v>111</v>
      </c>
      <c r="R47" s="774" t="s">
        <v>17</v>
      </c>
      <c r="S47" s="775">
        <f t="shared" si="12"/>
        <v>100</v>
      </c>
      <c r="T47" s="774" t="s">
        <v>17</v>
      </c>
      <c r="U47" s="775">
        <f t="shared" si="13"/>
        <v>100</v>
      </c>
      <c r="V47" s="774" t="s">
        <v>17</v>
      </c>
      <c r="W47" s="775">
        <f t="shared" si="14"/>
        <v>100</v>
      </c>
      <c r="X47" s="1812"/>
      <c r="Y47" s="3255"/>
      <c r="Z47" s="1813">
        <f t="shared" si="15"/>
        <v>111</v>
      </c>
      <c r="AA47" s="1810">
        <f t="shared" si="3"/>
        <v>1</v>
      </c>
      <c r="AB47" s="1810">
        <f t="shared" si="4"/>
        <v>1</v>
      </c>
      <c r="AC47" s="2674">
        <f t="shared" si="5"/>
        <v>1</v>
      </c>
    </row>
    <row r="48" spans="1:29" ht="15">
      <c r="A48" s="479" t="s">
        <v>2559</v>
      </c>
      <c r="B48" s="480"/>
      <c r="C48" s="1406" t="s">
        <v>1</v>
      </c>
      <c r="D48" s="1407"/>
      <c r="E48" s="1408"/>
      <c r="F48" s="1409"/>
      <c r="G48" s="1410"/>
      <c r="H48" s="1411"/>
      <c r="I48" s="1408"/>
      <c r="J48" s="485"/>
      <c r="K48" s="783"/>
      <c r="L48" s="1143"/>
      <c r="M48" s="1131"/>
      <c r="N48" s="1131"/>
      <c r="O48" s="1131"/>
      <c r="P48" s="3258" t="str">
        <f>A48</f>
        <v>成交单价（元/平方米）</v>
      </c>
      <c r="Q48" s="3247"/>
      <c r="R48" s="3248">
        <f>E48</f>
        <v>0</v>
      </c>
      <c r="S48" s="3248"/>
      <c r="T48" s="3248">
        <f>G48</f>
        <v>0</v>
      </c>
      <c r="U48" s="3248"/>
      <c r="V48" s="3248">
        <f>I48</f>
        <v>0</v>
      </c>
      <c r="W48" s="3248"/>
      <c r="X48" s="446"/>
      <c r="Y48" s="781"/>
      <c r="Z48" s="446"/>
      <c r="AA48" s="446"/>
      <c r="AB48" s="446"/>
      <c r="AC48" s="630"/>
    </row>
    <row r="49" spans="1:29" ht="15.75" thickBot="1">
      <c r="A49" s="486" t="s">
        <v>2651</v>
      </c>
      <c r="B49" s="487"/>
      <c r="C49" s="1412" t="e">
        <f>R50</f>
        <v>#DIV/0!</v>
      </c>
      <c r="D49" s="1413"/>
      <c r="E49" s="1414" t="e">
        <f>R49</f>
        <v>#DIV/0!</v>
      </c>
      <c r="F49" s="1414"/>
      <c r="G49" s="1412" t="e">
        <f>T49</f>
        <v>#DIV/0!</v>
      </c>
      <c r="H49" s="1413"/>
      <c r="I49" s="1414" t="e">
        <f>V49</f>
        <v>#DIV/0!</v>
      </c>
      <c r="J49" s="489"/>
      <c r="K49" s="784"/>
      <c r="L49" s="1143"/>
      <c r="M49" s="1131"/>
      <c r="N49" s="1131"/>
      <c r="O49" s="1131"/>
      <c r="P49" s="3258"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2652</v>
      </c>
      <c r="B50" s="493"/>
      <c r="C50" s="1416" t="e">
        <f>R50</f>
        <v>#DIV/0!</v>
      </c>
      <c r="D50" s="1416"/>
      <c r="E50" s="1416"/>
      <c r="F50" s="1416"/>
      <c r="G50" s="1416"/>
      <c r="H50" s="1416"/>
      <c r="I50" s="1416"/>
      <c r="J50" s="494"/>
      <c r="K50" s="785"/>
      <c r="L50" s="1143"/>
      <c r="M50" s="1131"/>
      <c r="N50" s="1131"/>
      <c r="O50" s="1131"/>
      <c r="P50" s="3290" t="str">
        <f>A50</f>
        <v>估价对象XX用房的比较价值（楼面单价，元/平方米）</v>
      </c>
      <c r="Q50" s="3291"/>
      <c r="R50" s="3292" t="e">
        <f>IF(F1="售价",ROUND(AVERAGE(R49:V49),0),ROUND(AVERAGE(R49:V49),1))</f>
        <v>#DIV/0!</v>
      </c>
      <c r="S50" s="3292"/>
      <c r="T50" s="3292"/>
      <c r="U50" s="3292"/>
      <c r="V50" s="3292"/>
      <c r="W50" s="329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2656</v>
      </c>
      <c r="B58" s="759"/>
      <c r="C58" s="764"/>
      <c r="D58" s="764"/>
      <c r="E58" s="764"/>
      <c r="F58" s="765"/>
      <c r="G58" s="765"/>
      <c r="H58" s="764"/>
      <c r="I58" s="764"/>
      <c r="J58" s="764"/>
      <c r="K58" s="766"/>
      <c r="L58" s="1161"/>
      <c r="M58" s="1159"/>
      <c r="N58" s="1159"/>
      <c r="O58" s="1159"/>
      <c r="P58" s="2681"/>
      <c r="Q58" s="504"/>
    </row>
    <row r="59" spans="1:29" s="508" customFormat="1" ht="15">
      <c r="A59" s="505" t="s">
        <v>2530</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2570</v>
      </c>
      <c r="B64" s="528" t="s">
        <v>2536</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2681</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2545</v>
      </c>
      <c r="B101" s="528" t="s">
        <v>2594</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2596</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2598</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2682</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2599</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2600</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2683</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2666</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2602</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2684</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IF(C2="——",ROUND(C43*D3/10000,0),ROUND(C43*D3/10000,0)-D2)</f>
        <v>#DIV/0!</v>
      </c>
      <c r="C2" s="2586"/>
      <c r="D2" s="112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2311</v>
      </c>
      <c r="B3" s="609" t="e">
        <f ca="1">IF(C2="——",C43,ROUND(B2*10000/D3,0))</f>
        <v>#DIV/0!</v>
      </c>
      <c r="C3" s="400" t="s">
        <v>2626</v>
      </c>
      <c r="D3" s="399">
        <f>IF(D1="",'数据-汇总表'!E3,SUMIF('数据-汇总表'!$C19:$C33,D1,'数据-汇总表'!$E19:$E33))</f>
        <v>55990.490000000005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60" t="s">
        <v>2630</v>
      </c>
      <c r="AC4" s="3259" t="s">
        <v>2631</v>
      </c>
    </row>
    <row r="5" spans="1:29"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60"/>
      <c r="AC5" s="3260"/>
    </row>
    <row r="6" spans="1:29" ht="15.75" thickBot="1">
      <c r="A6" s="406"/>
      <c r="B6" s="407"/>
      <c r="C6" s="3279" t="s">
        <v>2528</v>
      </c>
      <c r="D6" s="3280"/>
      <c r="E6" s="3286" t="s">
        <v>2528</v>
      </c>
      <c r="F6" s="3287"/>
      <c r="G6" s="3279" t="s">
        <v>2528</v>
      </c>
      <c r="H6" s="3280"/>
      <c r="I6" s="3279" t="s">
        <v>2528</v>
      </c>
      <c r="J6" s="3280"/>
      <c r="K6" s="610" t="s">
        <v>2529</v>
      </c>
      <c r="L6" s="1130"/>
      <c r="M6" s="1131"/>
      <c r="N6" s="1131"/>
      <c r="O6" s="1131"/>
      <c r="P6" s="3270"/>
      <c r="Q6" s="3271"/>
      <c r="R6" s="3274"/>
      <c r="S6" s="3275"/>
      <c r="T6" s="3276"/>
      <c r="U6" s="3277"/>
      <c r="V6" s="3278"/>
      <c r="W6" s="3278"/>
      <c r="X6" s="1812"/>
      <c r="Y6" s="3276"/>
      <c r="Z6" s="3277"/>
      <c r="AA6" s="3261"/>
      <c r="AB6" s="3261"/>
      <c r="AC6" s="3261"/>
    </row>
    <row r="7" spans="1:29" s="117" customFormat="1" ht="15.75" thickBot="1">
      <c r="A7" s="408" t="s">
        <v>2530</v>
      </c>
      <c r="B7" s="409"/>
      <c r="C7" s="410">
        <f>'数据-取费表'!B2</f>
        <v>43605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3" t="s">
        <v>2531</v>
      </c>
      <c r="Q7" s="3285"/>
      <c r="R7" s="770" t="s">
        <v>17</v>
      </c>
      <c r="S7" s="771">
        <f t="shared" ref="S7:S15" si="0">F7</f>
        <v>0</v>
      </c>
      <c r="T7" s="770" t="s">
        <v>17</v>
      </c>
      <c r="U7" s="771">
        <f t="shared" ref="U7:U15" si="1">H7</f>
        <v>0</v>
      </c>
      <c r="V7" s="770" t="s">
        <v>17</v>
      </c>
      <c r="W7" s="771">
        <f t="shared" ref="W7:W15" si="2">J7</f>
        <v>0</v>
      </c>
      <c r="X7" s="772"/>
      <c r="Y7" s="3283" t="s">
        <v>2531</v>
      </c>
      <c r="Z7" s="3284"/>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7"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7"/>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7"/>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47"/>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47"/>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47"/>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2541</v>
      </c>
      <c r="B15" s="69" t="s">
        <v>2685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9" t="s">
        <v>2542</v>
      </c>
      <c r="Q15" s="1809" t="str">
        <f t="shared" si="6"/>
        <v>产业集聚程度</v>
      </c>
      <c r="R15" s="774" t="s">
        <v>17</v>
      </c>
      <c r="S15" s="775">
        <f t="shared" si="0"/>
        <v>100</v>
      </c>
      <c r="T15" s="774" t="s">
        <v>17</v>
      </c>
      <c r="U15" s="775">
        <f t="shared" si="1"/>
        <v>100</v>
      </c>
      <c r="V15" s="774" t="s">
        <v>17</v>
      </c>
      <c r="W15" s="775">
        <f t="shared" si="2"/>
        <v>100</v>
      </c>
      <c r="X15" s="1812"/>
      <c r="Y15" s="3249" t="s">
        <v>2542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0"/>
      <c r="Q16" s="1809"/>
      <c r="R16" s="774"/>
      <c r="S16" s="775"/>
      <c r="T16" s="774"/>
      <c r="U16" s="775"/>
      <c r="V16" s="774"/>
      <c r="W16" s="775"/>
      <c r="X16" s="1812"/>
      <c r="Y16" s="3250"/>
      <c r="Z16" s="1813"/>
      <c r="AA16" s="1810">
        <v>1</v>
      </c>
      <c r="AB16" s="1810">
        <v>1</v>
      </c>
      <c r="AC16" s="1810">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0"/>
      <c r="Q17" s="1809" t="str">
        <f>B17</f>
        <v>交通便捷度</v>
      </c>
      <c r="R17" s="774" t="s">
        <v>17</v>
      </c>
      <c r="S17" s="775">
        <f>F17</f>
        <v>100</v>
      </c>
      <c r="T17" s="774" t="s">
        <v>17</v>
      </c>
      <c r="U17" s="775">
        <f>H17</f>
        <v>100</v>
      </c>
      <c r="V17" s="774" t="s">
        <v>17</v>
      </c>
      <c r="W17" s="775">
        <f>J17</f>
        <v>100</v>
      </c>
      <c r="X17" s="1812"/>
      <c r="Y17" s="325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50"/>
      <c r="Q18" s="1809"/>
      <c r="R18" s="774"/>
      <c r="S18" s="775"/>
      <c r="T18" s="774"/>
      <c r="U18" s="775"/>
      <c r="V18" s="774"/>
      <c r="W18" s="775"/>
      <c r="X18" s="1812"/>
      <c r="Y18" s="3250"/>
      <c r="Z18" s="1813"/>
      <c r="AA18" s="1810">
        <v>1</v>
      </c>
      <c r="AB18" s="1810">
        <v>1</v>
      </c>
      <c r="AC18" s="1810">
        <v>1</v>
      </c>
    </row>
    <row r="19" spans="1:29" ht="42.75">
      <c r="A19" s="428"/>
      <c r="B19" s="451" t="s">
        <v>2670</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0"/>
      <c r="Q19" s="1809" t="str">
        <f>B19</f>
        <v>公共配套设施</v>
      </c>
      <c r="R19" s="774" t="s">
        <v>17</v>
      </c>
      <c r="S19" s="775">
        <f>F19</f>
        <v>100</v>
      </c>
      <c r="T19" s="774" t="s">
        <v>17</v>
      </c>
      <c r="U19" s="775">
        <f>H19</f>
        <v>100</v>
      </c>
      <c r="V19" s="774" t="s">
        <v>17</v>
      </c>
      <c r="W19" s="775">
        <f>J19</f>
        <v>100</v>
      </c>
      <c r="X19" s="1812"/>
      <c r="Y19" s="325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50"/>
      <c r="Q20" s="1809"/>
      <c r="R20" s="774"/>
      <c r="S20" s="775"/>
      <c r="T20" s="774"/>
      <c r="U20" s="775"/>
      <c r="V20" s="774"/>
      <c r="W20" s="775"/>
      <c r="X20" s="1812"/>
      <c r="Y20" s="3250"/>
      <c r="Z20" s="1813"/>
      <c r="AA20" s="1810">
        <v>1</v>
      </c>
      <c r="AB20" s="1810">
        <v>1</v>
      </c>
      <c r="AC20" s="1810">
        <v>1</v>
      </c>
    </row>
    <row r="21" spans="1:29" ht="28.5">
      <c r="A21" s="428"/>
      <c r="B21" s="1383" t="s">
        <v>2671</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0"/>
      <c r="Q21" s="1809" t="str">
        <f>B21</f>
        <v>基础设施水平</v>
      </c>
      <c r="R21" s="774" t="s">
        <v>17</v>
      </c>
      <c r="S21" s="775">
        <f>F21</f>
        <v>100</v>
      </c>
      <c r="T21" s="774" t="s">
        <v>17</v>
      </c>
      <c r="U21" s="775">
        <f>H21</f>
        <v>100</v>
      </c>
      <c r="V21" s="774" t="s">
        <v>17</v>
      </c>
      <c r="W21" s="775">
        <f>J21</f>
        <v>100</v>
      </c>
      <c r="X21" s="1812"/>
      <c r="Y21" s="3250"/>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250"/>
      <c r="Q22" s="1809"/>
      <c r="R22" s="774"/>
      <c r="S22" s="775"/>
      <c r="T22" s="774"/>
      <c r="U22" s="775"/>
      <c r="V22" s="774"/>
      <c r="W22" s="775"/>
      <c r="X22" s="1812"/>
      <c r="Y22" s="3250"/>
      <c r="Z22" s="1813"/>
      <c r="AA22" s="1810">
        <v>1</v>
      </c>
      <c r="AB22" s="1810">
        <v>1</v>
      </c>
      <c r="AC22" s="1810">
        <v>1</v>
      </c>
    </row>
    <row r="23" spans="1:29" ht="71.25">
      <c r="A23" s="428"/>
      <c r="B23" s="451" t="s">
        <v>2672</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0"/>
      <c r="Q23" s="1809" t="str">
        <f>B23</f>
        <v>环境质量</v>
      </c>
      <c r="R23" s="774" t="s">
        <v>17</v>
      </c>
      <c r="S23" s="775">
        <f>F23</f>
        <v>100</v>
      </c>
      <c r="T23" s="774" t="s">
        <v>17</v>
      </c>
      <c r="U23" s="775">
        <f>H23</f>
        <v>100</v>
      </c>
      <c r="V23" s="774" t="s">
        <v>17</v>
      </c>
      <c r="W23" s="775">
        <f>J23</f>
        <v>100</v>
      </c>
      <c r="X23" s="1812"/>
      <c r="Y23" s="3250"/>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250"/>
      <c r="Q24" s="1809"/>
      <c r="R24" s="774"/>
      <c r="S24" s="775"/>
      <c r="T24" s="774"/>
      <c r="U24" s="775"/>
      <c r="V24" s="774"/>
      <c r="W24" s="775"/>
      <c r="X24" s="1812"/>
      <c r="Y24" s="325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0"/>
      <c r="Q25" s="1809">
        <f>B25</f>
        <v>111</v>
      </c>
      <c r="R25" s="774" t="s">
        <v>17</v>
      </c>
      <c r="S25" s="775">
        <f>F25</f>
        <v>100</v>
      </c>
      <c r="T25" s="774" t="s">
        <v>17</v>
      </c>
      <c r="U25" s="775">
        <f>H25</f>
        <v>100</v>
      </c>
      <c r="V25" s="774" t="s">
        <v>17</v>
      </c>
      <c r="W25" s="775">
        <f>J25</f>
        <v>100</v>
      </c>
      <c r="X25" s="1812"/>
      <c r="Y25" s="325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0"/>
      <c r="Q26" s="1809">
        <f t="shared" ref="Q26:Q40" si="11">B26</f>
        <v>111</v>
      </c>
      <c r="R26" s="774" t="s">
        <v>17</v>
      </c>
      <c r="S26" s="775">
        <f>F26</f>
        <v>100</v>
      </c>
      <c r="T26" s="774" t="s">
        <v>17</v>
      </c>
      <c r="U26" s="775">
        <f>H26</f>
        <v>100</v>
      </c>
      <c r="V26" s="774" t="s">
        <v>17</v>
      </c>
      <c r="W26" s="775">
        <f>J26</f>
        <v>100</v>
      </c>
      <c r="X26" s="1812"/>
      <c r="Y26" s="325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0"/>
      <c r="Q27" s="1794">
        <f t="shared" si="11"/>
        <v>111</v>
      </c>
      <c r="R27" s="770" t="s">
        <v>17</v>
      </c>
      <c r="S27" s="771">
        <f>F27</f>
        <v>100</v>
      </c>
      <c r="T27" s="770" t="s">
        <v>17</v>
      </c>
      <c r="U27" s="771">
        <f>H27</f>
        <v>100</v>
      </c>
      <c r="V27" s="770" t="s">
        <v>17</v>
      </c>
      <c r="W27" s="771">
        <f>J27</f>
        <v>100</v>
      </c>
      <c r="X27" s="772"/>
      <c r="Y27" s="325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0"/>
      <c r="Q28" s="1809">
        <f t="shared" si="11"/>
        <v>111</v>
      </c>
      <c r="R28" s="774" t="s">
        <v>17</v>
      </c>
      <c r="S28" s="775">
        <f t="shared" ref="S28:S40" si="12">F28</f>
        <v>100</v>
      </c>
      <c r="T28" s="774" t="s">
        <v>17</v>
      </c>
      <c r="U28" s="775">
        <f t="shared" ref="U28:U40" si="13">H28</f>
        <v>100</v>
      </c>
      <c r="V28" s="774" t="s">
        <v>17</v>
      </c>
      <c r="W28" s="775">
        <f t="shared" ref="W28:W40" si="14">J28</f>
        <v>100</v>
      </c>
      <c r="X28" s="1812"/>
      <c r="Y28" s="3250"/>
      <c r="Z28" s="1813">
        <f t="shared" ref="Z28:Z40" si="15">Q28</f>
        <v>111</v>
      </c>
      <c r="AA28" s="1810">
        <f t="shared" si="3"/>
        <v>1</v>
      </c>
      <c r="AB28" s="1810">
        <f t="shared" si="4"/>
        <v>1</v>
      </c>
      <c r="AC28" s="1810">
        <f t="shared" si="5"/>
        <v>1</v>
      </c>
    </row>
    <row r="29" spans="1:29" ht="28.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05" t="s">
        <v>2547</v>
      </c>
      <c r="Q29" s="1809" t="str">
        <f t="shared" si="11"/>
        <v>建筑类型</v>
      </c>
      <c r="R29" s="774" t="s">
        <v>17</v>
      </c>
      <c r="S29" s="775">
        <f t="shared" si="12"/>
        <v>100</v>
      </c>
      <c r="T29" s="774" t="s">
        <v>17</v>
      </c>
      <c r="U29" s="775">
        <f t="shared" si="13"/>
        <v>100</v>
      </c>
      <c r="V29" s="774" t="s">
        <v>17</v>
      </c>
      <c r="W29" s="775">
        <f t="shared" si="14"/>
        <v>100</v>
      </c>
      <c r="X29" s="1812"/>
      <c r="Y29" s="3254" t="s">
        <v>2547</v>
      </c>
      <c r="Z29" s="1813" t="str">
        <f t="shared" si="15"/>
        <v>建筑类型</v>
      </c>
      <c r="AA29" s="1810">
        <f t="shared" si="3"/>
        <v>1</v>
      </c>
      <c r="AB29" s="1810">
        <f t="shared" si="4"/>
        <v>1</v>
      </c>
      <c r="AC29" s="1810">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10" t="e">
        <f t="shared" si="3"/>
        <v>#N/A</v>
      </c>
      <c r="AB30" s="1810" t="e">
        <f t="shared" si="4"/>
        <v>#N/A</v>
      </c>
      <c r="AC30" s="1810"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4"/>
      <c r="Q31" s="1809" t="str">
        <f t="shared" si="11"/>
        <v>建筑结构</v>
      </c>
      <c r="R31" s="774" t="s">
        <v>17</v>
      </c>
      <c r="S31" s="775">
        <f t="shared" si="12"/>
        <v>100</v>
      </c>
      <c r="T31" s="774" t="s">
        <v>17</v>
      </c>
      <c r="U31" s="775">
        <f t="shared" si="13"/>
        <v>100</v>
      </c>
      <c r="V31" s="774" t="s">
        <v>17</v>
      </c>
      <c r="W31" s="775">
        <f t="shared" si="14"/>
        <v>100</v>
      </c>
      <c r="X31" s="1812"/>
      <c r="Y31" s="3254"/>
      <c r="Z31" s="1813" t="str">
        <f t="shared" si="15"/>
        <v>建筑结构</v>
      </c>
      <c r="AA31" s="1810">
        <f t="shared" si="3"/>
        <v>1</v>
      </c>
      <c r="AB31" s="1810">
        <f t="shared" si="4"/>
        <v>1</v>
      </c>
      <c r="AC31" s="1810">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4"/>
      <c r="Q32" s="1809" t="str">
        <f t="shared" si="11"/>
        <v>公共部分装修</v>
      </c>
      <c r="R32" s="774" t="s">
        <v>17</v>
      </c>
      <c r="S32" s="775">
        <f t="shared" si="12"/>
        <v>100</v>
      </c>
      <c r="T32" s="774" t="s">
        <v>17</v>
      </c>
      <c r="U32" s="775">
        <f t="shared" si="13"/>
        <v>100</v>
      </c>
      <c r="V32" s="774" t="s">
        <v>17</v>
      </c>
      <c r="W32" s="775">
        <f t="shared" si="14"/>
        <v>100</v>
      </c>
      <c r="X32" s="1812"/>
      <c r="Y32" s="3254"/>
      <c r="Z32" s="1813" t="str">
        <f t="shared" si="15"/>
        <v>公共部分装修</v>
      </c>
      <c r="AA32" s="1810">
        <f t="shared" si="3"/>
        <v>1</v>
      </c>
      <c r="AB32" s="1810">
        <f t="shared" si="4"/>
        <v>1</v>
      </c>
      <c r="AC32" s="1810">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4"/>
      <c r="Q33" s="1809" t="str">
        <f t="shared" si="11"/>
        <v>成新度</v>
      </c>
      <c r="R33" s="774" t="s">
        <v>17</v>
      </c>
      <c r="S33" s="775" t="e">
        <f t="shared" si="12"/>
        <v>#N/A</v>
      </c>
      <c r="T33" s="774" t="s">
        <v>17</v>
      </c>
      <c r="U33" s="775" t="e">
        <f t="shared" si="13"/>
        <v>#N/A</v>
      </c>
      <c r="V33" s="774" t="s">
        <v>17</v>
      </c>
      <c r="W33" s="775" t="e">
        <f t="shared" si="14"/>
        <v>#N/A</v>
      </c>
      <c r="X33" s="1812"/>
      <c r="Y33" s="3254"/>
      <c r="Z33" s="1813" t="str">
        <f t="shared" si="15"/>
        <v>成新度</v>
      </c>
      <c r="AA33" s="1810" t="e">
        <f t="shared" si="3"/>
        <v>#N/A</v>
      </c>
      <c r="AB33" s="1810" t="e">
        <f t="shared" si="4"/>
        <v>#N/A</v>
      </c>
      <c r="AC33" s="1810"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4"/>
      <c r="Q34" s="1794"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4" t="s">
        <v>2547</v>
      </c>
      <c r="Q35" s="1809" t="str">
        <f t="shared" si="11"/>
        <v>市政基础设施</v>
      </c>
      <c r="R35" s="774" t="s">
        <v>17</v>
      </c>
      <c r="S35" s="775">
        <f t="shared" si="12"/>
        <v>100</v>
      </c>
      <c r="T35" s="774" t="s">
        <v>17</v>
      </c>
      <c r="U35" s="775">
        <f t="shared" si="13"/>
        <v>100</v>
      </c>
      <c r="V35" s="774" t="s">
        <v>17</v>
      </c>
      <c r="W35" s="775">
        <f t="shared" si="14"/>
        <v>100</v>
      </c>
      <c r="X35" s="1812"/>
      <c r="Y35" s="3254" t="s">
        <v>2547</v>
      </c>
      <c r="Z35" s="1813" t="str">
        <f t="shared" si="15"/>
        <v>市政基础设施</v>
      </c>
      <c r="AA35" s="1810">
        <f t="shared" si="3"/>
        <v>1</v>
      </c>
      <c r="AB35" s="1810">
        <f t="shared" si="4"/>
        <v>1</v>
      </c>
      <c r="AC35" s="1810">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4"/>
      <c r="Q36" s="1809" t="str">
        <f t="shared" si="11"/>
        <v>内部装修</v>
      </c>
      <c r="R36" s="774" t="s">
        <v>17</v>
      </c>
      <c r="S36" s="775">
        <f t="shared" si="12"/>
        <v>100</v>
      </c>
      <c r="T36" s="774" t="s">
        <v>17</v>
      </c>
      <c r="U36" s="775">
        <f t="shared" si="13"/>
        <v>100</v>
      </c>
      <c r="V36" s="774" t="s">
        <v>17</v>
      </c>
      <c r="W36" s="775">
        <f t="shared" si="14"/>
        <v>100</v>
      </c>
      <c r="X36" s="1812"/>
      <c r="Y36" s="3254"/>
      <c r="Z36" s="1813" t="str">
        <f t="shared" si="15"/>
        <v>内部装修</v>
      </c>
      <c r="AA36" s="1810">
        <f t="shared" si="3"/>
        <v>1</v>
      </c>
      <c r="AB36" s="1810">
        <f t="shared" si="4"/>
        <v>1</v>
      </c>
      <c r="AC36" s="1810">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4"/>
      <c r="Q37" s="1809" t="str">
        <f t="shared" si="11"/>
        <v>内部装修状况</v>
      </c>
      <c r="R37" s="774" t="s">
        <v>17</v>
      </c>
      <c r="S37" s="775">
        <f t="shared" si="12"/>
        <v>100</v>
      </c>
      <c r="T37" s="774" t="s">
        <v>17</v>
      </c>
      <c r="U37" s="775">
        <f t="shared" si="13"/>
        <v>100</v>
      </c>
      <c r="V37" s="774" t="s">
        <v>17</v>
      </c>
      <c r="W37" s="775">
        <f t="shared" si="14"/>
        <v>100</v>
      </c>
      <c r="X37" s="1812"/>
      <c r="Y37" s="325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4"/>
      <c r="Q39" s="1809">
        <f t="shared" si="11"/>
        <v>111</v>
      </c>
      <c r="R39" s="774" t="s">
        <v>17</v>
      </c>
      <c r="S39" s="775">
        <f t="shared" si="12"/>
        <v>100</v>
      </c>
      <c r="T39" s="774" t="s">
        <v>17</v>
      </c>
      <c r="U39" s="775">
        <f t="shared" si="13"/>
        <v>100</v>
      </c>
      <c r="V39" s="774" t="s">
        <v>17</v>
      </c>
      <c r="W39" s="775">
        <f t="shared" si="14"/>
        <v>100</v>
      </c>
      <c r="X39" s="1812"/>
      <c r="Y39" s="3254"/>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5"/>
      <c r="Q40" s="1809">
        <f t="shared" si="11"/>
        <v>111</v>
      </c>
      <c r="R40" s="774" t="s">
        <v>17</v>
      </c>
      <c r="S40" s="775">
        <f t="shared" si="12"/>
        <v>100</v>
      </c>
      <c r="T40" s="774" t="s">
        <v>17</v>
      </c>
      <c r="U40" s="775">
        <f t="shared" si="13"/>
        <v>100</v>
      </c>
      <c r="V40" s="774" t="s">
        <v>17</v>
      </c>
      <c r="W40" s="775">
        <f t="shared" si="14"/>
        <v>100</v>
      </c>
      <c r="X40" s="1812"/>
      <c r="Y40" s="3255"/>
      <c r="Z40" s="1813">
        <f t="shared" si="15"/>
        <v>111</v>
      </c>
      <c r="AA40" s="1810">
        <f t="shared" si="3"/>
        <v>1</v>
      </c>
      <c r="AB40" s="1810">
        <f t="shared" si="4"/>
        <v>1</v>
      </c>
      <c r="AC40" s="1810">
        <f t="shared" si="5"/>
        <v>1</v>
      </c>
    </row>
    <row r="41" spans="1:29" ht="15">
      <c r="A41" s="479" t="s">
        <v>2559</v>
      </c>
      <c r="B41" s="480"/>
      <c r="C41" s="1406" t="s">
        <v>1</v>
      </c>
      <c r="D41" s="1407"/>
      <c r="E41" s="1408"/>
      <c r="F41" s="1409"/>
      <c r="G41" s="1410"/>
      <c r="H41" s="1411"/>
      <c r="I41" s="1408"/>
      <c r="J41" s="1411"/>
      <c r="K41" s="783"/>
      <c r="L41" s="1143"/>
      <c r="M41" s="1144"/>
      <c r="N41" s="1131"/>
      <c r="O41" s="1144"/>
      <c r="P41" s="3247" t="str">
        <f>A41</f>
        <v>成交单价（元/平方米）</v>
      </c>
      <c r="Q41" s="3247"/>
      <c r="R41" s="3248">
        <f>E41</f>
        <v>0</v>
      </c>
      <c r="S41" s="3248"/>
      <c r="T41" s="3248">
        <f>G41</f>
        <v>0</v>
      </c>
      <c r="U41" s="3248"/>
      <c r="V41" s="3248">
        <f>I41</f>
        <v>0</v>
      </c>
      <c r="W41" s="3248"/>
      <c r="X41" s="759"/>
      <c r="Y41" s="781"/>
      <c r="Z41" s="759"/>
      <c r="AA41" s="759"/>
      <c r="AB41" s="759"/>
      <c r="AC41" s="759"/>
    </row>
    <row r="42" spans="1:29" ht="15.75" thickBot="1">
      <c r="A42" s="486" t="s">
        <v>2651</v>
      </c>
      <c r="B42" s="487"/>
      <c r="C42" s="1412" t="e">
        <f>R43</f>
        <v>#DIV/0!</v>
      </c>
      <c r="D42" s="1413"/>
      <c r="E42" s="1414" t="e">
        <f>R42</f>
        <v>#DIV/0!</v>
      </c>
      <c r="F42" s="1414"/>
      <c r="G42" s="1412" t="e">
        <f>T42</f>
        <v>#DIV/0!</v>
      </c>
      <c r="H42" s="1413"/>
      <c r="I42" s="1414" t="e">
        <f>V42</f>
        <v>#DIV/0!</v>
      </c>
      <c r="J42" s="1413"/>
      <c r="K42" s="784"/>
      <c r="L42" s="1143"/>
      <c r="M42" s="1144"/>
      <c r="N42" s="1131"/>
      <c r="O42" s="1144"/>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2652</v>
      </c>
      <c r="B43" s="493"/>
      <c r="C43" s="1416" t="e">
        <f>R43</f>
        <v>#DIV/0!</v>
      </c>
      <c r="D43" s="1416"/>
      <c r="E43" s="1416"/>
      <c r="F43" s="1416"/>
      <c r="G43" s="1416"/>
      <c r="H43" s="1416"/>
      <c r="I43" s="1416"/>
      <c r="J43" s="1416"/>
      <c r="K43" s="785"/>
      <c r="L43" s="1143"/>
      <c r="M43" s="1144"/>
      <c r="N43" s="1144"/>
      <c r="O43" s="1144"/>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2656</v>
      </c>
      <c r="B51" s="759"/>
      <c r="C51" s="764"/>
      <c r="D51" s="764"/>
      <c r="E51" s="764"/>
      <c r="F51" s="765"/>
      <c r="G51" s="765"/>
      <c r="H51" s="764"/>
      <c r="I51" s="764"/>
      <c r="J51" s="764"/>
      <c r="K51" s="1160"/>
      <c r="L51" s="1161"/>
      <c r="M51" s="1159"/>
      <c r="N51" s="1159"/>
      <c r="O51" s="1159"/>
      <c r="P51" s="503"/>
      <c r="Q51" s="504"/>
    </row>
    <row r="52" spans="1:17" s="508" customFormat="1" ht="15">
      <c r="A52" s="505" t="s">
        <v>2530</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2570</v>
      </c>
      <c r="B57" s="528" t="s">
        <v>2536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2545</v>
      </c>
      <c r="B88" s="528" t="s">
        <v>2594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1"/>
      <c r="F1" s="2584"/>
      <c r="G1" s="1622" t="s">
        <v>2625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2309</v>
      </c>
      <c r="B2" s="1417" t="e">
        <f ca="1">IF(C2="——",IF(B37="元/平方米",ROUND(C39*D3/10000,0),ROUND(F3*C39/10000,0)),IF(B37="元/平方米",ROUND(C39*D3/10000,0),ROUND(F3*C39/10000,0))-D2)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2311</v>
      </c>
      <c r="B3" s="609" t="e">
        <f ca="1">IF(AND(C2="——",B37="元/平方米"),C39,ROUND(B2*10000/D3,0))</f>
        <v>#DIV/0!</v>
      </c>
      <c r="C3" s="400" t="s">
        <v>2626</v>
      </c>
      <c r="D3" s="399">
        <f>SUMIF('数据-汇总表'!$C19:$C33,D1,'数据-汇总表'!$E19:$E33)</f>
        <v>0</v>
      </c>
      <c r="E3" s="400" t="s">
        <v>2690</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60" t="s">
        <v>2630</v>
      </c>
      <c r="AC4" s="3259" t="s">
        <v>2631</v>
      </c>
    </row>
    <row r="5" spans="1:29"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60"/>
      <c r="AC5" s="3260"/>
    </row>
    <row r="6" spans="1:29" ht="15.75" thickBot="1">
      <c r="A6" s="406"/>
      <c r="B6" s="407"/>
      <c r="C6" s="3279" t="s">
        <v>2528</v>
      </c>
      <c r="D6" s="3280"/>
      <c r="E6" s="3286" t="s">
        <v>2528</v>
      </c>
      <c r="F6" s="3287"/>
      <c r="G6" s="3279" t="s">
        <v>2528</v>
      </c>
      <c r="H6" s="3280"/>
      <c r="I6" s="3279" t="s">
        <v>2528</v>
      </c>
      <c r="J6" s="3280"/>
      <c r="K6" s="610" t="s">
        <v>2529</v>
      </c>
      <c r="L6" s="1130"/>
      <c r="M6" s="1131"/>
      <c r="N6" s="1131"/>
      <c r="O6" s="1131"/>
      <c r="P6" s="3270"/>
      <c r="Q6" s="3271"/>
      <c r="R6" s="3274"/>
      <c r="S6" s="3275"/>
      <c r="T6" s="3276"/>
      <c r="U6" s="3277"/>
      <c r="V6" s="3278"/>
      <c r="W6" s="3278"/>
      <c r="X6" s="1812"/>
      <c r="Y6" s="3276"/>
      <c r="Z6" s="3277"/>
      <c r="AA6" s="3261"/>
      <c r="AB6" s="3261"/>
      <c r="AC6" s="3261"/>
    </row>
    <row r="7" spans="1:29" s="117" customFormat="1" ht="15.75" thickBot="1">
      <c r="A7" s="408" t="s">
        <v>2530</v>
      </c>
      <c r="B7" s="409"/>
      <c r="C7" s="410">
        <f>'数据-取费表'!B2</f>
        <v>43605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3" t="s">
        <v>2531</v>
      </c>
      <c r="Q7" s="3285"/>
      <c r="R7" s="770" t="s">
        <v>17</v>
      </c>
      <c r="S7" s="771">
        <f t="shared" ref="S7:S14" si="0">F7</f>
        <v>0</v>
      </c>
      <c r="T7" s="770" t="s">
        <v>17</v>
      </c>
      <c r="U7" s="771">
        <f t="shared" ref="U7:U14" si="1">H7</f>
        <v>0</v>
      </c>
      <c r="V7" s="770" t="s">
        <v>17</v>
      </c>
      <c r="W7" s="771">
        <f t="shared" ref="W7:W14" si="2">J7</f>
        <v>0</v>
      </c>
      <c r="X7" s="772"/>
      <c r="Y7" s="3283" t="s">
        <v>2531</v>
      </c>
      <c r="Z7" s="3284"/>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7" t="s">
        <v>2537</v>
      </c>
      <c r="Q9" s="1794" t="str">
        <f t="shared" ref="Q9:Q14" si="6">B9</f>
        <v>用途</v>
      </c>
      <c r="R9" s="770" t="s">
        <v>17</v>
      </c>
      <c r="S9" s="771">
        <f t="shared" si="0"/>
        <v>100</v>
      </c>
      <c r="T9" s="770" t="s">
        <v>17</v>
      </c>
      <c r="U9" s="771">
        <f t="shared" si="1"/>
        <v>100</v>
      </c>
      <c r="V9" s="770" t="s">
        <v>17</v>
      </c>
      <c r="W9" s="771">
        <f t="shared" si="2"/>
        <v>100</v>
      </c>
      <c r="X9" s="772"/>
      <c r="Y9" s="3018"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7"/>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7"/>
      <c r="Q11" s="1794">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7"/>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7"/>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2541</v>
      </c>
      <c r="B14" s="629" t="s">
        <v>2691</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9" t="s">
        <v>2542</v>
      </c>
      <c r="Q14" s="1809" t="str">
        <f t="shared" si="6"/>
        <v>交通便捷度</v>
      </c>
      <c r="R14" s="774" t="s">
        <v>17</v>
      </c>
      <c r="S14" s="775">
        <f t="shared" si="0"/>
        <v>100</v>
      </c>
      <c r="T14" s="774" t="s">
        <v>17</v>
      </c>
      <c r="U14" s="775">
        <f t="shared" si="1"/>
        <v>100</v>
      </c>
      <c r="V14" s="774" t="s">
        <v>17</v>
      </c>
      <c r="W14" s="775">
        <f t="shared" si="2"/>
        <v>100</v>
      </c>
      <c r="X14" s="1812"/>
      <c r="Y14" s="3249" t="s">
        <v>2542</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0"/>
      <c r="Q15" s="1809"/>
      <c r="R15" s="774"/>
      <c r="S15" s="775"/>
      <c r="T15" s="774"/>
      <c r="U15" s="775"/>
      <c r="V15" s="774"/>
      <c r="W15" s="775"/>
      <c r="X15" s="1812"/>
      <c r="Y15" s="3250"/>
      <c r="Z15" s="1813"/>
      <c r="AA15" s="1810">
        <v>1</v>
      </c>
      <c r="AB15" s="1810">
        <v>1</v>
      </c>
      <c r="AC15" s="1810">
        <v>1</v>
      </c>
    </row>
    <row r="16" spans="1:29" ht="42.75">
      <c r="A16" s="404"/>
      <c r="B16" s="631" t="s">
        <v>2670</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0"/>
      <c r="Q16" s="1809" t="str">
        <f>B16</f>
        <v>公共配套设施</v>
      </c>
      <c r="R16" s="774" t="s">
        <v>17</v>
      </c>
      <c r="S16" s="775">
        <f>F16</f>
        <v>100</v>
      </c>
      <c r="T16" s="774" t="s">
        <v>17</v>
      </c>
      <c r="U16" s="775">
        <f>H16</f>
        <v>100</v>
      </c>
      <c r="V16" s="774" t="s">
        <v>17</v>
      </c>
      <c r="W16" s="775">
        <f>J16</f>
        <v>100</v>
      </c>
      <c r="X16" s="1812"/>
      <c r="Y16" s="3250"/>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50"/>
      <c r="Q17" s="1809"/>
      <c r="R17" s="774"/>
      <c r="S17" s="775"/>
      <c r="T17" s="774"/>
      <c r="U17" s="775"/>
      <c r="V17" s="774"/>
      <c r="W17" s="775"/>
      <c r="X17" s="1812"/>
      <c r="Y17" s="3250"/>
      <c r="Z17" s="1813"/>
      <c r="AA17" s="1810">
        <v>1</v>
      </c>
      <c r="AB17" s="1810">
        <v>1</v>
      </c>
      <c r="AC17" s="1810">
        <v>1</v>
      </c>
    </row>
    <row r="18" spans="1:29" ht="28.5">
      <c r="A18" s="404"/>
      <c r="B18" s="633" t="s">
        <v>2671</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0"/>
      <c r="Q18" s="1809" t="str">
        <f>B18</f>
        <v>基础设施水平</v>
      </c>
      <c r="R18" s="774" t="s">
        <v>17</v>
      </c>
      <c r="S18" s="775">
        <f>F18</f>
        <v>100</v>
      </c>
      <c r="T18" s="774" t="s">
        <v>17</v>
      </c>
      <c r="U18" s="775">
        <f>H18</f>
        <v>100</v>
      </c>
      <c r="V18" s="774" t="s">
        <v>17</v>
      </c>
      <c r="W18" s="775">
        <f>J18</f>
        <v>100</v>
      </c>
      <c r="X18" s="1812"/>
      <c r="Y18" s="3250"/>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250"/>
      <c r="Q19" s="1809"/>
      <c r="R19" s="774"/>
      <c r="S19" s="775"/>
      <c r="T19" s="774"/>
      <c r="U19" s="775"/>
      <c r="V19" s="774"/>
      <c r="W19" s="775"/>
      <c r="X19" s="1812"/>
      <c r="Y19" s="3250"/>
      <c r="Z19" s="1813"/>
      <c r="AA19" s="1810">
        <v>1</v>
      </c>
      <c r="AB19" s="1810">
        <v>1</v>
      </c>
      <c r="AC19" s="1810">
        <v>1</v>
      </c>
    </row>
    <row r="20" spans="1:29" ht="57">
      <c r="A20" s="404"/>
      <c r="B20" s="631" t="s">
        <v>2692</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0"/>
      <c r="Q20" s="1809" t="str">
        <f>B20</f>
        <v>自然及人文环境</v>
      </c>
      <c r="R20" s="774" t="s">
        <v>17</v>
      </c>
      <c r="S20" s="775">
        <f>F20</f>
        <v>100</v>
      </c>
      <c r="T20" s="774" t="s">
        <v>17</v>
      </c>
      <c r="U20" s="775">
        <f>H20</f>
        <v>100</v>
      </c>
      <c r="V20" s="774" t="s">
        <v>17</v>
      </c>
      <c r="W20" s="775">
        <f>J20</f>
        <v>100</v>
      </c>
      <c r="X20" s="1812"/>
      <c r="Y20" s="325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0"/>
      <c r="Q21" s="1809"/>
      <c r="R21" s="774"/>
      <c r="S21" s="775"/>
      <c r="T21" s="774"/>
      <c r="U21" s="775"/>
      <c r="V21" s="774"/>
      <c r="W21" s="775"/>
      <c r="X21" s="1812"/>
      <c r="Y21" s="3250"/>
      <c r="Z21" s="1813"/>
      <c r="AA21" s="1810">
        <v>1</v>
      </c>
      <c r="AB21" s="1810">
        <v>1</v>
      </c>
      <c r="AC21" s="1810">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0"/>
      <c r="Q22" s="1809" t="str">
        <f>B22</f>
        <v>楼层</v>
      </c>
      <c r="R22" s="774" t="s">
        <v>17</v>
      </c>
      <c r="S22" s="775">
        <f>F22</f>
        <v>100</v>
      </c>
      <c r="T22" s="774" t="s">
        <v>17</v>
      </c>
      <c r="U22" s="775">
        <f>H22</f>
        <v>100</v>
      </c>
      <c r="V22" s="774" t="s">
        <v>17</v>
      </c>
      <c r="W22" s="775">
        <f>J22</f>
        <v>100</v>
      </c>
      <c r="X22" s="1812"/>
      <c r="Y22" s="325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0"/>
      <c r="Q23" s="1809">
        <f>B23</f>
        <v>111</v>
      </c>
      <c r="R23" s="774" t="s">
        <v>17</v>
      </c>
      <c r="S23" s="775">
        <f>F23</f>
        <v>100</v>
      </c>
      <c r="T23" s="774" t="s">
        <v>17</v>
      </c>
      <c r="U23" s="775">
        <f>H23</f>
        <v>100</v>
      </c>
      <c r="V23" s="774" t="s">
        <v>17</v>
      </c>
      <c r="W23" s="775">
        <f>J23</f>
        <v>100</v>
      </c>
      <c r="X23" s="1812"/>
      <c r="Y23" s="325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0"/>
      <c r="Q24" s="1809">
        <f t="shared" ref="Q24:Q36" si="11">B24</f>
        <v>111</v>
      </c>
      <c r="R24" s="774" t="s">
        <v>17</v>
      </c>
      <c r="S24" s="775">
        <f>F24</f>
        <v>100</v>
      </c>
      <c r="T24" s="774" t="s">
        <v>17</v>
      </c>
      <c r="U24" s="775">
        <f>H24</f>
        <v>100</v>
      </c>
      <c r="V24" s="774" t="s">
        <v>17</v>
      </c>
      <c r="W24" s="775">
        <f>J24</f>
        <v>100</v>
      </c>
      <c r="X24" s="1812"/>
      <c r="Y24" s="325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0"/>
      <c r="Q25" s="1794">
        <f t="shared" si="11"/>
        <v>111</v>
      </c>
      <c r="R25" s="770" t="s">
        <v>17</v>
      </c>
      <c r="S25" s="771">
        <f>F25</f>
        <v>100</v>
      </c>
      <c r="T25" s="770" t="s">
        <v>17</v>
      </c>
      <c r="U25" s="771">
        <f>H25</f>
        <v>100</v>
      </c>
      <c r="V25" s="770" t="s">
        <v>17</v>
      </c>
      <c r="W25" s="771">
        <f>J25</f>
        <v>100</v>
      </c>
      <c r="X25" s="772"/>
      <c r="Y25" s="3250"/>
      <c r="Z25" s="55">
        <f>Q25</f>
        <v>111</v>
      </c>
      <c r="AA25" s="1810">
        <f>D25/F25</f>
        <v>1</v>
      </c>
      <c r="AB25" s="1810">
        <f>D25/H25</f>
        <v>1</v>
      </c>
      <c r="AC25" s="1810">
        <f>D25/J25</f>
        <v>1</v>
      </c>
    </row>
    <row r="26" spans="1:29" ht="28.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5" t="s">
        <v>2547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54" t="s">
        <v>2547</v>
      </c>
      <c r="Z26" s="1813" t="str">
        <f t="shared" ref="Z26:Z36" si="15">Q26</f>
        <v>配套类型</v>
      </c>
      <c r="AA26" s="1810">
        <f t="shared" si="3"/>
        <v>1</v>
      </c>
      <c r="AB26" s="1810">
        <f t="shared" si="4"/>
        <v>1</v>
      </c>
      <c r="AC26" s="1810">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10">
        <f t="shared" si="3"/>
        <v>1</v>
      </c>
      <c r="AB27" s="1810">
        <f t="shared" si="4"/>
        <v>1</v>
      </c>
      <c r="AC27" s="1810">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4"/>
      <c r="Q28" s="1809" t="str">
        <f t="shared" si="11"/>
        <v>公共部分装修</v>
      </c>
      <c r="R28" s="774" t="s">
        <v>17</v>
      </c>
      <c r="S28" s="775">
        <f t="shared" si="12"/>
        <v>100</v>
      </c>
      <c r="T28" s="774" t="s">
        <v>17</v>
      </c>
      <c r="U28" s="775">
        <f t="shared" si="13"/>
        <v>100</v>
      </c>
      <c r="V28" s="774" t="s">
        <v>17</v>
      </c>
      <c r="W28" s="775">
        <f t="shared" si="14"/>
        <v>100</v>
      </c>
      <c r="X28" s="1812"/>
      <c r="Y28" s="3254"/>
      <c r="Z28" s="1813" t="str">
        <f t="shared" si="15"/>
        <v>公共部分装修</v>
      </c>
      <c r="AA28" s="1810">
        <f t="shared" si="3"/>
        <v>1</v>
      </c>
      <c r="AB28" s="1810">
        <f t="shared" si="4"/>
        <v>1</v>
      </c>
      <c r="AC28" s="1810">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4"/>
      <c r="Q29" s="1809" t="str">
        <f t="shared" si="11"/>
        <v>成新率</v>
      </c>
      <c r="R29" s="774" t="s">
        <v>17</v>
      </c>
      <c r="S29" s="775" t="e">
        <f t="shared" si="12"/>
        <v>#N/A</v>
      </c>
      <c r="T29" s="774" t="s">
        <v>17</v>
      </c>
      <c r="U29" s="775" t="e">
        <f t="shared" si="13"/>
        <v>#N/A</v>
      </c>
      <c r="V29" s="774" t="s">
        <v>17</v>
      </c>
      <c r="W29" s="775" t="e">
        <f t="shared" si="14"/>
        <v>#N/A</v>
      </c>
      <c r="X29" s="1812"/>
      <c r="Y29" s="3254"/>
      <c r="Z29" s="1813" t="str">
        <f t="shared" si="15"/>
        <v>成新率</v>
      </c>
      <c r="AA29" s="1810" t="e">
        <f t="shared" si="3"/>
        <v>#N/A</v>
      </c>
      <c r="AB29" s="1810" t="e">
        <f t="shared" si="4"/>
        <v>#N/A</v>
      </c>
      <c r="AC29" s="1810"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4"/>
      <c r="Q30" s="1809" t="str">
        <f t="shared" si="11"/>
        <v>物业等级</v>
      </c>
      <c r="R30" s="774" t="s">
        <v>17</v>
      </c>
      <c r="S30" s="775">
        <f t="shared" si="12"/>
        <v>100</v>
      </c>
      <c r="T30" s="774" t="s">
        <v>17</v>
      </c>
      <c r="U30" s="775">
        <f t="shared" si="13"/>
        <v>100</v>
      </c>
      <c r="V30" s="774" t="s">
        <v>17</v>
      </c>
      <c r="W30" s="775">
        <f t="shared" si="14"/>
        <v>100</v>
      </c>
      <c r="X30" s="1812"/>
      <c r="Y30" s="3254"/>
      <c r="Z30" s="1813" t="str">
        <f t="shared" si="15"/>
        <v>物业等级</v>
      </c>
      <c r="AA30" s="1810">
        <f t="shared" si="3"/>
        <v>1</v>
      </c>
      <c r="AB30" s="1810">
        <f t="shared" si="4"/>
        <v>1</v>
      </c>
      <c r="AC30" s="1810">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4"/>
      <c r="Q31" s="1794"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4" t="s">
        <v>2547</v>
      </c>
      <c r="Q32" s="1809" t="str">
        <f t="shared" si="11"/>
        <v>车位类型</v>
      </c>
      <c r="R32" s="774" t="s">
        <v>17</v>
      </c>
      <c r="S32" s="775">
        <f t="shared" si="12"/>
        <v>100</v>
      </c>
      <c r="T32" s="774" t="s">
        <v>17</v>
      </c>
      <c r="U32" s="775">
        <f t="shared" si="13"/>
        <v>100</v>
      </c>
      <c r="V32" s="774" t="s">
        <v>17</v>
      </c>
      <c r="W32" s="775">
        <f t="shared" si="14"/>
        <v>100</v>
      </c>
      <c r="X32" s="1812"/>
      <c r="Y32" s="3254" t="s">
        <v>2547</v>
      </c>
      <c r="Z32" s="1813" t="str">
        <f t="shared" si="15"/>
        <v>车位类型</v>
      </c>
      <c r="AA32" s="1810">
        <f t="shared" si="3"/>
        <v>1</v>
      </c>
      <c r="AB32" s="1810">
        <f t="shared" si="4"/>
        <v>1</v>
      </c>
      <c r="AC32" s="1810">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4"/>
      <c r="Q33" s="1809" t="str">
        <f t="shared" si="11"/>
        <v>是否直接入户</v>
      </c>
      <c r="R33" s="774" t="s">
        <v>17</v>
      </c>
      <c r="S33" s="775">
        <f t="shared" si="12"/>
        <v>100</v>
      </c>
      <c r="T33" s="774" t="s">
        <v>17</v>
      </c>
      <c r="U33" s="775">
        <f t="shared" si="13"/>
        <v>100</v>
      </c>
      <c r="V33" s="774" t="s">
        <v>17</v>
      </c>
      <c r="W33" s="775">
        <f t="shared" si="14"/>
        <v>100</v>
      </c>
      <c r="X33" s="1812"/>
      <c r="Y33" s="325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4"/>
      <c r="Q34" s="1809">
        <f t="shared" si="11"/>
        <v>111</v>
      </c>
      <c r="R34" s="774" t="s">
        <v>17</v>
      </c>
      <c r="S34" s="775">
        <f t="shared" si="12"/>
        <v>100</v>
      </c>
      <c r="T34" s="774" t="s">
        <v>17</v>
      </c>
      <c r="U34" s="775">
        <f t="shared" si="13"/>
        <v>100</v>
      </c>
      <c r="V34" s="774" t="s">
        <v>17</v>
      </c>
      <c r="W34" s="775">
        <f t="shared" si="14"/>
        <v>100</v>
      </c>
      <c r="X34" s="1812"/>
      <c r="Y34" s="325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4"/>
      <c r="Q36" s="1809">
        <f t="shared" si="11"/>
        <v>111</v>
      </c>
      <c r="R36" s="774" t="s">
        <v>17</v>
      </c>
      <c r="S36" s="775">
        <f t="shared" si="12"/>
        <v>100</v>
      </c>
      <c r="T36" s="774" t="s">
        <v>17</v>
      </c>
      <c r="U36" s="775">
        <f t="shared" si="13"/>
        <v>100</v>
      </c>
      <c r="V36" s="774" t="s">
        <v>17</v>
      </c>
      <c r="W36" s="775">
        <f t="shared" si="14"/>
        <v>100</v>
      </c>
      <c r="X36" s="1812"/>
      <c r="Y36" s="3254"/>
      <c r="Z36" s="1813">
        <f t="shared" si="15"/>
        <v>111</v>
      </c>
      <c r="AA36" s="1810">
        <f t="shared" si="3"/>
        <v>1</v>
      </c>
      <c r="AB36" s="1810">
        <f t="shared" si="4"/>
        <v>1</v>
      </c>
      <c r="AC36" s="1810">
        <f t="shared" si="5"/>
        <v>1</v>
      </c>
    </row>
    <row r="37" spans="1:29" ht="15">
      <c r="A37" s="479" t="s">
        <v>2702</v>
      </c>
      <c r="B37" s="2695" t="s">
        <v>2703</v>
      </c>
      <c r="C37" s="1406" t="s">
        <v>1</v>
      </c>
      <c r="D37" s="1407"/>
      <c r="E37" s="1408"/>
      <c r="F37" s="1409"/>
      <c r="G37" s="1410"/>
      <c r="H37" s="1411"/>
      <c r="I37" s="1408"/>
      <c r="J37" s="1411"/>
      <c r="K37" s="619"/>
      <c r="L37" s="1143"/>
      <c r="M37" s="1144"/>
      <c r="N37" s="1131"/>
      <c r="O37" s="1144"/>
      <c r="P37" s="3247" t="str">
        <f>A37</f>
        <v>成交单价</v>
      </c>
      <c r="Q37" s="3247"/>
      <c r="R37" s="3248">
        <f>E37</f>
        <v>0</v>
      </c>
      <c r="S37" s="3248"/>
      <c r="T37" s="3248">
        <f>G37</f>
        <v>0</v>
      </c>
      <c r="U37" s="3248"/>
      <c r="V37" s="3248">
        <f>I37</f>
        <v>0</v>
      </c>
      <c r="W37" s="3248"/>
      <c r="X37" s="759"/>
      <c r="Y37" s="781"/>
      <c r="Z37" s="759"/>
      <c r="AA37" s="759"/>
      <c r="AB37" s="759"/>
      <c r="AC37" s="759"/>
    </row>
    <row r="38" spans="1:29" ht="15.75" thickBot="1">
      <c r="A38" s="486" t="s">
        <v>2704</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2705</v>
      </c>
      <c r="B39" s="493"/>
      <c r="C39" s="1416" t="e">
        <f>R39</f>
        <v>#DIV/0!</v>
      </c>
      <c r="D39" s="1416"/>
      <c r="E39" s="1416"/>
      <c r="F39" s="1416"/>
      <c r="G39" s="1416"/>
      <c r="H39" s="1416"/>
      <c r="I39" s="1416"/>
      <c r="J39" s="1416"/>
      <c r="K39" s="621"/>
      <c r="L39" s="1143"/>
      <c r="M39" s="1144"/>
      <c r="N39" s="1144"/>
      <c r="O39" s="1144"/>
      <c r="P39" s="3244" t="str">
        <f>A39</f>
        <v>估价对象XX用房的比较价值（楼面单价，元/平方米）</v>
      </c>
      <c r="Q39" s="3245"/>
      <c r="R39" s="3246" t="e">
        <f>IF(F1="售价",ROUND(AVERAGE(R38:V38),0),ROUND(AVERAGE(R38:V38),1))</f>
        <v>#DIV/0!</v>
      </c>
      <c r="S39" s="3246"/>
      <c r="T39" s="3246"/>
      <c r="U39" s="3246"/>
      <c r="V39" s="3246"/>
      <c r="W39" s="324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2709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2710</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2532</v>
      </c>
      <c r="B51" s="510"/>
      <c r="C51" s="522" t="s">
        <v>2634</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2570</v>
      </c>
      <c r="B53" s="528" t="s">
        <v>2536</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2585</v>
      </c>
      <c r="C65" s="578" t="s">
        <v>2579</v>
      </c>
      <c r="D65" s="578" t="s">
        <v>2580</v>
      </c>
      <c r="E65" s="578" t="s">
        <v>2581</v>
      </c>
      <c r="F65" s="578" t="s">
        <v>2582</v>
      </c>
      <c r="G65" s="578" t="s">
        <v>2583</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2671</v>
      </c>
      <c r="C67" s="660" t="s">
        <v>2657</v>
      </c>
      <c r="D67" s="660" t="s">
        <v>2658</v>
      </c>
      <c r="E67" s="660" t="s">
        <v>2659</v>
      </c>
      <c r="F67" s="660" t="s">
        <v>2660</v>
      </c>
      <c r="G67" s="660" t="s">
        <v>2661</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2591</v>
      </c>
      <c r="C69" s="578" t="s">
        <v>2579</v>
      </c>
      <c r="D69" s="578" t="s">
        <v>2580</v>
      </c>
      <c r="E69" s="578" t="s">
        <v>2581</v>
      </c>
      <c r="F69" s="578" t="s">
        <v>2582</v>
      </c>
      <c r="G69" s="578" t="s">
        <v>2583</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2711</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2545</v>
      </c>
      <c r="B79" s="528" t="s">
        <v>2712</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2713</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2598</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2715</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2717</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2718</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IF(C2="——",ROUND(C37*D3/10000,0),ROUND(C37*D3/10000,0)-D2)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IF(C2="——",C37,ROUND(B2*10000/D3,0))</f>
        <v>#DIV/0!</v>
      </c>
      <c r="C3" s="400" t="s">
        <v>2626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60" t="s">
        <v>2630</v>
      </c>
      <c r="AC4" s="3259" t="s">
        <v>2631</v>
      </c>
    </row>
    <row r="5" spans="1:29"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60"/>
      <c r="AC5" s="3260"/>
    </row>
    <row r="6" spans="1:29" ht="15.75" thickBot="1">
      <c r="A6" s="406"/>
      <c r="B6" s="407"/>
      <c r="C6" s="3279" t="s">
        <v>2528</v>
      </c>
      <c r="D6" s="3280"/>
      <c r="E6" s="3286" t="s">
        <v>2528</v>
      </c>
      <c r="F6" s="3287"/>
      <c r="G6" s="3279" t="s">
        <v>2528</v>
      </c>
      <c r="H6" s="3280"/>
      <c r="I6" s="3279" t="s">
        <v>2528</v>
      </c>
      <c r="J6" s="3280"/>
      <c r="K6" s="610" t="s">
        <v>2529</v>
      </c>
      <c r="L6" s="1130"/>
      <c r="M6" s="1131"/>
      <c r="N6" s="1131"/>
      <c r="O6" s="1131"/>
      <c r="P6" s="3270"/>
      <c r="Q6" s="3271"/>
      <c r="R6" s="3274"/>
      <c r="S6" s="3275"/>
      <c r="T6" s="3276"/>
      <c r="U6" s="3277"/>
      <c r="V6" s="3278"/>
      <c r="W6" s="3278"/>
      <c r="X6" s="1812"/>
      <c r="Y6" s="3276"/>
      <c r="Z6" s="3277"/>
      <c r="AA6" s="3261"/>
      <c r="AB6" s="3261"/>
      <c r="AC6" s="3261"/>
    </row>
    <row r="7" spans="1:29" s="117" customFormat="1" ht="15.75" thickBot="1">
      <c r="A7" s="408" t="s">
        <v>2530</v>
      </c>
      <c r="B7" s="409"/>
      <c r="C7" s="410">
        <f>'数据-取费表'!B2</f>
        <v>43605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83" t="s">
        <v>2531</v>
      </c>
      <c r="Q7" s="3285"/>
      <c r="R7" s="770" t="s">
        <v>17</v>
      </c>
      <c r="S7" s="771">
        <f t="shared" ref="S7:S14" si="0">F7</f>
        <v>0</v>
      </c>
      <c r="T7" s="770" t="s">
        <v>17</v>
      </c>
      <c r="U7" s="771">
        <f t="shared" ref="U7:U14" si="1">H7</f>
        <v>0</v>
      </c>
      <c r="V7" s="770" t="s">
        <v>17</v>
      </c>
      <c r="W7" s="771">
        <f t="shared" ref="W7:W14" si="2">J7</f>
        <v>0</v>
      </c>
      <c r="X7" s="772"/>
      <c r="Y7" s="3283" t="s">
        <v>2531</v>
      </c>
      <c r="Z7" s="3284"/>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7" t="s">
        <v>2537</v>
      </c>
      <c r="Q9" s="1794" t="str">
        <f t="shared" ref="Q9:Q14" si="6">B9</f>
        <v>用途</v>
      </c>
      <c r="R9" s="770" t="s">
        <v>17</v>
      </c>
      <c r="S9" s="771">
        <f t="shared" si="0"/>
        <v>100</v>
      </c>
      <c r="T9" s="770" t="s">
        <v>17</v>
      </c>
      <c r="U9" s="771">
        <f t="shared" si="1"/>
        <v>100</v>
      </c>
      <c r="V9" s="770" t="s">
        <v>17</v>
      </c>
      <c r="W9" s="771">
        <f t="shared" si="2"/>
        <v>100</v>
      </c>
      <c r="X9" s="772"/>
      <c r="Y9" s="3018"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7"/>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7"/>
      <c r="Q11" s="1794">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7"/>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47"/>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2541</v>
      </c>
      <c r="B14" s="69" t="s">
        <v>2691</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9" t="s">
        <v>2542</v>
      </c>
      <c r="Q14" s="1809" t="str">
        <f t="shared" si="6"/>
        <v>交通便捷度</v>
      </c>
      <c r="R14" s="774" t="s">
        <v>17</v>
      </c>
      <c r="S14" s="775">
        <f t="shared" si="0"/>
        <v>100</v>
      </c>
      <c r="T14" s="774" t="s">
        <v>17</v>
      </c>
      <c r="U14" s="775">
        <f t="shared" si="1"/>
        <v>100</v>
      </c>
      <c r="V14" s="774" t="s">
        <v>17</v>
      </c>
      <c r="W14" s="775">
        <f t="shared" si="2"/>
        <v>100</v>
      </c>
      <c r="X14" s="1812"/>
      <c r="Y14" s="3249" t="s">
        <v>2542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0"/>
      <c r="Q15" s="1809"/>
      <c r="R15" s="774"/>
      <c r="S15" s="775"/>
      <c r="T15" s="774"/>
      <c r="U15" s="775"/>
      <c r="V15" s="774"/>
      <c r="W15" s="775"/>
      <c r="X15" s="1812"/>
      <c r="Y15" s="3250"/>
      <c r="Z15" s="1813"/>
      <c r="AA15" s="1810">
        <v>1</v>
      </c>
      <c r="AB15" s="1810">
        <v>1</v>
      </c>
      <c r="AC15" s="1810">
        <v>1</v>
      </c>
    </row>
    <row r="16" spans="1:29" ht="42.75">
      <c r="A16" s="428"/>
      <c r="B16" s="451" t="s">
        <v>2670</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0"/>
      <c r="Q16" s="1809" t="str">
        <f>B16</f>
        <v>公共配套设施</v>
      </c>
      <c r="R16" s="774" t="s">
        <v>17</v>
      </c>
      <c r="S16" s="775">
        <f>F16</f>
        <v>100</v>
      </c>
      <c r="T16" s="774" t="s">
        <v>17</v>
      </c>
      <c r="U16" s="775">
        <f>H16</f>
        <v>100</v>
      </c>
      <c r="V16" s="774" t="s">
        <v>17</v>
      </c>
      <c r="W16" s="775">
        <f>J16</f>
        <v>100</v>
      </c>
      <c r="X16" s="1812"/>
      <c r="Y16" s="3250"/>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50"/>
      <c r="Q17" s="1809"/>
      <c r="R17" s="774"/>
      <c r="S17" s="775"/>
      <c r="T17" s="774"/>
      <c r="U17" s="775"/>
      <c r="V17" s="774"/>
      <c r="W17" s="775"/>
      <c r="X17" s="1812"/>
      <c r="Y17" s="3250"/>
      <c r="Z17" s="1813"/>
      <c r="AA17" s="1810">
        <v>1</v>
      </c>
      <c r="AB17" s="1810">
        <v>1</v>
      </c>
      <c r="AC17" s="1810">
        <v>1</v>
      </c>
    </row>
    <row r="18" spans="1:29" ht="28.5">
      <c r="A18" s="428"/>
      <c r="B18" s="1383" t="s">
        <v>2671</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0"/>
      <c r="Q18" s="1809" t="str">
        <f>B18</f>
        <v>基础设施水平</v>
      </c>
      <c r="R18" s="774" t="s">
        <v>17</v>
      </c>
      <c r="S18" s="775">
        <f>F18</f>
        <v>100</v>
      </c>
      <c r="T18" s="774" t="s">
        <v>17</v>
      </c>
      <c r="U18" s="775">
        <f>H18</f>
        <v>100</v>
      </c>
      <c r="V18" s="774" t="s">
        <v>17</v>
      </c>
      <c r="W18" s="775">
        <f>J18</f>
        <v>100</v>
      </c>
      <c r="X18" s="1812"/>
      <c r="Y18" s="3250"/>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250"/>
      <c r="Q19" s="1809"/>
      <c r="R19" s="774"/>
      <c r="S19" s="775"/>
      <c r="T19" s="774"/>
      <c r="U19" s="775"/>
      <c r="V19" s="774"/>
      <c r="W19" s="775"/>
      <c r="X19" s="1812"/>
      <c r="Y19" s="3250"/>
      <c r="Z19" s="1813"/>
      <c r="AA19" s="1810">
        <v>1</v>
      </c>
      <c r="AB19" s="1810">
        <v>1</v>
      </c>
      <c r="AC19" s="1810">
        <v>1</v>
      </c>
    </row>
    <row r="20" spans="1:29" ht="57">
      <c r="A20" s="428"/>
      <c r="B20" s="451" t="s">
        <v>2692</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0"/>
      <c r="Q20" s="1809" t="str">
        <f>B20</f>
        <v>自然及人文环境</v>
      </c>
      <c r="R20" s="774" t="s">
        <v>17</v>
      </c>
      <c r="S20" s="775">
        <f>F20</f>
        <v>100</v>
      </c>
      <c r="T20" s="774" t="s">
        <v>17</v>
      </c>
      <c r="U20" s="775">
        <f>H20</f>
        <v>100</v>
      </c>
      <c r="V20" s="774" t="s">
        <v>17</v>
      </c>
      <c r="W20" s="775">
        <f>J20</f>
        <v>100</v>
      </c>
      <c r="X20" s="1812"/>
      <c r="Y20" s="325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0"/>
      <c r="Q21" s="1809"/>
      <c r="R21" s="774"/>
      <c r="S21" s="775"/>
      <c r="T21" s="774"/>
      <c r="U21" s="775"/>
      <c r="V21" s="774"/>
      <c r="W21" s="775"/>
      <c r="X21" s="1812"/>
      <c r="Y21" s="3250"/>
      <c r="Z21" s="1813"/>
      <c r="AA21" s="1810">
        <v>1</v>
      </c>
      <c r="AB21" s="1810">
        <v>1</v>
      </c>
      <c r="AC21" s="1810">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0"/>
      <c r="Q22" s="1809" t="str">
        <f>B22</f>
        <v>楼层</v>
      </c>
      <c r="R22" s="774" t="s">
        <v>17</v>
      </c>
      <c r="S22" s="775">
        <f>F22</f>
        <v>100</v>
      </c>
      <c r="T22" s="774" t="s">
        <v>17</v>
      </c>
      <c r="U22" s="775">
        <f>H22</f>
        <v>100</v>
      </c>
      <c r="V22" s="774" t="s">
        <v>17</v>
      </c>
      <c r="W22" s="775">
        <f>J22</f>
        <v>100</v>
      </c>
      <c r="X22" s="1812"/>
      <c r="Y22" s="3250"/>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0"/>
      <c r="Q23" s="1809">
        <f>B23</f>
        <v>111</v>
      </c>
      <c r="R23" s="774" t="s">
        <v>17</v>
      </c>
      <c r="S23" s="775">
        <f>F23</f>
        <v>100</v>
      </c>
      <c r="T23" s="774" t="s">
        <v>17</v>
      </c>
      <c r="U23" s="775">
        <f>H23</f>
        <v>100</v>
      </c>
      <c r="V23" s="774" t="s">
        <v>17</v>
      </c>
      <c r="W23" s="775">
        <f>J23</f>
        <v>100</v>
      </c>
      <c r="X23" s="1812"/>
      <c r="Y23" s="3250"/>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0"/>
      <c r="Q24" s="1809">
        <f t="shared" ref="Q24:Q34" si="11">B24</f>
        <v>111</v>
      </c>
      <c r="R24" s="774" t="s">
        <v>17</v>
      </c>
      <c r="S24" s="775">
        <f>F24</f>
        <v>100</v>
      </c>
      <c r="T24" s="774" t="s">
        <v>17</v>
      </c>
      <c r="U24" s="775">
        <f>H24</f>
        <v>100</v>
      </c>
      <c r="V24" s="774" t="s">
        <v>17</v>
      </c>
      <c r="W24" s="775">
        <f>J24</f>
        <v>100</v>
      </c>
      <c r="X24" s="1812"/>
      <c r="Y24" s="3250"/>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50"/>
      <c r="Q25" s="1794">
        <f t="shared" si="11"/>
        <v>111</v>
      </c>
      <c r="R25" s="770" t="s">
        <v>17</v>
      </c>
      <c r="S25" s="771">
        <f>F25</f>
        <v>100</v>
      </c>
      <c r="T25" s="770" t="s">
        <v>17</v>
      </c>
      <c r="U25" s="771">
        <f>H25</f>
        <v>100</v>
      </c>
      <c r="V25" s="770" t="s">
        <v>17</v>
      </c>
      <c r="W25" s="771">
        <f>J25</f>
        <v>100</v>
      </c>
      <c r="X25" s="772"/>
      <c r="Y25" s="3250"/>
      <c r="Z25" s="55">
        <f>Q25</f>
        <v>111</v>
      </c>
      <c r="AA25" s="1810">
        <f>D25/F25</f>
        <v>1</v>
      </c>
      <c r="AB25" s="1810">
        <f>D25/H25</f>
        <v>1</v>
      </c>
      <c r="AC25" s="1810">
        <f>D25/J25</f>
        <v>1</v>
      </c>
    </row>
    <row r="26" spans="1:29" ht="28.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05" t="s">
        <v>2547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54" t="s">
        <v>2547</v>
      </c>
      <c r="Z26" s="1813" t="str">
        <f t="shared" ref="Z26:Z34" si="15">Q26</f>
        <v>公共部分装修</v>
      </c>
      <c r="AA26" s="1810">
        <f t="shared" si="3"/>
        <v>1</v>
      </c>
      <c r="AB26" s="1810">
        <f t="shared" si="4"/>
        <v>1</v>
      </c>
      <c r="AC26" s="1810">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10" t="e">
        <f t="shared" si="3"/>
        <v>#N/A</v>
      </c>
      <c r="AB27" s="1810" t="e">
        <f t="shared" si="4"/>
        <v>#N/A</v>
      </c>
      <c r="AC27" s="1810"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4"/>
      <c r="Q28" s="1809" t="str">
        <f t="shared" si="11"/>
        <v>物业等级</v>
      </c>
      <c r="R28" s="774" t="s">
        <v>17</v>
      </c>
      <c r="S28" s="775">
        <f t="shared" si="12"/>
        <v>100</v>
      </c>
      <c r="T28" s="774" t="s">
        <v>17</v>
      </c>
      <c r="U28" s="775">
        <f t="shared" si="13"/>
        <v>100</v>
      </c>
      <c r="V28" s="774" t="s">
        <v>17</v>
      </c>
      <c r="W28" s="775">
        <f t="shared" si="14"/>
        <v>100</v>
      </c>
      <c r="X28" s="1812"/>
      <c r="Y28" s="3254"/>
      <c r="Z28" s="1813" t="str">
        <f t="shared" si="15"/>
        <v>物业等级</v>
      </c>
      <c r="AA28" s="1810">
        <f t="shared" si="3"/>
        <v>1</v>
      </c>
      <c r="AB28" s="1810">
        <f t="shared" si="4"/>
        <v>1</v>
      </c>
      <c r="AC28" s="1810">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4"/>
      <c r="Q29" s="1809" t="str">
        <f t="shared" si="11"/>
        <v>有无电梯</v>
      </c>
      <c r="R29" s="774" t="s">
        <v>17</v>
      </c>
      <c r="S29" s="775">
        <f t="shared" si="12"/>
        <v>100</v>
      </c>
      <c r="T29" s="774" t="s">
        <v>17</v>
      </c>
      <c r="U29" s="775">
        <f t="shared" si="13"/>
        <v>100</v>
      </c>
      <c r="V29" s="774" t="s">
        <v>17</v>
      </c>
      <c r="W29" s="775">
        <f t="shared" si="14"/>
        <v>100</v>
      </c>
      <c r="X29" s="1812"/>
      <c r="Y29" s="3254"/>
      <c r="Z29" s="1813" t="str">
        <f t="shared" si="15"/>
        <v>有无电梯</v>
      </c>
      <c r="AA29" s="1810">
        <f t="shared" si="3"/>
        <v>1</v>
      </c>
      <c r="AB29" s="1810">
        <f t="shared" si="4"/>
        <v>1</v>
      </c>
      <c r="AC29" s="1810">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4"/>
      <c r="Q30" s="1809" t="str">
        <f t="shared" si="11"/>
        <v>建筑面积</v>
      </c>
      <c r="R30" s="774" t="s">
        <v>17</v>
      </c>
      <c r="S30" s="775" t="e">
        <f t="shared" si="12"/>
        <v>#N/A</v>
      </c>
      <c r="T30" s="774" t="s">
        <v>17</v>
      </c>
      <c r="U30" s="775" t="e">
        <f t="shared" si="13"/>
        <v>#N/A</v>
      </c>
      <c r="V30" s="774" t="s">
        <v>17</v>
      </c>
      <c r="W30" s="775" t="e">
        <f t="shared" si="14"/>
        <v>#N/A</v>
      </c>
      <c r="X30" s="1812"/>
      <c r="Y30" s="3254"/>
      <c r="Z30" s="1813" t="str">
        <f t="shared" si="15"/>
        <v>建筑面积</v>
      </c>
      <c r="AA30" s="1810" t="e">
        <f t="shared" si="3"/>
        <v>#N/A</v>
      </c>
      <c r="AB30" s="1810" t="e">
        <f t="shared" si="4"/>
        <v>#N/A</v>
      </c>
      <c r="AC30" s="1810"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4"/>
      <c r="Q31" s="1794"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4" t="s">
        <v>2547</v>
      </c>
      <c r="Q32" s="1809">
        <f t="shared" si="11"/>
        <v>111</v>
      </c>
      <c r="R32" s="774" t="s">
        <v>17</v>
      </c>
      <c r="S32" s="775">
        <f t="shared" si="12"/>
        <v>100</v>
      </c>
      <c r="T32" s="774" t="s">
        <v>17</v>
      </c>
      <c r="U32" s="775">
        <f t="shared" si="13"/>
        <v>100</v>
      </c>
      <c r="V32" s="774" t="s">
        <v>17</v>
      </c>
      <c r="W32" s="775">
        <f t="shared" si="14"/>
        <v>100</v>
      </c>
      <c r="X32" s="1812"/>
      <c r="Y32" s="3254" t="s">
        <v>2547</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4"/>
      <c r="Q33" s="1809">
        <f t="shared" si="11"/>
        <v>111</v>
      </c>
      <c r="R33" s="774" t="s">
        <v>17</v>
      </c>
      <c r="S33" s="775">
        <f t="shared" si="12"/>
        <v>100</v>
      </c>
      <c r="T33" s="774" t="s">
        <v>17</v>
      </c>
      <c r="U33" s="775">
        <f t="shared" si="13"/>
        <v>100</v>
      </c>
      <c r="V33" s="774" t="s">
        <v>17</v>
      </c>
      <c r="W33" s="775">
        <f t="shared" si="14"/>
        <v>100</v>
      </c>
      <c r="X33" s="1812"/>
      <c r="Y33" s="3254"/>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54"/>
      <c r="Q34" s="1809">
        <f t="shared" si="11"/>
        <v>111</v>
      </c>
      <c r="R34" s="774" t="s">
        <v>17</v>
      </c>
      <c r="S34" s="775">
        <f t="shared" si="12"/>
        <v>100</v>
      </c>
      <c r="T34" s="774" t="s">
        <v>17</v>
      </c>
      <c r="U34" s="775">
        <f t="shared" si="13"/>
        <v>100</v>
      </c>
      <c r="V34" s="774" t="s">
        <v>17</v>
      </c>
      <c r="W34" s="775">
        <f t="shared" si="14"/>
        <v>100</v>
      </c>
      <c r="X34" s="1812"/>
      <c r="Y34" s="3254"/>
      <c r="Z34" s="1813">
        <f t="shared" si="15"/>
        <v>111</v>
      </c>
      <c r="AA34" s="1810">
        <f t="shared" si="3"/>
        <v>1</v>
      </c>
      <c r="AB34" s="1810">
        <f t="shared" si="4"/>
        <v>1</v>
      </c>
      <c r="AC34" s="1810">
        <f t="shared" si="5"/>
        <v>1</v>
      </c>
    </row>
    <row r="35" spans="1:29" ht="15">
      <c r="A35" s="479" t="s">
        <v>2559</v>
      </c>
      <c r="B35" s="480"/>
      <c r="C35" s="1406" t="s">
        <v>1</v>
      </c>
      <c r="D35" s="1407"/>
      <c r="E35" s="1408"/>
      <c r="F35" s="1409"/>
      <c r="G35" s="1410"/>
      <c r="H35" s="1411"/>
      <c r="I35" s="1408"/>
      <c r="J35" s="1411"/>
      <c r="K35" s="783"/>
      <c r="L35" s="1143"/>
      <c r="M35" s="1144"/>
      <c r="N35" s="1131"/>
      <c r="O35" s="1144"/>
      <c r="P35" s="3247" t="str">
        <f>A35</f>
        <v>成交单价（元/平方米）</v>
      </c>
      <c r="Q35" s="3247"/>
      <c r="R35" s="3248">
        <f>E35</f>
        <v>0</v>
      </c>
      <c r="S35" s="3248"/>
      <c r="T35" s="3248">
        <f>G35</f>
        <v>0</v>
      </c>
      <c r="U35" s="3248"/>
      <c r="V35" s="3248">
        <f>I35</f>
        <v>0</v>
      </c>
      <c r="W35" s="3248"/>
      <c r="X35" s="759"/>
      <c r="Y35" s="781"/>
      <c r="Z35" s="759"/>
      <c r="AA35" s="759"/>
      <c r="AB35" s="759"/>
      <c r="AC35" s="759"/>
    </row>
    <row r="36" spans="1:29" ht="15.75" thickBot="1">
      <c r="A36" s="486" t="s">
        <v>2651</v>
      </c>
      <c r="B36" s="487"/>
      <c r="C36" s="1412" t="e">
        <f>R37</f>
        <v>#DIV/0!</v>
      </c>
      <c r="D36" s="1413"/>
      <c r="E36" s="1414" t="e">
        <f>R36</f>
        <v>#DIV/0!</v>
      </c>
      <c r="F36" s="1414"/>
      <c r="G36" s="1412" t="e">
        <f>T36</f>
        <v>#DIV/0!</v>
      </c>
      <c r="H36" s="1413"/>
      <c r="I36" s="1414" t="e">
        <f>V36</f>
        <v>#DIV/0!</v>
      </c>
      <c r="J36" s="1413"/>
      <c r="K36" s="784"/>
      <c r="L36" s="1143"/>
      <c r="M36" s="1144"/>
      <c r="N36" s="1131"/>
      <c r="O36" s="1144"/>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2652</v>
      </c>
      <c r="B37" s="493"/>
      <c r="C37" s="1416" t="e">
        <f>R37</f>
        <v>#DIV/0!</v>
      </c>
      <c r="D37" s="1416"/>
      <c r="E37" s="1416"/>
      <c r="F37" s="1416"/>
      <c r="G37" s="1416"/>
      <c r="H37" s="1416"/>
      <c r="I37" s="1416"/>
      <c r="J37" s="1416"/>
      <c r="K37" s="785"/>
      <c r="L37" s="1143"/>
      <c r="M37" s="1144"/>
      <c r="N37" s="1144"/>
      <c r="O37" s="1144"/>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2570</v>
      </c>
      <c r="B51" s="528" t="s">
        <v>2536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2545</v>
      </c>
      <c r="B77" s="528" t="s">
        <v>2598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60" t="s">
        <v>2630</v>
      </c>
      <c r="AC4" s="3259" t="s">
        <v>2631</v>
      </c>
    </row>
    <row r="5" spans="1:30"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60"/>
      <c r="AC5" s="3260"/>
    </row>
    <row r="6" spans="1:30" ht="15.75" thickBot="1">
      <c r="A6" s="406"/>
      <c r="B6" s="407"/>
      <c r="C6" s="3279" t="s">
        <v>2528</v>
      </c>
      <c r="D6" s="3280"/>
      <c r="E6" s="3286" t="s">
        <v>2528</v>
      </c>
      <c r="F6" s="3287"/>
      <c r="G6" s="3279" t="s">
        <v>2528</v>
      </c>
      <c r="H6" s="3280"/>
      <c r="I6" s="3279" t="s">
        <v>2528</v>
      </c>
      <c r="J6" s="3280"/>
      <c r="K6" s="610" t="s">
        <v>2529</v>
      </c>
      <c r="L6" s="1130"/>
      <c r="M6" s="1131"/>
      <c r="N6" s="1131"/>
      <c r="O6" s="1131"/>
      <c r="P6" s="3270"/>
      <c r="Q6" s="3271"/>
      <c r="R6" s="3274"/>
      <c r="S6" s="3275"/>
      <c r="T6" s="3276"/>
      <c r="U6" s="3277"/>
      <c r="V6" s="3278"/>
      <c r="W6" s="3278"/>
      <c r="X6" s="1812"/>
      <c r="Y6" s="3276"/>
      <c r="Z6" s="3277"/>
      <c r="AA6" s="3261"/>
      <c r="AB6" s="3261"/>
      <c r="AC6" s="3261"/>
    </row>
    <row r="7" spans="1:30" s="117" customFormat="1" ht="15.75" thickBot="1">
      <c r="A7" s="408" t="s">
        <v>2530</v>
      </c>
      <c r="B7" s="409"/>
      <c r="C7" s="410">
        <f>'数据-取费表'!B2</f>
        <v>43605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83" t="s">
        <v>2531</v>
      </c>
      <c r="Q7" s="3285"/>
      <c r="R7" s="770" t="s">
        <v>17</v>
      </c>
      <c r="S7" s="771">
        <f t="shared" ref="S7:S15" si="0">F7</f>
        <v>0</v>
      </c>
      <c r="T7" s="770" t="s">
        <v>17</v>
      </c>
      <c r="U7" s="771">
        <f t="shared" ref="U7:U15" si="1">H7</f>
        <v>0</v>
      </c>
      <c r="V7" s="770" t="s">
        <v>17</v>
      </c>
      <c r="W7" s="771">
        <f t="shared" ref="W7:W15" si="2">J7</f>
        <v>0</v>
      </c>
      <c r="X7" s="772"/>
      <c r="Y7" s="3283" t="s">
        <v>2531</v>
      </c>
      <c r="Z7" s="3284"/>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45" si="3">D8/F8</f>
        <v>#DIV/0!</v>
      </c>
      <c r="AB8" s="773" t="e">
        <f t="shared" ref="AB8:AB45" si="4">D8/H8</f>
        <v>#DIV/0!</v>
      </c>
      <c r="AC8" s="773"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47"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 ca="1">ROUND(100/'数据-取费表'!G16,0)</f>
        <v>126</v>
      </c>
      <c r="G10" s="463"/>
      <c r="H10" s="136">
        <f ca="1">ROUND(100/'数据-取费表'!G16,0)</f>
        <v>126</v>
      </c>
      <c r="I10" s="463"/>
      <c r="J10" s="136">
        <f ca="1">ROUND(100/'数据-取费表'!G16,0)</f>
        <v>126</v>
      </c>
      <c r="K10" s="672"/>
      <c r="L10" s="1135"/>
      <c r="M10" s="1136"/>
      <c r="N10" s="1136"/>
      <c r="O10" s="1137"/>
      <c r="P10" s="3247"/>
      <c r="Q10" s="1794" t="str">
        <f t="shared" si="6"/>
        <v>土地使用年限（年）</v>
      </c>
      <c r="R10" s="770" t="s">
        <v>17</v>
      </c>
      <c r="S10" s="771">
        <f t="shared" ca="1" si="0"/>
        <v>126</v>
      </c>
      <c r="T10" s="770" t="s">
        <v>17</v>
      </c>
      <c r="U10" s="771">
        <f t="shared" ca="1" si="1"/>
        <v>126</v>
      </c>
      <c r="V10" s="770" t="s">
        <v>17</v>
      </c>
      <c r="W10" s="771">
        <f t="shared" ca="1" si="2"/>
        <v>126</v>
      </c>
      <c r="X10" s="772"/>
      <c r="Y10" s="3018"/>
      <c r="Z10" s="55" t="str">
        <f t="shared" si="7"/>
        <v>土地使用年限（年）</v>
      </c>
      <c r="AA10" s="773">
        <f t="shared" ca="1" si="3"/>
        <v>0.79365079365079361</v>
      </c>
      <c r="AB10" s="773">
        <f t="shared" ca="1" si="4"/>
        <v>0.79365079365079361</v>
      </c>
      <c r="AC10" s="773">
        <f t="shared" ca="1" si="5"/>
        <v>0.79365079365079361</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7"/>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7"/>
      <c r="Q12" s="1794"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7"/>
      <c r="Q13" s="1794">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7"/>
      <c r="Q14" s="1794">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2541</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9" t="s">
        <v>2542</v>
      </c>
      <c r="Q15" s="1809" t="str">
        <f t="shared" si="6"/>
        <v>居住社区成熟度</v>
      </c>
      <c r="R15" s="774" t="s">
        <v>17</v>
      </c>
      <c r="S15" s="775">
        <f t="shared" si="0"/>
        <v>100</v>
      </c>
      <c r="T15" s="774" t="s">
        <v>17</v>
      </c>
      <c r="U15" s="775">
        <f t="shared" si="1"/>
        <v>100</v>
      </c>
      <c r="V15" s="774" t="s">
        <v>17</v>
      </c>
      <c r="W15" s="775">
        <f t="shared" si="2"/>
        <v>100</v>
      </c>
      <c r="X15" s="1812"/>
      <c r="Y15" s="3249" t="s">
        <v>2542</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50"/>
      <c r="Q16" s="1809"/>
      <c r="R16" s="774"/>
      <c r="S16" s="775"/>
      <c r="T16" s="774"/>
      <c r="U16" s="775"/>
      <c r="V16" s="774"/>
      <c r="W16" s="775"/>
      <c r="X16" s="1812"/>
      <c r="Y16" s="3250"/>
      <c r="Z16" s="1813"/>
      <c r="AA16" s="1810">
        <v>1</v>
      </c>
      <c r="AB16" s="1810">
        <v>1</v>
      </c>
      <c r="AC16" s="1810">
        <v>1</v>
      </c>
    </row>
    <row r="17" spans="1:29" ht="71.25">
      <c r="A17" s="428"/>
      <c r="B17" s="451" t="s">
        <v>2635</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0"/>
      <c r="Q17" s="1809" t="str">
        <f>B17</f>
        <v>商业繁华度</v>
      </c>
      <c r="R17" s="774" t="s">
        <v>17</v>
      </c>
      <c r="S17" s="775">
        <f>F17</f>
        <v>100</v>
      </c>
      <c r="T17" s="774" t="s">
        <v>17</v>
      </c>
      <c r="U17" s="775">
        <f>H17</f>
        <v>100</v>
      </c>
      <c r="V17" s="774" t="s">
        <v>17</v>
      </c>
      <c r="W17" s="775">
        <f>J17</f>
        <v>100</v>
      </c>
      <c r="X17" s="1812"/>
      <c r="Y17" s="3250"/>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250"/>
      <c r="Q18" s="1809"/>
      <c r="R18" s="774"/>
      <c r="S18" s="775"/>
      <c r="T18" s="774"/>
      <c r="U18" s="775"/>
      <c r="V18" s="774"/>
      <c r="W18" s="775"/>
      <c r="X18" s="1812"/>
      <c r="Y18" s="3250"/>
      <c r="Z18" s="1813"/>
      <c r="AA18" s="1810">
        <v>1</v>
      </c>
      <c r="AB18" s="1810">
        <v>1</v>
      </c>
      <c r="AC18" s="1810">
        <v>1</v>
      </c>
    </row>
    <row r="19" spans="1:29" ht="71.25">
      <c r="A19" s="428"/>
      <c r="B19" s="451" t="s">
        <v>2669</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0"/>
      <c r="Q19" s="1809" t="str">
        <f>B19</f>
        <v>办公集聚程度</v>
      </c>
      <c r="R19" s="774" t="s">
        <v>17</v>
      </c>
      <c r="S19" s="775">
        <f>F19</f>
        <v>100</v>
      </c>
      <c r="T19" s="774" t="s">
        <v>17</v>
      </c>
      <c r="U19" s="775">
        <f>H19</f>
        <v>100</v>
      </c>
      <c r="V19" s="774" t="s">
        <v>17</v>
      </c>
      <c r="W19" s="775">
        <f>J19</f>
        <v>100</v>
      </c>
      <c r="X19" s="1812"/>
      <c r="Y19" s="3250"/>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50"/>
      <c r="Q20" s="1809"/>
      <c r="R20" s="774"/>
      <c r="S20" s="775"/>
      <c r="T20" s="774"/>
      <c r="U20" s="775"/>
      <c r="V20" s="774"/>
      <c r="W20" s="775"/>
      <c r="X20" s="1812"/>
      <c r="Y20" s="3250"/>
      <c r="Z20" s="1813"/>
      <c r="AA20" s="1810">
        <v>1</v>
      </c>
      <c r="AB20" s="1810">
        <v>1</v>
      </c>
      <c r="AC20" s="1810">
        <v>1</v>
      </c>
    </row>
    <row r="21" spans="1:29" ht="85.5">
      <c r="A21" s="428"/>
      <c r="B21" s="451" t="s">
        <v>2691</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0"/>
      <c r="Q21" s="1809" t="str">
        <f>B21</f>
        <v>交通便捷度</v>
      </c>
      <c r="R21" s="774" t="s">
        <v>17</v>
      </c>
      <c r="S21" s="775">
        <f>F21</f>
        <v>100</v>
      </c>
      <c r="T21" s="774" t="s">
        <v>17</v>
      </c>
      <c r="U21" s="775">
        <f>H21</f>
        <v>100</v>
      </c>
      <c r="V21" s="774" t="s">
        <v>17</v>
      </c>
      <c r="W21" s="775">
        <f>J21</f>
        <v>100</v>
      </c>
      <c r="X21" s="1812"/>
      <c r="Y21" s="3250"/>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250"/>
      <c r="Q22" s="1809"/>
      <c r="R22" s="774"/>
      <c r="S22" s="775"/>
      <c r="T22" s="774"/>
      <c r="U22" s="775"/>
      <c r="V22" s="774"/>
      <c r="W22" s="775"/>
      <c r="X22" s="1812"/>
      <c r="Y22" s="3250"/>
      <c r="Z22" s="1813"/>
      <c r="AA22" s="1810">
        <v>1</v>
      </c>
      <c r="AB22" s="1810">
        <v>1</v>
      </c>
      <c r="AC22" s="1810">
        <v>1</v>
      </c>
    </row>
    <row r="23" spans="1:29" ht="15">
      <c r="A23" s="404"/>
      <c r="B23" s="451" t="s">
        <v>2730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0"/>
      <c r="Q23" s="1809" t="str">
        <f t="shared" ref="Q23:Q37" si="8">B23</f>
        <v>区域土地利用方向</v>
      </c>
      <c r="R23" s="774" t="s">
        <v>17</v>
      </c>
      <c r="S23" s="775">
        <f>F23</f>
        <v>100</v>
      </c>
      <c r="T23" s="774" t="s">
        <v>17</v>
      </c>
      <c r="U23" s="775">
        <f>H23</f>
        <v>100</v>
      </c>
      <c r="V23" s="774" t="s">
        <v>17</v>
      </c>
      <c r="W23" s="775">
        <f>J23</f>
        <v>100</v>
      </c>
      <c r="X23" s="1812"/>
      <c r="Y23" s="3250"/>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250"/>
      <c r="Q24" s="1809"/>
      <c r="R24" s="774"/>
      <c r="S24" s="775"/>
      <c r="T24" s="774"/>
      <c r="U24" s="775"/>
      <c r="V24" s="774"/>
      <c r="W24" s="775"/>
      <c r="X24" s="1812"/>
      <c r="Y24" s="3250"/>
      <c r="Z24" s="1813"/>
      <c r="AA24" s="1810"/>
      <c r="AB24" s="1810"/>
      <c r="AC24" s="1810"/>
    </row>
    <row r="25" spans="1:29" ht="57">
      <c r="A25" s="404"/>
      <c r="B25" s="1383" t="s">
        <v>2731</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0"/>
      <c r="Q25" s="1809" t="str">
        <f t="shared" si="8"/>
        <v>自然及人文环境状况</v>
      </c>
      <c r="R25" s="774" t="s">
        <v>17</v>
      </c>
      <c r="S25" s="775">
        <f>F25</f>
        <v>100</v>
      </c>
      <c r="T25" s="774" t="s">
        <v>17</v>
      </c>
      <c r="U25" s="775">
        <f>H25</f>
        <v>100</v>
      </c>
      <c r="V25" s="774" t="s">
        <v>17</v>
      </c>
      <c r="W25" s="775">
        <f>J25</f>
        <v>100</v>
      </c>
      <c r="X25" s="1812"/>
      <c r="Y25" s="3250"/>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250"/>
      <c r="Q26" s="1809"/>
      <c r="R26" s="774"/>
      <c r="S26" s="775"/>
      <c r="T26" s="774"/>
      <c r="U26" s="775"/>
      <c r="V26" s="774"/>
      <c r="W26" s="775"/>
      <c r="X26" s="1812"/>
      <c r="Y26" s="3250"/>
      <c r="Z26" s="1813"/>
      <c r="AA26" s="1810">
        <v>1</v>
      </c>
      <c r="AB26" s="1810">
        <v>1</v>
      </c>
      <c r="AC26" s="1810">
        <v>1</v>
      </c>
    </row>
    <row r="27" spans="1:29" s="117" customFormat="1" ht="42.75">
      <c r="A27" s="649"/>
      <c r="B27" s="1383" t="s">
        <v>2636</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0"/>
      <c r="Q27" s="1794" t="str">
        <f t="shared" si="8"/>
        <v>公共配套设施</v>
      </c>
      <c r="R27" s="770" t="s">
        <v>17</v>
      </c>
      <c r="S27" s="771">
        <f>F27</f>
        <v>100</v>
      </c>
      <c r="T27" s="770" t="s">
        <v>17</v>
      </c>
      <c r="U27" s="771">
        <f>H27</f>
        <v>100</v>
      </c>
      <c r="V27" s="770" t="s">
        <v>17</v>
      </c>
      <c r="W27" s="771">
        <f>J27</f>
        <v>100</v>
      </c>
      <c r="X27" s="772"/>
      <c r="Y27" s="3250"/>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250"/>
      <c r="Q28" s="1794"/>
      <c r="R28" s="770"/>
      <c r="S28" s="771"/>
      <c r="T28" s="770"/>
      <c r="U28" s="771"/>
      <c r="V28" s="770"/>
      <c r="W28" s="771"/>
      <c r="X28" s="772"/>
      <c r="Y28" s="3250"/>
      <c r="Z28" s="55"/>
      <c r="AA28" s="1810">
        <v>1</v>
      </c>
      <c r="AB28" s="1810">
        <v>1</v>
      </c>
      <c r="AC28" s="1810">
        <v>1</v>
      </c>
    </row>
    <row r="29" spans="1:29" s="117" customFormat="1" ht="28.5">
      <c r="A29" s="649"/>
      <c r="B29" s="1383" t="s">
        <v>2637</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0"/>
      <c r="Q29" s="1794" t="str">
        <f t="shared" ref="Q29" si="9">B29</f>
        <v>基础设施水平</v>
      </c>
      <c r="R29" s="770" t="s">
        <v>17</v>
      </c>
      <c r="S29" s="771">
        <f>F29</f>
        <v>100</v>
      </c>
      <c r="T29" s="770" t="s">
        <v>17</v>
      </c>
      <c r="U29" s="771">
        <f>H29</f>
        <v>100</v>
      </c>
      <c r="V29" s="770" t="s">
        <v>17</v>
      </c>
      <c r="W29" s="771">
        <f>J29</f>
        <v>100</v>
      </c>
      <c r="X29" s="772"/>
      <c r="Y29" s="3250"/>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50"/>
      <c r="Q30" s="1794"/>
      <c r="R30" s="770"/>
      <c r="S30" s="771"/>
      <c r="T30" s="770"/>
      <c r="U30" s="771"/>
      <c r="V30" s="770"/>
      <c r="W30" s="771"/>
      <c r="X30" s="772"/>
      <c r="Y30" s="3250"/>
      <c r="Z30" s="55"/>
      <c r="AA30" s="1810">
        <v>1</v>
      </c>
      <c r="AB30" s="1810">
        <v>1</v>
      </c>
      <c r="AC30" s="1810">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50"/>
      <c r="Z31" s="1813" t="str">
        <f t="shared" ref="Z31:Z45" si="13">Q31</f>
        <v>临街状况</v>
      </c>
      <c r="AA31" s="1810">
        <f t="shared" si="3"/>
        <v>1</v>
      </c>
      <c r="AB31" s="1810">
        <f t="shared" si="4"/>
        <v>1</v>
      </c>
      <c r="AC31" s="1810">
        <f t="shared" si="5"/>
        <v>1</v>
      </c>
    </row>
    <row r="32" spans="1:29" ht="27">
      <c r="A32" s="428"/>
      <c r="B32" s="1383"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0"/>
      <c r="Q32" s="1809" t="str">
        <f t="shared" si="8"/>
        <v>毗邻道路的类型与等级</v>
      </c>
      <c r="R32" s="774" t="s">
        <v>17</v>
      </c>
      <c r="S32" s="775">
        <f t="shared" si="10"/>
        <v>100</v>
      </c>
      <c r="T32" s="774" t="s">
        <v>17</v>
      </c>
      <c r="U32" s="775">
        <f t="shared" si="11"/>
        <v>100</v>
      </c>
      <c r="V32" s="774" t="s">
        <v>17</v>
      </c>
      <c r="W32" s="775">
        <f t="shared" si="12"/>
        <v>100</v>
      </c>
      <c r="X32" s="1812"/>
      <c r="Y32" s="3250"/>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50"/>
      <c r="Q33" s="1809"/>
      <c r="R33" s="774"/>
      <c r="S33" s="775"/>
      <c r="T33" s="774"/>
      <c r="U33" s="775"/>
      <c r="V33" s="774"/>
      <c r="W33" s="775"/>
      <c r="X33" s="1812"/>
      <c r="Y33" s="3250"/>
      <c r="Z33" s="1813"/>
      <c r="AA33" s="1810">
        <v>1</v>
      </c>
      <c r="AB33" s="1810">
        <v>1</v>
      </c>
      <c r="AC33" s="1810">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0"/>
      <c r="Q34" s="1809" t="str">
        <f t="shared" si="8"/>
        <v>土地级别</v>
      </c>
      <c r="R34" s="774" t="s">
        <v>17</v>
      </c>
      <c r="S34" s="775">
        <f t="shared" si="10"/>
        <v>100</v>
      </c>
      <c r="T34" s="774" t="s">
        <v>17</v>
      </c>
      <c r="U34" s="775">
        <f t="shared" si="11"/>
        <v>100</v>
      </c>
      <c r="V34" s="774" t="s">
        <v>17</v>
      </c>
      <c r="W34" s="775">
        <f t="shared" si="12"/>
        <v>100</v>
      </c>
      <c r="X34" s="1812"/>
      <c r="Y34" s="325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0"/>
      <c r="Q35" s="1809">
        <f t="shared" si="8"/>
        <v>111</v>
      </c>
      <c r="R35" s="774" t="s">
        <v>17</v>
      </c>
      <c r="S35" s="775">
        <f t="shared" si="10"/>
        <v>100</v>
      </c>
      <c r="T35" s="774" t="s">
        <v>17</v>
      </c>
      <c r="U35" s="775">
        <f t="shared" si="11"/>
        <v>100</v>
      </c>
      <c r="V35" s="774" t="s">
        <v>17</v>
      </c>
      <c r="W35" s="775">
        <f t="shared" si="12"/>
        <v>100</v>
      </c>
      <c r="X35" s="1812"/>
      <c r="Y35" s="325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5" t="s">
        <v>2547</v>
      </c>
      <c r="Q36" s="1809">
        <f t="shared" si="8"/>
        <v>111</v>
      </c>
      <c r="R36" s="774" t="s">
        <v>17</v>
      </c>
      <c r="S36" s="775">
        <f t="shared" si="10"/>
        <v>100</v>
      </c>
      <c r="T36" s="774" t="s">
        <v>17</v>
      </c>
      <c r="U36" s="775">
        <f t="shared" si="11"/>
        <v>100</v>
      </c>
      <c r="V36" s="774" t="s">
        <v>17</v>
      </c>
      <c r="W36" s="775">
        <f t="shared" si="12"/>
        <v>100</v>
      </c>
      <c r="X36" s="1812"/>
      <c r="Y36" s="3254" t="s">
        <v>2547</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4"/>
      <c r="Q37" s="1809">
        <f t="shared" si="8"/>
        <v>111</v>
      </c>
      <c r="R37" s="777" t="s">
        <v>17</v>
      </c>
      <c r="S37" s="778">
        <f t="shared" si="10"/>
        <v>100</v>
      </c>
      <c r="T37" s="777" t="s">
        <v>17</v>
      </c>
      <c r="U37" s="778">
        <f t="shared" si="11"/>
        <v>100</v>
      </c>
      <c r="V37" s="777" t="s">
        <v>17</v>
      </c>
      <c r="W37" s="778">
        <f t="shared" si="12"/>
        <v>100</v>
      </c>
      <c r="X37" s="779"/>
      <c r="Y37" s="3254"/>
      <c r="Z37" s="780">
        <f t="shared" si="13"/>
        <v>111</v>
      </c>
      <c r="AA37" s="1810">
        <f t="shared" si="3"/>
        <v>1</v>
      </c>
      <c r="AB37" s="1810">
        <f t="shared" si="4"/>
        <v>1</v>
      </c>
      <c r="AC37" s="1810">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4"/>
      <c r="Q38" s="1809" t="str">
        <f>B38</f>
        <v>宗地面积</v>
      </c>
      <c r="R38" s="774" t="s">
        <v>17</v>
      </c>
      <c r="S38" s="775" t="e">
        <f t="shared" si="10"/>
        <v>#N/A</v>
      </c>
      <c r="T38" s="774" t="s">
        <v>17</v>
      </c>
      <c r="U38" s="775" t="e">
        <f t="shared" si="11"/>
        <v>#N/A</v>
      </c>
      <c r="V38" s="774" t="s">
        <v>17</v>
      </c>
      <c r="W38" s="775" t="e">
        <f t="shared" si="12"/>
        <v>#N/A</v>
      </c>
      <c r="X38" s="1812"/>
      <c r="Y38" s="3254"/>
      <c r="Z38" s="1813" t="str">
        <f t="shared" si="13"/>
        <v>宗地面积</v>
      </c>
      <c r="AA38" s="1810" t="e">
        <f t="shared" si="3"/>
        <v>#N/A</v>
      </c>
      <c r="AB38" s="1810" t="e">
        <f t="shared" si="4"/>
        <v>#N/A</v>
      </c>
      <c r="AC38" s="1810"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54"/>
      <c r="Q39" s="1809" t="str">
        <f t="shared" ref="Q39:Q45" si="14">B39</f>
        <v>宗地形状</v>
      </c>
      <c r="R39" s="774" t="s">
        <v>17</v>
      </c>
      <c r="S39" s="775">
        <f t="shared" si="10"/>
        <v>100</v>
      </c>
      <c r="T39" s="774" t="s">
        <v>17</v>
      </c>
      <c r="U39" s="775">
        <f t="shared" si="11"/>
        <v>100</v>
      </c>
      <c r="V39" s="774" t="s">
        <v>17</v>
      </c>
      <c r="W39" s="775">
        <f t="shared" si="12"/>
        <v>100</v>
      </c>
      <c r="X39" s="1812"/>
      <c r="Y39" s="3254"/>
      <c r="Z39" s="1813" t="str">
        <f t="shared" si="13"/>
        <v>宗地形状</v>
      </c>
      <c r="AA39" s="1810">
        <f t="shared" si="3"/>
        <v>1</v>
      </c>
      <c r="AB39" s="1810">
        <f t="shared" si="4"/>
        <v>1</v>
      </c>
      <c r="AC39" s="1810">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54"/>
      <c r="Q40" s="1809" t="str">
        <f t="shared" si="14"/>
        <v>临街宽度及深度</v>
      </c>
      <c r="R40" s="774" t="s">
        <v>17</v>
      </c>
      <c r="S40" s="775">
        <f t="shared" si="10"/>
        <v>100</v>
      </c>
      <c r="T40" s="774" t="s">
        <v>17</v>
      </c>
      <c r="U40" s="775">
        <f t="shared" si="11"/>
        <v>100</v>
      </c>
      <c r="V40" s="774" t="s">
        <v>17</v>
      </c>
      <c r="W40" s="775">
        <f t="shared" si="12"/>
        <v>100</v>
      </c>
      <c r="X40" s="1812"/>
      <c r="Y40" s="3254"/>
      <c r="Z40" s="1813" t="str">
        <f t="shared" si="13"/>
        <v>临街宽度及深度</v>
      </c>
      <c r="AA40" s="1810">
        <f t="shared" si="3"/>
        <v>1</v>
      </c>
      <c r="AB40" s="1810">
        <f t="shared" si="4"/>
        <v>1</v>
      </c>
      <c r="AC40" s="1810">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54"/>
      <c r="Q41" s="1809"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54" t="s">
        <v>2547</v>
      </c>
      <c r="Q42" s="1809" t="str">
        <f t="shared" si="14"/>
        <v>工程地质条件</v>
      </c>
      <c r="R42" s="774" t="s">
        <v>17</v>
      </c>
      <c r="S42" s="775">
        <f t="shared" si="10"/>
        <v>100</v>
      </c>
      <c r="T42" s="774" t="s">
        <v>17</v>
      </c>
      <c r="U42" s="775">
        <f t="shared" si="11"/>
        <v>100</v>
      </c>
      <c r="V42" s="774" t="s">
        <v>17</v>
      </c>
      <c r="W42" s="775">
        <f t="shared" si="12"/>
        <v>100</v>
      </c>
      <c r="X42" s="1812"/>
      <c r="Y42" s="3254" t="s">
        <v>2547</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4"/>
      <c r="Q43" s="1809">
        <f t="shared" si="14"/>
        <v>111</v>
      </c>
      <c r="R43" s="774" t="s">
        <v>17</v>
      </c>
      <c r="S43" s="775">
        <f t="shared" si="10"/>
        <v>100</v>
      </c>
      <c r="T43" s="774" t="s">
        <v>17</v>
      </c>
      <c r="U43" s="775">
        <f t="shared" si="11"/>
        <v>100</v>
      </c>
      <c r="V43" s="774" t="s">
        <v>17</v>
      </c>
      <c r="W43" s="775">
        <f t="shared" si="12"/>
        <v>100</v>
      </c>
      <c r="X43" s="1812"/>
      <c r="Y43" s="325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4"/>
      <c r="Q44" s="1809">
        <f t="shared" si="14"/>
        <v>111</v>
      </c>
      <c r="R44" s="774" t="s">
        <v>17</v>
      </c>
      <c r="S44" s="775">
        <f t="shared" si="10"/>
        <v>100</v>
      </c>
      <c r="T44" s="774" t="s">
        <v>17</v>
      </c>
      <c r="U44" s="775">
        <f t="shared" si="11"/>
        <v>100</v>
      </c>
      <c r="V44" s="774" t="s">
        <v>17</v>
      </c>
      <c r="W44" s="775">
        <f t="shared" si="12"/>
        <v>100</v>
      </c>
      <c r="X44" s="1812"/>
      <c r="Y44" s="3254"/>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4"/>
      <c r="Q45" s="1809">
        <f t="shared" si="14"/>
        <v>111</v>
      </c>
      <c r="R45" s="777" t="s">
        <v>17</v>
      </c>
      <c r="S45" s="778">
        <f t="shared" si="10"/>
        <v>100</v>
      </c>
      <c r="T45" s="777" t="s">
        <v>17</v>
      </c>
      <c r="U45" s="778">
        <f t="shared" si="11"/>
        <v>100</v>
      </c>
      <c r="V45" s="777" t="s">
        <v>17</v>
      </c>
      <c r="W45" s="778">
        <f t="shared" si="12"/>
        <v>100</v>
      </c>
      <c r="X45" s="779"/>
      <c r="Y45" s="3254"/>
      <c r="Z45" s="780">
        <f t="shared" si="13"/>
        <v>111</v>
      </c>
      <c r="AA45" s="1810">
        <f t="shared" si="3"/>
        <v>1</v>
      </c>
      <c r="AB45" s="1810">
        <f t="shared" si="4"/>
        <v>1</v>
      </c>
      <c r="AC45" s="1810">
        <f t="shared" si="5"/>
        <v>1</v>
      </c>
    </row>
    <row r="46" spans="1:29" ht="15">
      <c r="A46" s="479" t="s">
        <v>2702</v>
      </c>
      <c r="B46" s="2704" t="s">
        <v>2738</v>
      </c>
      <c r="C46" s="682" t="s">
        <v>1</v>
      </c>
      <c r="D46" s="481"/>
      <c r="E46" s="482"/>
      <c r="F46" s="483"/>
      <c r="G46" s="484"/>
      <c r="H46" s="485"/>
      <c r="I46" s="482"/>
      <c r="J46" s="485"/>
      <c r="K46" s="783"/>
      <c r="L46" s="1143"/>
      <c r="M46" s="1144"/>
      <c r="N46" s="1131"/>
      <c r="O46" s="1144"/>
      <c r="P46" s="3247" t="str">
        <f>A46</f>
        <v>成交单价</v>
      </c>
      <c r="Q46" s="3247"/>
      <c r="R46" s="3278">
        <f>E46</f>
        <v>0</v>
      </c>
      <c r="S46" s="3278"/>
      <c r="T46" s="3278">
        <f>G46</f>
        <v>0</v>
      </c>
      <c r="U46" s="3278"/>
      <c r="V46" s="3278">
        <f>I46</f>
        <v>0</v>
      </c>
      <c r="W46" s="3278"/>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3"/>
      <c r="M47" s="1144"/>
      <c r="N47" s="1144"/>
      <c r="O47" s="1144"/>
      <c r="P47" s="3247" t="str">
        <f>A47</f>
        <v>比较价值（元/平方米）</v>
      </c>
      <c r="Q47" s="3247"/>
      <c r="R47" s="3306" t="e">
        <f>ROUND(PRODUCT(R46,AA7:AA45),0)</f>
        <v>#DIV/0!</v>
      </c>
      <c r="S47" s="3306"/>
      <c r="T47" s="3306" t="e">
        <f>ROUND(PRODUCT(T46,AB7:AB45),0)</f>
        <v>#DIV/0!</v>
      </c>
      <c r="U47" s="3306"/>
      <c r="V47" s="3306" t="e">
        <f>ROUND(PRODUCT(V46,AC7:AC45),0)</f>
        <v>#DIV/0!</v>
      </c>
      <c r="W47" s="3306"/>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3"/>
      <c r="M48" s="1144"/>
      <c r="N48" s="1144"/>
      <c r="O48" s="1144"/>
      <c r="P48" s="3244" t="str">
        <f>A48</f>
        <v>估价对象XX用房的比较价值（楼面单价，元/平方米）</v>
      </c>
      <c r="Q48" s="3245"/>
      <c r="R48" s="3307" t="e">
        <f>ROUND(AVERAGE(R47:V47),0)</f>
        <v>#DIV/0!</v>
      </c>
      <c r="S48" s="3307"/>
      <c r="T48" s="3307"/>
      <c r="U48" s="3307"/>
      <c r="V48" s="3307"/>
      <c r="W48" s="33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5" t="s">
        <v>2742</v>
      </c>
      <c r="D55" s="2706" t="s">
        <v>2743</v>
      </c>
      <c r="E55" s="686" t="s">
        <v>2744</v>
      </c>
      <c r="F55" s="1107" t="s">
        <v>2745</v>
      </c>
      <c r="G55" s="3262" t="s">
        <v>2746</v>
      </c>
      <c r="H55" s="3308"/>
      <c r="I55" s="144" t="s">
        <v>2747</v>
      </c>
      <c r="J55" s="2707">
        <f>项目基本情况!F35</f>
        <v>0</v>
      </c>
      <c r="K55" s="2708" t="s">
        <v>2748</v>
      </c>
      <c r="L55" s="1106"/>
      <c r="M55" s="1144"/>
      <c r="N55" s="1144"/>
      <c r="O55" s="1144"/>
    </row>
    <row r="56" spans="1:15" s="692" customFormat="1">
      <c r="A56" s="688" t="s">
        <v>2749</v>
      </c>
      <c r="B56" s="689" t="e">
        <f>C48</f>
        <v>#DIV/0!</v>
      </c>
      <c r="C56" s="690">
        <v>1</v>
      </c>
      <c r="D56" s="1163">
        <v>1</v>
      </c>
      <c r="E56" s="690">
        <f>'数据-汇总表'!E8+'数据-汇总表'!E9</f>
        <v>44527.51</v>
      </c>
      <c r="F56" s="1103" t="e">
        <f t="shared" ref="F56:F65" si="15">ROUND(B56*E56/10000,0)</f>
        <v>#DIV/0!</v>
      </c>
      <c r="G56" s="3258"/>
      <c r="H56" s="3247"/>
      <c r="I56" s="1108">
        <v>1</v>
      </c>
      <c r="J56" s="1111">
        <v>1</v>
      </c>
      <c r="K56" s="1145"/>
      <c r="L56" s="941"/>
      <c r="M56" s="941"/>
      <c r="N56" s="941"/>
      <c r="O56" s="941"/>
    </row>
    <row r="57" spans="1:15" s="692" customFormat="1">
      <c r="A57" s="693" t="s">
        <v>2750</v>
      </c>
      <c r="B57" s="262" t="e">
        <f>ROUND($C$48*C57*D57,0)</f>
        <v>#DIV/0!</v>
      </c>
      <c r="C57" s="200">
        <f t="shared" ref="C57:C65" si="16">IF($C$55="北京市系数",I57,J57)</f>
        <v>0.7</v>
      </c>
      <c r="D57" s="1164">
        <v>0.25</v>
      </c>
      <c r="E57" s="694"/>
      <c r="F57" s="1103" t="e">
        <f t="shared" si="15"/>
        <v>#DIV/0!</v>
      </c>
      <c r="G57" s="3309" t="s">
        <v>2751</v>
      </c>
      <c r="H57" s="1104" t="str">
        <f>项目基本情况!B37</f>
        <v>六级</v>
      </c>
      <c r="I57" s="1108">
        <f>SUMIF(修正!A45:A56,H57,修正!B45:B56)</f>
        <v>0.7</v>
      </c>
      <c r="J57" s="1112"/>
      <c r="K57" s="1144"/>
      <c r="L57" s="941"/>
      <c r="M57" s="941"/>
      <c r="N57" s="941"/>
      <c r="O57" s="941"/>
    </row>
    <row r="58" spans="1:15" s="692" customFormat="1">
      <c r="A58" s="693" t="s">
        <v>2752</v>
      </c>
      <c r="B58" s="262" t="e">
        <f t="shared" ref="B58:B65" si="17">ROUND($C$48*C58*D58,0)</f>
        <v>#DIV/0!</v>
      </c>
      <c r="C58" s="200">
        <f t="shared" si="16"/>
        <v>0.4</v>
      </c>
      <c r="D58" s="1164">
        <v>0.25</v>
      </c>
      <c r="E58" s="694"/>
      <c r="F58" s="1103" t="e">
        <f t="shared" si="15"/>
        <v>#DIV/0!</v>
      </c>
      <c r="G58" s="3309"/>
      <c r="H58" s="1104" t="str">
        <f>项目基本情况!B37</f>
        <v>六级</v>
      </c>
      <c r="I58" s="1108">
        <f>SUMIF(修正!A45:A56,H58,修正!C45:C56)</f>
        <v>0.4</v>
      </c>
      <c r="J58" s="1112"/>
      <c r="K58" s="1145"/>
      <c r="L58" s="941"/>
      <c r="M58" s="941"/>
      <c r="N58" s="941"/>
      <c r="O58" s="941"/>
    </row>
    <row r="59" spans="1:15" s="692" customFormat="1">
      <c r="A59" s="693" t="s">
        <v>2753</v>
      </c>
      <c r="B59" s="262" t="e">
        <f t="shared" si="17"/>
        <v>#DIV/0!</v>
      </c>
      <c r="C59" s="200">
        <f t="shared" si="16"/>
        <v>0.28000000000000003</v>
      </c>
      <c r="D59" s="1164">
        <v>0.25</v>
      </c>
      <c r="E59" s="694"/>
      <c r="F59" s="1103" t="e">
        <f t="shared" si="15"/>
        <v>#DIV/0!</v>
      </c>
      <c r="G59" s="3309"/>
      <c r="H59" s="1104" t="str">
        <f>项目基本情况!B37</f>
        <v>六级</v>
      </c>
      <c r="I59" s="1108">
        <f>SUMIF(修正!A45:A56,H59,修正!D45:D56)</f>
        <v>0.28000000000000003</v>
      </c>
      <c r="J59" s="1112"/>
      <c r="K59" s="1144"/>
      <c r="L59" s="941"/>
      <c r="M59" s="941"/>
      <c r="N59" s="941"/>
      <c r="O59" s="941"/>
    </row>
    <row r="60" spans="1:15" s="692" customFormat="1">
      <c r="A60" s="693" t="s">
        <v>2754</v>
      </c>
      <c r="B60" s="262" t="e">
        <f t="shared" si="17"/>
        <v>#DIV/0!</v>
      </c>
      <c r="C60" s="200">
        <f t="shared" si="16"/>
        <v>0.25</v>
      </c>
      <c r="D60" s="1164">
        <v>0.25</v>
      </c>
      <c r="E60" s="694"/>
      <c r="F60" s="1103" t="e">
        <f t="shared" si="15"/>
        <v>#DIV/0!</v>
      </c>
      <c r="G60" s="3309"/>
      <c r="H60" s="1104" t="str">
        <f>项目基本情况!B37</f>
        <v>六级</v>
      </c>
      <c r="I60" s="1108">
        <f>SUMIF(修正!A45:A56,H60,修正!E45:E56)</f>
        <v>0.25</v>
      </c>
      <c r="J60" s="1112"/>
      <c r="K60" s="1145"/>
      <c r="L60" s="941"/>
      <c r="M60" s="941"/>
      <c r="N60" s="941"/>
      <c r="O60" s="941"/>
    </row>
    <row r="61" spans="1:15" s="692" customFormat="1">
      <c r="A61" s="693" t="s">
        <v>2755</v>
      </c>
      <c r="B61" s="262" t="e">
        <f t="shared" si="17"/>
        <v>#DIV/0!</v>
      </c>
      <c r="C61" s="200">
        <f t="shared" si="16"/>
        <v>0</v>
      </c>
      <c r="D61" s="1164">
        <v>0.25</v>
      </c>
      <c r="E61" s="261">
        <f>'数据-汇总表'!E11</f>
        <v>0</v>
      </c>
      <c r="F61" s="1103" t="e">
        <f t="shared" si="15"/>
        <v>#DIV/0!</v>
      </c>
      <c r="G61" s="2709" t="s">
        <v>2756</v>
      </c>
      <c r="H61" s="1104">
        <f>项目基本情况!C37</f>
        <v>0</v>
      </c>
      <c r="I61" s="1108">
        <f>SUMIF(修正!A45:A56,H61,修正!F45:F56)</f>
        <v>0</v>
      </c>
      <c r="J61" s="1112"/>
      <c r="K61" s="1144"/>
      <c r="L61" s="941"/>
      <c r="M61" s="941"/>
      <c r="N61" s="941"/>
      <c r="O61" s="941"/>
    </row>
    <row r="62" spans="1:15" s="692" customFormat="1">
      <c r="A62" s="693" t="s">
        <v>2757</v>
      </c>
      <c r="B62" s="262" t="e">
        <f t="shared" si="17"/>
        <v>#DIV/0!</v>
      </c>
      <c r="C62" s="200">
        <f t="shared" si="16"/>
        <v>0</v>
      </c>
      <c r="D62" s="1164">
        <v>0.25</v>
      </c>
      <c r="E62" s="261">
        <f>'数据-汇总表'!E12</f>
        <v>0</v>
      </c>
      <c r="F62" s="1103" t="e">
        <f t="shared" si="15"/>
        <v>#DIV/0!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t="e">
        <f t="shared" si="17"/>
        <v>#DIV/0!</v>
      </c>
      <c r="C63" s="200">
        <f t="shared" si="16"/>
        <v>0</v>
      </c>
      <c r="D63" s="1164">
        <v>0.25</v>
      </c>
      <c r="E63" s="261">
        <f>'数据-汇总表'!E13</f>
        <v>0</v>
      </c>
      <c r="F63" s="1103" t="e">
        <f t="shared" si="15"/>
        <v>#DIV/0!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t="e">
        <f t="shared" si="17"/>
        <v>#DIV/0!</v>
      </c>
      <c r="C64" s="200">
        <f t="shared" si="16"/>
        <v>0.2</v>
      </c>
      <c r="D64" s="1164">
        <v>0.25</v>
      </c>
      <c r="E64" s="261">
        <f>'数据-汇总表'!E14</f>
        <v>0</v>
      </c>
      <c r="F64" s="1103" t="e">
        <f t="shared" si="15"/>
        <v>#DIV/0!</v>
      </c>
      <c r="G64" s="2709" t="s">
        <v>2751</v>
      </c>
      <c r="H64" s="1104" t="str">
        <f>项目基本情况!B37</f>
        <v>六级</v>
      </c>
      <c r="I64" s="1108">
        <f>SUMIF(修正!A45:A56,H64,修正!H45:H56)</f>
        <v>0.2</v>
      </c>
      <c r="J64" s="1112"/>
      <c r="K64" s="1145"/>
      <c r="L64" s="941"/>
      <c r="M64" s="941"/>
      <c r="N64" s="941"/>
      <c r="O64" s="941"/>
    </row>
    <row r="65" spans="1:17" s="692" customFormat="1" ht="15" thickBot="1">
      <c r="A65" s="693" t="s">
        <v>2762</v>
      </c>
      <c r="B65" s="262" t="e">
        <f t="shared" si="17"/>
        <v>#DIV/0!</v>
      </c>
      <c r="C65" s="200">
        <f t="shared" si="16"/>
        <v>0</v>
      </c>
      <c r="D65" s="1164">
        <v>0.25</v>
      </c>
      <c r="E65" s="261">
        <f>'数据-汇总表'!E15</f>
        <v>0</v>
      </c>
      <c r="F65" s="1103" t="e">
        <f t="shared" si="15"/>
        <v>#DIV/0!</v>
      </c>
      <c r="G65" s="2710" t="s">
        <v>2756</v>
      </c>
      <c r="H65" s="1114">
        <f>项目基本情况!C37</f>
        <v>0</v>
      </c>
      <c r="I65" s="1110">
        <f>SUMIF(修正!A45:A56,H65,修正!H45:H56)</f>
        <v>0</v>
      </c>
      <c r="J65" s="1113"/>
      <c r="K65" s="1144"/>
      <c r="L65" s="941"/>
      <c r="M65" s="941"/>
      <c r="N65" s="941"/>
      <c r="O65" s="941"/>
    </row>
    <row r="66" spans="1:17" s="692" customFormat="1" ht="13.5" thickBot="1">
      <c r="A66" s="695" t="s">
        <v>2763</v>
      </c>
      <c r="B66" s="696" t="s">
        <v>28</v>
      </c>
      <c r="C66" s="696" t="s">
        <v>29</v>
      </c>
      <c r="D66" s="696" t="s">
        <v>1026</v>
      </c>
      <c r="E66" s="696">
        <f>IF(B46="楼面地价",SUM(E56:E65),'数据-汇总表'!D3)</f>
        <v>44527.51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2656</v>
      </c>
      <c r="B69" s="759"/>
      <c r="C69" s="764"/>
      <c r="D69" s="764"/>
      <c r="E69" s="764"/>
      <c r="F69" s="765"/>
      <c r="G69" s="765"/>
      <c r="H69" s="764"/>
      <c r="I69" s="764"/>
      <c r="J69" s="1159"/>
      <c r="K69" s="1160"/>
      <c r="L69" s="1161"/>
      <c r="M69" s="1159"/>
      <c r="N69" s="1159"/>
      <c r="O69" s="1159"/>
      <c r="P69" s="503"/>
      <c r="Q69" s="504"/>
    </row>
    <row r="70" spans="1:17" s="508" customFormat="1" ht="15">
      <c r="A70" s="2711" t="s">
        <v>2764</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2765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2567</v>
      </c>
      <c r="B72" s="516"/>
      <c r="C72" s="517"/>
      <c r="D72" s="518"/>
      <c r="E72" s="518"/>
      <c r="F72" s="518"/>
      <c r="G72" s="518"/>
      <c r="H72" s="518"/>
      <c r="I72" s="518"/>
      <c r="J72" s="518"/>
      <c r="K72" s="518"/>
      <c r="L72" s="518"/>
      <c r="M72" s="519"/>
      <c r="N72" s="518"/>
      <c r="O72" s="1162"/>
      <c r="P72" s="504"/>
      <c r="Q72" s="504"/>
    </row>
    <row r="73" spans="1:17" s="117" customFormat="1" ht="15">
      <c r="A73" s="521" t="s">
        <v>2532</v>
      </c>
      <c r="B73" s="510"/>
      <c r="C73" s="522" t="s">
        <v>2634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2570</v>
      </c>
      <c r="B75" s="528" t="s">
        <v>2536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2539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2" t="s">
        <v>2628</v>
      </c>
      <c r="D4" s="3263"/>
      <c r="E4" s="3264" t="s">
        <v>2629</v>
      </c>
      <c r="F4" s="3265"/>
      <c r="G4" s="3262" t="s">
        <v>2630</v>
      </c>
      <c r="H4" s="3263"/>
      <c r="I4" s="3262" t="s">
        <v>2631</v>
      </c>
      <c r="J4" s="3263"/>
      <c r="K4" s="610" t="s">
        <v>2632</v>
      </c>
      <c r="L4" s="1130"/>
      <c r="M4" s="1131"/>
      <c r="N4" s="1131"/>
      <c r="O4" s="1131"/>
      <c r="P4" s="3266" t="s">
        <v>2633</v>
      </c>
      <c r="Q4" s="3267"/>
      <c r="R4" s="3272" t="s">
        <v>2629</v>
      </c>
      <c r="S4" s="3273"/>
      <c r="T4" s="3272" t="s">
        <v>2630</v>
      </c>
      <c r="U4" s="3273"/>
      <c r="V4" s="3278" t="s">
        <v>2631</v>
      </c>
      <c r="W4" s="3278"/>
      <c r="X4" s="1812"/>
      <c r="Y4" s="3272" t="s">
        <v>2633</v>
      </c>
      <c r="Z4" s="3273"/>
      <c r="AA4" s="3259" t="s">
        <v>2629</v>
      </c>
      <c r="AB4" s="3260" t="s">
        <v>2630</v>
      </c>
      <c r="AC4" s="3259" t="s">
        <v>2631</v>
      </c>
    </row>
    <row r="5" spans="1:29" ht="15">
      <c r="A5" s="404"/>
      <c r="B5" s="405"/>
      <c r="C5" s="3281" t="s">
        <v>2524</v>
      </c>
      <c r="D5" s="3282"/>
      <c r="E5" s="3288" t="s">
        <v>2525</v>
      </c>
      <c r="F5" s="3289"/>
      <c r="G5" s="3281" t="s">
        <v>2526</v>
      </c>
      <c r="H5" s="3282"/>
      <c r="I5" s="3281" t="s">
        <v>2527</v>
      </c>
      <c r="J5" s="3282"/>
      <c r="K5" s="610"/>
      <c r="L5" s="1130"/>
      <c r="M5" s="1131"/>
      <c r="N5" s="1131"/>
      <c r="O5" s="1131"/>
      <c r="P5" s="3268"/>
      <c r="Q5" s="3269"/>
      <c r="R5" s="3274"/>
      <c r="S5" s="3275"/>
      <c r="T5" s="3274"/>
      <c r="U5" s="3275"/>
      <c r="V5" s="3278"/>
      <c r="W5" s="3278"/>
      <c r="X5" s="1812"/>
      <c r="Y5" s="3274"/>
      <c r="Z5" s="3275"/>
      <c r="AA5" s="3260"/>
      <c r="AB5" s="3260"/>
      <c r="AC5" s="3260"/>
    </row>
    <row r="6" spans="1:29" ht="15.75" thickBot="1">
      <c r="A6" s="406"/>
      <c r="B6" s="407"/>
      <c r="C6" s="3310" t="s">
        <v>2779</v>
      </c>
      <c r="D6" s="3311"/>
      <c r="E6" s="3312" t="s">
        <v>2779</v>
      </c>
      <c r="F6" s="3313"/>
      <c r="G6" s="3310" t="s">
        <v>2779</v>
      </c>
      <c r="H6" s="3311"/>
      <c r="I6" s="3310" t="s">
        <v>2779</v>
      </c>
      <c r="J6" s="3311"/>
      <c r="K6" s="610" t="s">
        <v>2529</v>
      </c>
      <c r="L6" s="1130"/>
      <c r="M6" s="1131"/>
      <c r="N6" s="1131"/>
      <c r="O6" s="1131"/>
      <c r="P6" s="3270"/>
      <c r="Q6" s="3271"/>
      <c r="R6" s="3274"/>
      <c r="S6" s="3275"/>
      <c r="T6" s="3276"/>
      <c r="U6" s="3277"/>
      <c r="V6" s="3278"/>
      <c r="W6" s="3278"/>
      <c r="X6" s="1812"/>
      <c r="Y6" s="3276"/>
      <c r="Z6" s="3277"/>
      <c r="AA6" s="3261"/>
      <c r="AB6" s="3261"/>
      <c r="AC6" s="3261"/>
    </row>
    <row r="7" spans="1:29" s="117" customFormat="1" ht="15.75" thickBot="1">
      <c r="A7" s="408" t="s">
        <v>2530</v>
      </c>
      <c r="B7" s="409"/>
      <c r="C7" s="410">
        <f>'数据-取费表'!B2</f>
        <v>43605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83" t="s">
        <v>2531</v>
      </c>
      <c r="Q7" s="3285"/>
      <c r="R7" s="770" t="s">
        <v>17</v>
      </c>
      <c r="S7" s="771">
        <f t="shared" ref="S7:S15" si="0">F7</f>
        <v>0</v>
      </c>
      <c r="T7" s="770" t="s">
        <v>17</v>
      </c>
      <c r="U7" s="771">
        <f t="shared" ref="U7:U15" si="1">H7</f>
        <v>0</v>
      </c>
      <c r="V7" s="770" t="s">
        <v>17</v>
      </c>
      <c r="W7" s="771">
        <f t="shared" ref="W7:W15" si="2">J7</f>
        <v>0</v>
      </c>
      <c r="X7" s="772"/>
      <c r="Y7" s="3283" t="s">
        <v>2531</v>
      </c>
      <c r="Z7" s="3284"/>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3" t="s">
        <v>2534</v>
      </c>
      <c r="Q8" s="3284"/>
      <c r="R8" s="770" t="s">
        <v>17</v>
      </c>
      <c r="S8" s="771">
        <f t="shared" si="0"/>
        <v>0</v>
      </c>
      <c r="T8" s="770" t="s">
        <v>17</v>
      </c>
      <c r="U8" s="771">
        <f t="shared" si="1"/>
        <v>0</v>
      </c>
      <c r="V8" s="770" t="s">
        <v>17</v>
      </c>
      <c r="W8" s="771">
        <f t="shared" si="2"/>
        <v>0</v>
      </c>
      <c r="X8" s="772"/>
      <c r="Y8" s="3283" t="s">
        <v>2534</v>
      </c>
      <c r="Z8" s="3284"/>
      <c r="AA8" s="773" t="e">
        <f t="shared" ref="AA8:AA40" si="3">D8/F8</f>
        <v>#DIV/0!</v>
      </c>
      <c r="AB8" s="773" t="e">
        <f t="shared" ref="AB8:AB40" si="4">D8/H8</f>
        <v>#DIV/0!</v>
      </c>
      <c r="AC8" s="773"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47" t="s">
        <v>2537</v>
      </c>
      <c r="Q9" s="1794" t="str">
        <f t="shared" ref="Q9:Q15" si="6">B9</f>
        <v>用途</v>
      </c>
      <c r="R9" s="770" t="s">
        <v>17</v>
      </c>
      <c r="S9" s="771">
        <f t="shared" si="0"/>
        <v>100</v>
      </c>
      <c r="T9" s="770" t="s">
        <v>17</v>
      </c>
      <c r="U9" s="771">
        <f t="shared" si="1"/>
        <v>100</v>
      </c>
      <c r="V9" s="770" t="s">
        <v>17</v>
      </c>
      <c r="W9" s="771">
        <f t="shared" si="2"/>
        <v>100</v>
      </c>
      <c r="X9" s="772"/>
      <c r="Y9" s="3018"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 ca="1">ROUND(100/'数据-取费表'!G16,0)</f>
        <v>126</v>
      </c>
      <c r="G10" s="432"/>
      <c r="H10" s="136">
        <f ca="1">ROUND(100/'数据-取费表'!G16,0)</f>
        <v>126</v>
      </c>
      <c r="I10" s="432"/>
      <c r="J10" s="136">
        <f ca="1">ROUND(100/'数据-取费表'!G16,0)</f>
        <v>126</v>
      </c>
      <c r="K10" s="672"/>
      <c r="L10" s="1135"/>
      <c r="M10" s="1136"/>
      <c r="N10" s="1136"/>
      <c r="O10" s="1137"/>
      <c r="P10" s="3247"/>
      <c r="Q10" s="1794" t="str">
        <f t="shared" si="6"/>
        <v>土地使用年限（年）</v>
      </c>
      <c r="R10" s="770" t="s">
        <v>17</v>
      </c>
      <c r="S10" s="771">
        <f t="shared" ca="1" si="0"/>
        <v>126</v>
      </c>
      <c r="T10" s="770" t="s">
        <v>17</v>
      </c>
      <c r="U10" s="771">
        <f t="shared" ca="1" si="1"/>
        <v>126</v>
      </c>
      <c r="V10" s="770" t="s">
        <v>17</v>
      </c>
      <c r="W10" s="771">
        <f t="shared" ca="1" si="2"/>
        <v>126</v>
      </c>
      <c r="X10" s="772"/>
      <c r="Y10" s="3018"/>
      <c r="Z10" s="55" t="str">
        <f t="shared" si="7"/>
        <v>土地使用年限（年）</v>
      </c>
      <c r="AA10" s="773">
        <f t="shared" ca="1" si="3"/>
        <v>0.79365079365079361</v>
      </c>
      <c r="AB10" s="773">
        <f t="shared" ca="1" si="4"/>
        <v>0.79365079365079361</v>
      </c>
      <c r="AC10" s="773">
        <f t="shared" ca="1" si="5"/>
        <v>0.79365079365079361</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7"/>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7"/>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7"/>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7"/>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2541</v>
      </c>
      <c r="B15" s="629" t="s">
        <v>2780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9" t="s">
        <v>2542</v>
      </c>
      <c r="Q15" s="1809" t="str">
        <f t="shared" si="6"/>
        <v>产业集聚程度</v>
      </c>
      <c r="R15" s="774" t="s">
        <v>17</v>
      </c>
      <c r="S15" s="775">
        <f t="shared" si="0"/>
        <v>100</v>
      </c>
      <c r="T15" s="774" t="s">
        <v>17</v>
      </c>
      <c r="U15" s="775">
        <f t="shared" si="1"/>
        <v>100</v>
      </c>
      <c r="V15" s="774" t="s">
        <v>17</v>
      </c>
      <c r="W15" s="775">
        <f t="shared" si="2"/>
        <v>100</v>
      </c>
      <c r="X15" s="1812"/>
      <c r="Y15" s="3249" t="s">
        <v>2542</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50"/>
      <c r="Q16" s="1809"/>
      <c r="R16" s="774"/>
      <c r="S16" s="775"/>
      <c r="T16" s="774"/>
      <c r="U16" s="775"/>
      <c r="V16" s="774"/>
      <c r="W16" s="775"/>
      <c r="X16" s="1812"/>
      <c r="Y16" s="3250"/>
      <c r="Z16" s="1813"/>
      <c r="AA16" s="1810">
        <v>1</v>
      </c>
      <c r="AB16" s="1810">
        <v>1</v>
      </c>
      <c r="AC16" s="1810">
        <v>1</v>
      </c>
    </row>
    <row r="17" spans="1:29" ht="85.5">
      <c r="A17" s="428"/>
      <c r="B17" s="631" t="s">
        <v>2691</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0"/>
      <c r="Q17" s="1809" t="str">
        <f>B17</f>
        <v>交通便捷度</v>
      </c>
      <c r="R17" s="774" t="s">
        <v>17</v>
      </c>
      <c r="S17" s="775">
        <f>F17</f>
        <v>100</v>
      </c>
      <c r="T17" s="774" t="s">
        <v>17</v>
      </c>
      <c r="U17" s="775">
        <f>H17</f>
        <v>100</v>
      </c>
      <c r="V17" s="774" t="s">
        <v>17</v>
      </c>
      <c r="W17" s="775">
        <f>J17</f>
        <v>100</v>
      </c>
      <c r="X17" s="1812"/>
      <c r="Y17" s="3250"/>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50"/>
      <c r="Q18" s="1809"/>
      <c r="R18" s="774"/>
      <c r="S18" s="775"/>
      <c r="T18" s="774"/>
      <c r="U18" s="775"/>
      <c r="V18" s="774"/>
      <c r="W18" s="775"/>
      <c r="X18" s="1812"/>
      <c r="Y18" s="3250"/>
      <c r="Z18" s="1813"/>
      <c r="AA18" s="1810">
        <v>1</v>
      </c>
      <c r="AB18" s="1810">
        <v>1</v>
      </c>
      <c r="AC18" s="1810">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0"/>
      <c r="Q19" s="1809" t="str">
        <f t="shared" ref="Q19:Q33" si="8">B19</f>
        <v>区域土地利用方向</v>
      </c>
      <c r="R19" s="774" t="s">
        <v>17</v>
      </c>
      <c r="S19" s="775">
        <f>F19</f>
        <v>100</v>
      </c>
      <c r="T19" s="774" t="s">
        <v>17</v>
      </c>
      <c r="U19" s="775">
        <f>H19</f>
        <v>100</v>
      </c>
      <c r="V19" s="774" t="s">
        <v>17</v>
      </c>
      <c r="W19" s="775">
        <f>J19</f>
        <v>100</v>
      </c>
      <c r="X19" s="1812"/>
      <c r="Y19" s="3250"/>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50"/>
      <c r="Q20" s="1809"/>
      <c r="R20" s="774"/>
      <c r="S20" s="775"/>
      <c r="T20" s="774"/>
      <c r="U20" s="775"/>
      <c r="V20" s="774"/>
      <c r="W20" s="775"/>
      <c r="X20" s="1812"/>
      <c r="Y20" s="3250"/>
      <c r="Z20" s="1813"/>
      <c r="AA20" s="1810"/>
      <c r="AB20" s="1810"/>
      <c r="AC20" s="1810"/>
    </row>
    <row r="21" spans="1:29" ht="71.25">
      <c r="A21" s="404"/>
      <c r="B21" s="631" t="s">
        <v>2781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0"/>
      <c r="Q21" s="1809" t="str">
        <f t="shared" si="8"/>
        <v>环境状况</v>
      </c>
      <c r="R21" s="774" t="s">
        <v>17</v>
      </c>
      <c r="S21" s="775">
        <f>F21</f>
        <v>100</v>
      </c>
      <c r="T21" s="774" t="s">
        <v>17</v>
      </c>
      <c r="U21" s="775">
        <f>H21</f>
        <v>100</v>
      </c>
      <c r="V21" s="774" t="s">
        <v>17</v>
      </c>
      <c r="W21" s="775">
        <f>J21</f>
        <v>100</v>
      </c>
      <c r="X21" s="1812"/>
      <c r="Y21" s="3250"/>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50"/>
      <c r="Q22" s="1809"/>
      <c r="R22" s="774"/>
      <c r="S22" s="775"/>
      <c r="T22" s="774"/>
      <c r="U22" s="775"/>
      <c r="V22" s="774"/>
      <c r="W22" s="775"/>
      <c r="X22" s="1812"/>
      <c r="Y22" s="3250"/>
      <c r="Z22" s="1813"/>
      <c r="AA22" s="1810">
        <v>1</v>
      </c>
      <c r="AB22" s="1810">
        <v>1</v>
      </c>
      <c r="AC22" s="1810">
        <v>1</v>
      </c>
    </row>
    <row r="23" spans="1:29" s="117" customFormat="1" ht="42.75">
      <c r="A23" s="649"/>
      <c r="B23" s="633" t="s">
        <v>2636</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0"/>
      <c r="Q23" s="1794" t="str">
        <f t="shared" si="8"/>
        <v>公共配套设施</v>
      </c>
      <c r="R23" s="770" t="s">
        <v>17</v>
      </c>
      <c r="S23" s="771">
        <f>F23</f>
        <v>100</v>
      </c>
      <c r="T23" s="770" t="s">
        <v>17</v>
      </c>
      <c r="U23" s="771">
        <f>H23</f>
        <v>100</v>
      </c>
      <c r="V23" s="770" t="s">
        <v>17</v>
      </c>
      <c r="W23" s="771">
        <f>J23</f>
        <v>100</v>
      </c>
      <c r="X23" s="772"/>
      <c r="Y23" s="3250"/>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50"/>
      <c r="Q24" s="1794"/>
      <c r="R24" s="770"/>
      <c r="S24" s="771"/>
      <c r="T24" s="770"/>
      <c r="U24" s="771"/>
      <c r="V24" s="770"/>
      <c r="W24" s="771"/>
      <c r="X24" s="772"/>
      <c r="Y24" s="3250"/>
      <c r="Z24" s="55"/>
      <c r="AA24" s="773">
        <v>1</v>
      </c>
      <c r="AB24" s="773">
        <v>1</v>
      </c>
      <c r="AC24" s="773">
        <v>1</v>
      </c>
    </row>
    <row r="25" spans="1:29" s="117" customFormat="1" ht="28.5">
      <c r="A25" s="649"/>
      <c r="B25" s="633" t="s">
        <v>2637</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0"/>
      <c r="Q25" s="1794" t="str">
        <f t="shared" ref="Q25" si="9">B25</f>
        <v>基础设施水平</v>
      </c>
      <c r="R25" s="770" t="s">
        <v>17</v>
      </c>
      <c r="S25" s="771">
        <f>F25</f>
        <v>100</v>
      </c>
      <c r="T25" s="770" t="s">
        <v>17</v>
      </c>
      <c r="U25" s="771">
        <f>H25</f>
        <v>100</v>
      </c>
      <c r="V25" s="770" t="s">
        <v>17</v>
      </c>
      <c r="W25" s="771">
        <f>J25</f>
        <v>100</v>
      </c>
      <c r="X25" s="772"/>
      <c r="Y25" s="3250"/>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50"/>
      <c r="Q26" s="1794"/>
      <c r="R26" s="770"/>
      <c r="S26" s="771"/>
      <c r="T26" s="770"/>
      <c r="U26" s="771"/>
      <c r="V26" s="770"/>
      <c r="W26" s="771"/>
      <c r="X26" s="772"/>
      <c r="Y26" s="3250"/>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0"/>
      <c r="Z27" s="1813" t="str">
        <f t="shared" ref="Z27:Z40" si="13">Q27</f>
        <v>临街状况</v>
      </c>
      <c r="AA27" s="1810">
        <f t="shared" si="3"/>
        <v>1</v>
      </c>
      <c r="AB27" s="1810">
        <f t="shared" si="4"/>
        <v>1</v>
      </c>
      <c r="AC27" s="1810">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0"/>
      <c r="Q28" s="1809" t="str">
        <f t="shared" si="8"/>
        <v>毗邻道路的类型与等级</v>
      </c>
      <c r="R28" s="774" t="s">
        <v>17</v>
      </c>
      <c r="S28" s="775">
        <f t="shared" si="10"/>
        <v>100</v>
      </c>
      <c r="T28" s="774" t="s">
        <v>17</v>
      </c>
      <c r="U28" s="775">
        <f t="shared" si="11"/>
        <v>100</v>
      </c>
      <c r="V28" s="774" t="s">
        <v>17</v>
      </c>
      <c r="W28" s="775">
        <f t="shared" si="12"/>
        <v>100</v>
      </c>
      <c r="X28" s="1812"/>
      <c r="Y28" s="3250"/>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50"/>
      <c r="Q29" s="1809"/>
      <c r="R29" s="774"/>
      <c r="S29" s="775"/>
      <c r="T29" s="774"/>
      <c r="U29" s="775"/>
      <c r="V29" s="774"/>
      <c r="W29" s="775"/>
      <c r="X29" s="1812"/>
      <c r="Y29" s="3250"/>
      <c r="Z29" s="1813"/>
      <c r="AA29" s="1810">
        <v>1</v>
      </c>
      <c r="AB29" s="1810">
        <v>1</v>
      </c>
      <c r="AC29" s="1810">
        <v>1</v>
      </c>
    </row>
    <row r="30" spans="1:29" ht="15">
      <c r="A30" s="428"/>
      <c r="B30" s="654" t="s">
        <v>2732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0"/>
      <c r="Q30" s="1809" t="str">
        <f t="shared" si="8"/>
        <v>土地级别</v>
      </c>
      <c r="R30" s="774" t="s">
        <v>17</v>
      </c>
      <c r="S30" s="775">
        <f t="shared" si="10"/>
        <v>100</v>
      </c>
      <c r="T30" s="774" t="s">
        <v>17</v>
      </c>
      <c r="U30" s="775">
        <f t="shared" si="11"/>
        <v>100</v>
      </c>
      <c r="V30" s="774" t="s">
        <v>17</v>
      </c>
      <c r="W30" s="775">
        <f t="shared" si="12"/>
        <v>100</v>
      </c>
      <c r="X30" s="1812"/>
      <c r="Y30" s="3250"/>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0"/>
      <c r="Q31" s="1809">
        <f t="shared" si="8"/>
        <v>111</v>
      </c>
      <c r="R31" s="774" t="s">
        <v>17</v>
      </c>
      <c r="S31" s="775">
        <f t="shared" si="10"/>
        <v>100</v>
      </c>
      <c r="T31" s="774" t="s">
        <v>17</v>
      </c>
      <c r="U31" s="775">
        <f t="shared" si="11"/>
        <v>100</v>
      </c>
      <c r="V31" s="774" t="s">
        <v>17</v>
      </c>
      <c r="W31" s="775">
        <f t="shared" si="12"/>
        <v>100</v>
      </c>
      <c r="X31" s="1812"/>
      <c r="Y31" s="3250"/>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5" t="s">
        <v>2547</v>
      </c>
      <c r="Q32" s="1809">
        <f t="shared" si="8"/>
        <v>111</v>
      </c>
      <c r="R32" s="774" t="s">
        <v>17</v>
      </c>
      <c r="S32" s="775">
        <f t="shared" si="10"/>
        <v>100</v>
      </c>
      <c r="T32" s="774" t="s">
        <v>17</v>
      </c>
      <c r="U32" s="775">
        <f t="shared" si="11"/>
        <v>100</v>
      </c>
      <c r="V32" s="774" t="s">
        <v>17</v>
      </c>
      <c r="W32" s="775">
        <f t="shared" si="12"/>
        <v>100</v>
      </c>
      <c r="X32" s="1812"/>
      <c r="Y32" s="3254" t="s">
        <v>2547</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4"/>
      <c r="Q33" s="1809">
        <f t="shared" si="8"/>
        <v>111</v>
      </c>
      <c r="R33" s="777" t="s">
        <v>17</v>
      </c>
      <c r="S33" s="778">
        <f t="shared" si="10"/>
        <v>100</v>
      </c>
      <c r="T33" s="777" t="s">
        <v>17</v>
      </c>
      <c r="U33" s="778">
        <f t="shared" si="11"/>
        <v>100</v>
      </c>
      <c r="V33" s="777" t="s">
        <v>17</v>
      </c>
      <c r="W33" s="778">
        <f t="shared" si="12"/>
        <v>100</v>
      </c>
      <c r="X33" s="779"/>
      <c r="Y33" s="3254"/>
      <c r="Z33" s="780">
        <f t="shared" si="13"/>
        <v>111</v>
      </c>
      <c r="AA33" s="1810">
        <f t="shared" si="3"/>
        <v>1</v>
      </c>
      <c r="AB33" s="1810">
        <f t="shared" si="4"/>
        <v>1</v>
      </c>
      <c r="AC33" s="1810">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4"/>
      <c r="Q34" s="1809" t="str">
        <f>B34</f>
        <v>宗地面积</v>
      </c>
      <c r="R34" s="774" t="s">
        <v>17</v>
      </c>
      <c r="S34" s="775" t="e">
        <f t="shared" si="10"/>
        <v>#N/A</v>
      </c>
      <c r="T34" s="774" t="s">
        <v>17</v>
      </c>
      <c r="U34" s="775" t="e">
        <f t="shared" si="11"/>
        <v>#N/A</v>
      </c>
      <c r="V34" s="774" t="s">
        <v>17</v>
      </c>
      <c r="W34" s="775" t="e">
        <f t="shared" si="12"/>
        <v>#N/A</v>
      </c>
      <c r="X34" s="1812"/>
      <c r="Y34" s="3254"/>
      <c r="Z34" s="1813" t="str">
        <f t="shared" si="13"/>
        <v>宗地面积</v>
      </c>
      <c r="AA34" s="1810" t="e">
        <f t="shared" si="3"/>
        <v>#N/A</v>
      </c>
      <c r="AB34" s="1810" t="e">
        <f t="shared" si="4"/>
        <v>#N/A</v>
      </c>
      <c r="AC34" s="1810"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54"/>
      <c r="Q35" s="1809" t="str">
        <f t="shared" ref="Q35:Q40" si="14">B35</f>
        <v>宗地形状</v>
      </c>
      <c r="R35" s="774" t="s">
        <v>17</v>
      </c>
      <c r="S35" s="775">
        <f t="shared" si="10"/>
        <v>100</v>
      </c>
      <c r="T35" s="774" t="s">
        <v>17</v>
      </c>
      <c r="U35" s="775">
        <f t="shared" si="11"/>
        <v>100</v>
      </c>
      <c r="V35" s="774" t="s">
        <v>17</v>
      </c>
      <c r="W35" s="775">
        <f t="shared" si="12"/>
        <v>100</v>
      </c>
      <c r="X35" s="1812"/>
      <c r="Y35" s="3254"/>
      <c r="Z35" s="1813" t="str">
        <f t="shared" si="13"/>
        <v>宗地形状</v>
      </c>
      <c r="AA35" s="1810">
        <f t="shared" si="3"/>
        <v>1</v>
      </c>
      <c r="AB35" s="1810">
        <f t="shared" si="4"/>
        <v>1</v>
      </c>
      <c r="AC35" s="1810">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54"/>
      <c r="Q36" s="1809"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54" t="s">
        <v>2547</v>
      </c>
      <c r="Q37" s="1809" t="str">
        <f t="shared" si="14"/>
        <v>工程地质条件</v>
      </c>
      <c r="R37" s="774" t="s">
        <v>17</v>
      </c>
      <c r="S37" s="775">
        <f t="shared" si="10"/>
        <v>100</v>
      </c>
      <c r="T37" s="774" t="s">
        <v>17</v>
      </c>
      <c r="U37" s="775">
        <f t="shared" si="11"/>
        <v>100</v>
      </c>
      <c r="V37" s="774" t="s">
        <v>17</v>
      </c>
      <c r="W37" s="775">
        <f t="shared" si="12"/>
        <v>100</v>
      </c>
      <c r="X37" s="1812"/>
      <c r="Y37" s="3254" t="s">
        <v>2547</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4"/>
      <c r="Q38" s="1809">
        <f t="shared" si="14"/>
        <v>111</v>
      </c>
      <c r="R38" s="774" t="s">
        <v>17</v>
      </c>
      <c r="S38" s="775">
        <f t="shared" si="10"/>
        <v>100</v>
      </c>
      <c r="T38" s="774" t="s">
        <v>17</v>
      </c>
      <c r="U38" s="775">
        <f t="shared" si="11"/>
        <v>100</v>
      </c>
      <c r="V38" s="774" t="s">
        <v>17</v>
      </c>
      <c r="W38" s="775">
        <f t="shared" si="12"/>
        <v>100</v>
      </c>
      <c r="X38" s="1812"/>
      <c r="Y38" s="325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4"/>
      <c r="Q39" s="1809">
        <f t="shared" si="14"/>
        <v>111</v>
      </c>
      <c r="R39" s="774" t="s">
        <v>17</v>
      </c>
      <c r="S39" s="775">
        <f t="shared" si="10"/>
        <v>100</v>
      </c>
      <c r="T39" s="774" t="s">
        <v>17</v>
      </c>
      <c r="U39" s="775">
        <f t="shared" si="11"/>
        <v>100</v>
      </c>
      <c r="V39" s="774" t="s">
        <v>17</v>
      </c>
      <c r="W39" s="775">
        <f t="shared" si="12"/>
        <v>100</v>
      </c>
      <c r="X39" s="1812"/>
      <c r="Y39" s="3254"/>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4"/>
      <c r="Q40" s="1809">
        <f t="shared" si="14"/>
        <v>111</v>
      </c>
      <c r="R40" s="777" t="s">
        <v>17</v>
      </c>
      <c r="S40" s="778">
        <f t="shared" si="10"/>
        <v>100</v>
      </c>
      <c r="T40" s="777" t="s">
        <v>17</v>
      </c>
      <c r="U40" s="778">
        <f t="shared" si="11"/>
        <v>100</v>
      </c>
      <c r="V40" s="777" t="s">
        <v>17</v>
      </c>
      <c r="W40" s="778">
        <f t="shared" si="12"/>
        <v>100</v>
      </c>
      <c r="X40" s="779"/>
      <c r="Y40" s="3254"/>
      <c r="Z40" s="780">
        <f t="shared" si="13"/>
        <v>111</v>
      </c>
      <c r="AA40" s="1810">
        <f t="shared" si="3"/>
        <v>1</v>
      </c>
      <c r="AB40" s="1810">
        <f t="shared" si="4"/>
        <v>1</v>
      </c>
      <c r="AC40" s="1810">
        <f t="shared" si="5"/>
        <v>1</v>
      </c>
    </row>
    <row r="41" spans="1:29" ht="15">
      <c r="A41" s="479" t="s">
        <v>2702</v>
      </c>
      <c r="B41" s="2704" t="s">
        <v>2782</v>
      </c>
      <c r="C41" s="682" t="s">
        <v>1</v>
      </c>
      <c r="D41" s="481"/>
      <c r="E41" s="482"/>
      <c r="F41" s="483"/>
      <c r="G41" s="484"/>
      <c r="H41" s="485"/>
      <c r="I41" s="482"/>
      <c r="J41" s="485"/>
      <c r="K41" s="783"/>
      <c r="L41" s="1143"/>
      <c r="M41" s="1131"/>
      <c r="N41" s="1131"/>
      <c r="O41" s="1144"/>
      <c r="P41" s="3247" t="str">
        <f>A41</f>
        <v>成交单价</v>
      </c>
      <c r="Q41" s="3247"/>
      <c r="R41" s="3278">
        <f>E41</f>
        <v>0</v>
      </c>
      <c r="S41" s="3278"/>
      <c r="T41" s="3278">
        <f>G41</f>
        <v>0</v>
      </c>
      <c r="U41" s="3278"/>
      <c r="V41" s="3278">
        <f>I41</f>
        <v>0</v>
      </c>
      <c r="W41" s="3278"/>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3"/>
      <c r="M42" s="1131"/>
      <c r="N42" s="1131"/>
      <c r="O42" s="1144"/>
      <c r="P42" s="3247" t="str">
        <f>A42</f>
        <v>比较价值（元/平方米）</v>
      </c>
      <c r="Q42" s="3247"/>
      <c r="R42" s="3306" t="e">
        <f>ROUND(PRODUCT(R41,AA7:AA40),0)</f>
        <v>#DIV/0!</v>
      </c>
      <c r="S42" s="3306"/>
      <c r="T42" s="3306" t="e">
        <f>ROUND(PRODUCT(T41,AB7:AB40),0)</f>
        <v>#DIV/0!</v>
      </c>
      <c r="U42" s="3306"/>
      <c r="V42" s="3306" t="e">
        <f>ROUND(PRODUCT(V41,AC7:AC40),0)</f>
        <v>#DIV/0!</v>
      </c>
      <c r="W42" s="3306"/>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3"/>
      <c r="M43" s="1131"/>
      <c r="N43" s="1131"/>
      <c r="O43" s="1144"/>
      <c r="P43" s="3244" t="str">
        <f>A43</f>
        <v>估价对象XX用房的比较价值（楼面单价，元/平方米）</v>
      </c>
      <c r="Q43" s="3245"/>
      <c r="R43" s="3307" t="e">
        <f>ROUND(AVERAGE(R42:V42),0)</f>
        <v>#DIV/0!</v>
      </c>
      <c r="S43" s="3307"/>
      <c r="T43" s="3307"/>
      <c r="U43" s="3307"/>
      <c r="V43" s="3307"/>
      <c r="W43" s="33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2740</v>
      </c>
      <c r="B50" s="685" t="s">
        <v>2741</v>
      </c>
      <c r="C50" s="2705" t="s">
        <v>2742</v>
      </c>
      <c r="D50" s="2706" t="s">
        <v>2743</v>
      </c>
      <c r="E50" s="686" t="s">
        <v>2744</v>
      </c>
      <c r="F50" s="687" t="s">
        <v>2745</v>
      </c>
      <c r="G50" s="3262" t="s">
        <v>2746</v>
      </c>
      <c r="H50" s="3308"/>
      <c r="I50" s="1813" t="s">
        <v>2783</v>
      </c>
      <c r="J50" s="1813">
        <f>项目基本情况!F35</f>
        <v>0</v>
      </c>
      <c r="K50" s="2708" t="s">
        <v>2748</v>
      </c>
      <c r="L50" s="1106"/>
      <c r="M50" s="1144"/>
      <c r="N50" s="1144"/>
      <c r="O50" s="1144"/>
    </row>
    <row r="51" spans="1:17" s="692" customFormat="1">
      <c r="A51" s="688" t="s">
        <v>2749</v>
      </c>
      <c r="B51" s="689" t="e">
        <f>C43</f>
        <v>#DIV/0!</v>
      </c>
      <c r="C51" s="690">
        <v>1</v>
      </c>
      <c r="D51" s="1163">
        <v>1</v>
      </c>
      <c r="E51" s="690">
        <f>'数据-汇总表'!E8+'数据-汇总表'!E9</f>
        <v>44527.51</v>
      </c>
      <c r="F51" s="691" t="e">
        <f t="shared" ref="F51:F60" si="15">ROUND(B51*E51/10000,0)</f>
        <v>#DIV/0!</v>
      </c>
      <c r="G51" s="3258"/>
      <c r="H51" s="3247"/>
      <c r="I51" s="942">
        <v>1</v>
      </c>
      <c r="J51" s="942">
        <v>1</v>
      </c>
      <c r="K51" s="1145"/>
      <c r="L51" s="941"/>
      <c r="M51" s="941"/>
      <c r="N51" s="941"/>
      <c r="O51" s="941"/>
    </row>
    <row r="52" spans="1:17" s="692" customFormat="1">
      <c r="A52" s="693" t="s">
        <v>2750</v>
      </c>
      <c r="B52" s="262" t="e">
        <f>ROUND($C$43*C52*D52,0)</f>
        <v>#DIV/0!</v>
      </c>
      <c r="C52" s="200">
        <f t="shared" ref="C52:C60" si="16">IF($C$50="北京市系数",I52,J52)</f>
        <v>0.7</v>
      </c>
      <c r="D52" s="1164">
        <v>0.25</v>
      </c>
      <c r="E52" s="694"/>
      <c r="F52" s="691" t="e">
        <f t="shared" si="15"/>
        <v>#DIV/0!</v>
      </c>
      <c r="G52" s="3309" t="s">
        <v>2751</v>
      </c>
      <c r="H52" s="1104" t="str">
        <f>项目基本情况!B37</f>
        <v>六级</v>
      </c>
      <c r="I52" s="942">
        <f>SUMIF(修正!A45:A56,H52,修正!B45:B56)</f>
        <v>0.7</v>
      </c>
      <c r="J52" s="943"/>
      <c r="K52" s="1144"/>
      <c r="L52" s="941"/>
      <c r="M52" s="941"/>
      <c r="N52" s="941"/>
      <c r="O52" s="941"/>
    </row>
    <row r="53" spans="1:17" s="692" customFormat="1">
      <c r="A53" s="693" t="s">
        <v>2752</v>
      </c>
      <c r="B53" s="262" t="e">
        <f t="shared" ref="B53:B60" si="17">ROUND($C$43*C53*D53,0)</f>
        <v>#DIV/0!</v>
      </c>
      <c r="C53" s="200">
        <f t="shared" si="16"/>
        <v>0.4</v>
      </c>
      <c r="D53" s="1164">
        <v>0.25</v>
      </c>
      <c r="E53" s="694"/>
      <c r="F53" s="691" t="e">
        <f t="shared" si="15"/>
        <v>#DIV/0!</v>
      </c>
      <c r="G53" s="3309"/>
      <c r="H53" s="1104" t="str">
        <f>项目基本情况!B37</f>
        <v>六级</v>
      </c>
      <c r="I53" s="942">
        <f>SUMIF(修正!A45:A56,H53,修正!C45:C56)</f>
        <v>0.4</v>
      </c>
      <c r="J53" s="943"/>
      <c r="K53" s="1145"/>
      <c r="L53" s="941"/>
      <c r="M53" s="941"/>
      <c r="N53" s="941"/>
      <c r="O53" s="941"/>
    </row>
    <row r="54" spans="1:17" s="692" customFormat="1">
      <c r="A54" s="693" t="s">
        <v>2753</v>
      </c>
      <c r="B54" s="262" t="e">
        <f t="shared" si="17"/>
        <v>#DIV/0!</v>
      </c>
      <c r="C54" s="200">
        <f t="shared" si="16"/>
        <v>0.28000000000000003</v>
      </c>
      <c r="D54" s="1164">
        <v>0.25</v>
      </c>
      <c r="E54" s="694"/>
      <c r="F54" s="691" t="e">
        <f t="shared" si="15"/>
        <v>#DIV/0!</v>
      </c>
      <c r="G54" s="3309"/>
      <c r="H54" s="1104" t="str">
        <f>项目基本情况!B37</f>
        <v>六级</v>
      </c>
      <c r="I54" s="942">
        <f>SUMIF(修正!A45:A56,H54,修正!D45:D56)</f>
        <v>0.28000000000000003</v>
      </c>
      <c r="J54" s="943"/>
      <c r="K54" s="1144"/>
      <c r="L54" s="941"/>
      <c r="M54" s="941"/>
      <c r="N54" s="941"/>
      <c r="O54" s="941"/>
    </row>
    <row r="55" spans="1:17" s="692" customFormat="1">
      <c r="A55" s="693" t="s">
        <v>2754</v>
      </c>
      <c r="B55" s="262" t="e">
        <f t="shared" si="17"/>
        <v>#DIV/0!</v>
      </c>
      <c r="C55" s="200">
        <f t="shared" si="16"/>
        <v>0.25</v>
      </c>
      <c r="D55" s="1164">
        <v>0.25</v>
      </c>
      <c r="E55" s="694"/>
      <c r="F55" s="691" t="e">
        <f t="shared" si="15"/>
        <v>#DIV/0!</v>
      </c>
      <c r="G55" s="3309"/>
      <c r="H55" s="1104" t="str">
        <f>项目基本情况!B37</f>
        <v>六级</v>
      </c>
      <c r="I55" s="942">
        <f>SUMIF(修正!A45:A56,H55,修正!E45:E56)</f>
        <v>0.25</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9"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0.2</v>
      </c>
      <c r="D59" s="1164">
        <v>0.25</v>
      </c>
      <c r="E59" s="261">
        <f>'数据-汇总表'!E14</f>
        <v>0</v>
      </c>
      <c r="F59" s="691" t="e">
        <f t="shared" si="15"/>
        <v>#DIV/0!</v>
      </c>
      <c r="G59" s="2709" t="s">
        <v>2751</v>
      </c>
      <c r="H59" s="1104" t="str">
        <f>项目基本情况!B37</f>
        <v>六级</v>
      </c>
      <c r="I59" s="942">
        <f>SUMIF(修正!A45:A56,H59,修正!H45:H56)</f>
        <v>0.2</v>
      </c>
      <c r="J59" s="943"/>
      <c r="K59" s="1145"/>
      <c r="L59" s="941"/>
      <c r="M59" s="941"/>
      <c r="N59" s="941"/>
      <c r="O59" s="941"/>
    </row>
    <row r="60" spans="1:17" s="692" customFormat="1" ht="15" thickBot="1">
      <c r="A60" s="693" t="s">
        <v>2762</v>
      </c>
      <c r="B60" s="262" t="e">
        <f t="shared" si="17"/>
        <v>#DIV/0!</v>
      </c>
      <c r="C60" s="200">
        <f t="shared" si="16"/>
        <v>0</v>
      </c>
      <c r="D60" s="1164">
        <v>0.25</v>
      </c>
      <c r="E60" s="261">
        <f>'数据-汇总表'!E15</f>
        <v>0</v>
      </c>
      <c r="F60" s="691" t="e">
        <f t="shared" si="15"/>
        <v>#DIV/0!</v>
      </c>
      <c r="G60" s="2710" t="s">
        <v>2756</v>
      </c>
      <c r="H60" s="1114">
        <f>项目基本情况!C37</f>
        <v>0</v>
      </c>
      <c r="I60" s="942">
        <f>SUMIF(修正!A45:A56,H60,修正!H45:H56)</f>
        <v>0</v>
      </c>
      <c r="J60" s="943"/>
      <c r="K60" s="1144"/>
      <c r="L60" s="941"/>
      <c r="M60" s="941"/>
      <c r="N60" s="941"/>
      <c r="O60" s="941"/>
    </row>
    <row r="61" spans="1:17" s="692" customFormat="1" ht="15" thickBot="1">
      <c r="A61" s="695" t="s">
        <v>2763</v>
      </c>
      <c r="B61" s="696" t="s">
        <v>28</v>
      </c>
      <c r="C61" s="696" t="s">
        <v>29</v>
      </c>
      <c r="D61" s="696" t="s">
        <v>1026</v>
      </c>
      <c r="E61" s="696">
        <f>IF(B41="楼面地价",SUM(E51:E60),'数据-汇总表'!D3)</f>
        <v>12625.6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2656</v>
      </c>
      <c r="B64" s="759"/>
      <c r="C64" s="764"/>
      <c r="D64" s="764"/>
      <c r="E64" s="764"/>
      <c r="F64" s="765"/>
      <c r="G64" s="765"/>
      <c r="H64" s="764"/>
      <c r="I64" s="764"/>
      <c r="J64" s="764"/>
      <c r="K64" s="766"/>
      <c r="L64" s="767"/>
      <c r="M64" s="764"/>
      <c r="N64" s="764"/>
      <c r="O64" s="1159"/>
      <c r="P64" s="503"/>
      <c r="Q64" s="504"/>
    </row>
    <row r="65" spans="1:17" s="508" customFormat="1" ht="15">
      <c r="A65" s="2711" t="s">
        <v>2764</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2784</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2570</v>
      </c>
      <c r="B70" s="528" t="s">
        <v>2536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2539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0.89929999999999999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2984</v>
      </c>
    </row>
    <row r="2" spans="1:5" ht="15.75">
      <c r="A2" s="2902" t="s">
        <v>2976</v>
      </c>
      <c r="B2" s="2903">
        <f ca="1">SUMIF(B6:B13,"&lt;&gt;#ref!",B6:B13)</f>
        <v>46789</v>
      </c>
      <c r="C2" s="2902" t="s">
        <v>2977</v>
      </c>
      <c r="D2" s="2902" t="s">
        <v>2978</v>
      </c>
      <c r="E2" s="2903">
        <f ca="1">SUMIF(E6:E13,"&lt;&gt;#ref!",E6:E13)</f>
        <v>55990.490000000005</v>
      </c>
    </row>
    <row r="3" spans="1:5" ht="15.75">
      <c r="A3" s="2902" t="s">
        <v>2979</v>
      </c>
      <c r="B3" s="2903">
        <f ca="1">ROUND(B2*10000/E2,0)</f>
        <v>8357</v>
      </c>
      <c r="C3" s="2902" t="s">
        <v>2985</v>
      </c>
      <c r="D3" s="2904"/>
      <c r="E3" s="2904"/>
    </row>
    <row r="4" spans="1:5" ht="15.75">
      <c r="A4" s="2905"/>
      <c r="B4" s="2904"/>
      <c r="C4" s="2904"/>
      <c r="D4" s="2904"/>
      <c r="E4" s="2904"/>
    </row>
    <row r="5" spans="1:5" ht="28.5">
      <c r="A5" s="2906" t="s">
        <v>2980</v>
      </c>
      <c r="B5" s="2902" t="s">
        <v>2981</v>
      </c>
      <c r="C5" s="2903"/>
      <c r="D5" s="2904"/>
      <c r="E5" s="2902" t="s">
        <v>2982</v>
      </c>
    </row>
    <row r="6" spans="1:5" ht="15.75">
      <c r="A6" s="2907" t="s">
        <v>2983</v>
      </c>
      <c r="B6" s="2903">
        <f ca="1">SUMIF(INDIRECT("'"&amp;A6&amp;"'"&amp;"!A:A"),"总价",INDIRECT("'"&amp;A6&amp;"'"&amp;"!B:B"))</f>
        <v>46789</v>
      </c>
      <c r="C6" s="2902" t="s">
        <v>2977</v>
      </c>
      <c r="D6" s="2904"/>
      <c r="E6" s="2575">
        <f ca="1">SUMIF(INDIRECT("'"&amp;A6&amp;"'"&amp;"!C:C"),"建筑面积",INDIRECT("'"&amp;A6&amp;"'"&amp;"!D:D"))</f>
        <v>55990.490000000005</v>
      </c>
    </row>
    <row r="7" spans="1:5" ht="15.75">
      <c r="A7" s="2907"/>
      <c r="B7" s="2903" t="e">
        <f ca="1">SUMIF(INDIRECT("'"&amp;A7&amp;"'"&amp;"!A:A"),"总价",INDIRECT("'"&amp;A7&amp;"'"&amp;"!B:B"))</f>
        <v>#REF!</v>
      </c>
      <c r="C7" s="2902" t="s">
        <v>2977</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2977</v>
      </c>
      <c r="D8" s="2904"/>
      <c r="E8" s="2575" t="e">
        <f t="shared" ca="1" si="0"/>
        <v>#REF!</v>
      </c>
    </row>
    <row r="9" spans="1:5" ht="15.75">
      <c r="A9" s="2907"/>
      <c r="B9" s="2903" t="e">
        <f t="shared" ca="1" si="1"/>
        <v>#REF!</v>
      </c>
      <c r="C9" s="2902" t="s">
        <v>2977</v>
      </c>
      <c r="D9" s="2904"/>
      <c r="E9" s="2575" t="e">
        <f t="shared" ca="1" si="0"/>
        <v>#REF!</v>
      </c>
    </row>
    <row r="10" spans="1:5" ht="15.75">
      <c r="A10" s="2907"/>
      <c r="B10" s="2903" t="e">
        <f t="shared" ca="1" si="1"/>
        <v>#REF!</v>
      </c>
      <c r="C10" s="2902" t="s">
        <v>2977</v>
      </c>
      <c r="D10" s="2904"/>
      <c r="E10" s="2575" t="e">
        <f t="shared" ca="1" si="0"/>
        <v>#REF!</v>
      </c>
    </row>
    <row r="11" spans="1:5" ht="15.75">
      <c r="A11" s="2907"/>
      <c r="B11" s="2903" t="e">
        <f t="shared" ca="1" si="1"/>
        <v>#REF!</v>
      </c>
      <c r="C11" s="2902" t="s">
        <v>2977</v>
      </c>
      <c r="D11" s="2904"/>
      <c r="E11" s="2575" t="e">
        <f t="shared" ca="1" si="0"/>
        <v>#REF!</v>
      </c>
    </row>
    <row r="12" spans="1:5" ht="15.75">
      <c r="A12" s="2907"/>
      <c r="B12" s="2903" t="e">
        <f t="shared" ca="1" si="1"/>
        <v>#REF!</v>
      </c>
      <c r="C12" s="2902" t="s">
        <v>2977</v>
      </c>
      <c r="D12" s="2904"/>
      <c r="E12" s="2575" t="e">
        <f t="shared" ca="1" si="0"/>
        <v>#REF!</v>
      </c>
    </row>
    <row r="13" spans="1:5" ht="15.75">
      <c r="A13" s="2907"/>
      <c r="B13" s="2903" t="e">
        <f t="shared" ca="1" si="1"/>
        <v>#REF!</v>
      </c>
      <c r="C13" s="2902" t="s">
        <v>2977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0" t="s">
        <v>1136</v>
      </c>
      <c r="C1" s="3320"/>
      <c r="D1" s="3320"/>
      <c r="E1" s="3320"/>
      <c r="F1" s="3320"/>
      <c r="G1" s="3319" t="s">
        <v>1137</v>
      </c>
      <c r="H1" s="3319"/>
      <c r="I1" s="3319"/>
      <c r="J1" s="3319"/>
      <c r="K1" s="3319"/>
      <c r="L1" s="3319"/>
      <c r="N1" s="3319" t="s">
        <v>1138</v>
      </c>
      <c r="O1" s="3319"/>
      <c r="P1" s="3319"/>
      <c r="Q1" s="3319"/>
      <c r="R1" s="1445"/>
      <c r="S1" s="3319" t="s">
        <v>1139</v>
      </c>
      <c r="T1" s="3319"/>
      <c r="U1" s="3319"/>
      <c r="V1" s="3319"/>
      <c r="X1" s="3318" t="s">
        <v>1140</v>
      </c>
      <c r="Y1" s="3319"/>
      <c r="Z1" s="3319"/>
      <c r="AA1" s="3319"/>
      <c r="AB1" s="3319"/>
      <c r="AD1" s="3318" t="s">
        <v>1141</v>
      </c>
      <c r="AE1" s="3319"/>
      <c r="AF1" s="3319"/>
      <c r="AG1" s="3319"/>
      <c r="AH1" s="3319"/>
    </row>
    <row r="2" spans="1:34" s="1446" customFormat="1" ht="14.25" thickBot="1">
      <c r="B2" s="1447" t="s">
        <v>1142</v>
      </c>
      <c r="C2" s="1447" t="s">
        <v>1143</v>
      </c>
      <c r="D2" s="1448" t="s">
        <v>1144</v>
      </c>
      <c r="E2" s="1448" t="s">
        <v>1145</v>
      </c>
      <c r="F2" s="1447" t="s">
        <v>1146</v>
      </c>
      <c r="G2" s="1449"/>
      <c r="H2" s="1450"/>
      <c r="I2" s="1447" t="s">
        <v>1142</v>
      </c>
      <c r="J2" s="1448" t="s">
        <v>1371</v>
      </c>
      <c r="K2" s="1448" t="s">
        <v>751</v>
      </c>
      <c r="L2" s="1447" t="s">
        <v>1146</v>
      </c>
      <c r="N2" s="1447" t="s">
        <v>1142</v>
      </c>
      <c r="O2" s="1448" t="s">
        <v>1371</v>
      </c>
      <c r="P2" s="1448" t="s">
        <v>751</v>
      </c>
      <c r="Q2" s="1447" t="s">
        <v>1146</v>
      </c>
      <c r="R2" s="1451"/>
      <c r="S2" s="1447" t="s">
        <v>1142</v>
      </c>
      <c r="T2" s="1448" t="s">
        <v>1371</v>
      </c>
      <c r="U2" s="1448" t="s">
        <v>751</v>
      </c>
      <c r="V2" s="1447" t="s">
        <v>1146</v>
      </c>
      <c r="X2" s="1447" t="s">
        <v>1142</v>
      </c>
      <c r="Y2" s="1447" t="s">
        <v>1143</v>
      </c>
      <c r="Z2" s="1448" t="s">
        <v>1144</v>
      </c>
      <c r="AA2" s="1448" t="s">
        <v>1145</v>
      </c>
      <c r="AB2" s="1447" t="s">
        <v>1146</v>
      </c>
      <c r="AD2" s="1447" t="s">
        <v>1142</v>
      </c>
      <c r="AE2" s="1447" t="s">
        <v>1143</v>
      </c>
      <c r="AF2" s="1448" t="s">
        <v>1144</v>
      </c>
      <c r="AG2" s="1448" t="s">
        <v>1145</v>
      </c>
      <c r="AH2" s="1447" t="s">
        <v>1146</v>
      </c>
    </row>
    <row r="3" spans="1:34" s="2918" customFormat="1" ht="14.25">
      <c r="A3" s="2927" t="s">
        <v>3019</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3033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3020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3034</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3032</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16">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3026</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16"/>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3025</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16"/>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3018</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25"/>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3015</v>
      </c>
      <c r="B11" s="1468">
        <v>439</v>
      </c>
      <c r="C11" s="1468">
        <v>327</v>
      </c>
      <c r="D11" s="1468">
        <f>C11</f>
        <v>327</v>
      </c>
      <c r="E11" s="1468">
        <v>627</v>
      </c>
      <c r="F11" s="1469">
        <v>283</v>
      </c>
      <c r="G11" s="3321">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3016</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16"/>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1372</v>
      </c>
      <c r="B13" s="1476">
        <f t="shared" si="73"/>
        <v>419.31181600000002</v>
      </c>
      <c r="C13" s="1476">
        <f t="shared" si="74"/>
        <v>313.95436800000004</v>
      </c>
      <c r="D13" s="1476">
        <f t="shared" si="75"/>
        <v>313.95436800000004</v>
      </c>
      <c r="E13" s="1476">
        <f t="shared" si="76"/>
        <v>596.63028431999999</v>
      </c>
      <c r="F13" s="1476">
        <f t="shared" si="77"/>
        <v>274.74220703999998</v>
      </c>
      <c r="G13" s="3316"/>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1147</v>
      </c>
      <c r="B14" s="1476">
        <f>B15*(1+N14)</f>
        <v>405.524</v>
      </c>
      <c r="C14" s="1476">
        <f>C15*(1+O14)</f>
        <v>307.79840000000002</v>
      </c>
      <c r="D14" s="1476">
        <f>C14</f>
        <v>307.79840000000002</v>
      </c>
      <c r="E14" s="1476">
        <f>E15*(1+P14)</f>
        <v>574.67759999999998</v>
      </c>
      <c r="F14" s="1476">
        <f>F15*(1+Q14)</f>
        <v>270.20280000000002</v>
      </c>
      <c r="G14" s="3325"/>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21">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16"/>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16"/>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17"/>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15">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16"/>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16"/>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17"/>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15">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16"/>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16"/>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17"/>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1148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1149</v>
      </c>
      <c r="B27" s="1468">
        <v>299</v>
      </c>
      <c r="C27" s="1468">
        <v>252</v>
      </c>
      <c r="D27" s="1468">
        <f t="shared" si="87"/>
        <v>252</v>
      </c>
      <c r="E27" s="1468">
        <v>409</v>
      </c>
      <c r="F27" s="1469">
        <v>227</v>
      </c>
      <c r="G27" s="3322">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23"/>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1151</v>
      </c>
      <c r="B29" s="1476">
        <f t="shared" si="96"/>
        <v>288.2649053828776</v>
      </c>
      <c r="C29" s="1476">
        <f t="shared" si="96"/>
        <v>243.64564425013293</v>
      </c>
      <c r="D29" s="1476">
        <f t="shared" si="87"/>
        <v>243.64564425013293</v>
      </c>
      <c r="E29" s="1476">
        <f t="shared" si="97"/>
        <v>393.31080825986544</v>
      </c>
      <c r="F29" s="1476">
        <f t="shared" si="97"/>
        <v>223.07903790551154</v>
      </c>
      <c r="G29" s="3323"/>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1152</v>
      </c>
      <c r="B30" s="1476">
        <f t="shared" si="96"/>
        <v>282.50186729015837</v>
      </c>
      <c r="C30" s="1476">
        <f t="shared" si="96"/>
        <v>238.09796174155468</v>
      </c>
      <c r="D30" s="1476">
        <f t="shared" si="87"/>
        <v>238.09796174155468</v>
      </c>
      <c r="E30" s="1476">
        <f t="shared" si="97"/>
        <v>385.33438646014054</v>
      </c>
      <c r="F30" s="1476">
        <f t="shared" si="97"/>
        <v>221.55034055567739</v>
      </c>
      <c r="G30" s="3324"/>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1153</v>
      </c>
      <c r="B31" s="1510">
        <v>278</v>
      </c>
      <c r="C31" s="1510">
        <v>234</v>
      </c>
      <c r="D31" s="1510">
        <f t="shared" si="87"/>
        <v>234</v>
      </c>
      <c r="E31" s="1510">
        <v>379</v>
      </c>
      <c r="F31" s="1511">
        <v>220</v>
      </c>
      <c r="G31" s="3315">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1154</v>
      </c>
      <c r="B32" s="1476">
        <f>B31/(1+N31)</f>
        <v>275.49301357645425</v>
      </c>
      <c r="C32" s="1476">
        <f>C31/(1+O31)</f>
        <v>232.41954707985698</v>
      </c>
      <c r="D32" s="1476">
        <f t="shared" si="87"/>
        <v>232.41954707985698</v>
      </c>
      <c r="E32" s="1476">
        <f t="shared" ref="E32:F34" si="98">E31/(1+P31)</f>
        <v>375.32184591008121</v>
      </c>
      <c r="F32" s="1476">
        <f t="shared" si="98"/>
        <v>218.03766105054513</v>
      </c>
      <c r="G32" s="3316"/>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1155</v>
      </c>
      <c r="B33" s="1476">
        <f>B32/(1+N32)</f>
        <v>275.24529281292263</v>
      </c>
      <c r="C33" s="1476">
        <f>C32/(1+O32)</f>
        <v>231.74747938962707</v>
      </c>
      <c r="D33" s="1476">
        <f t="shared" si="87"/>
        <v>231.74747938962707</v>
      </c>
      <c r="E33" s="1476">
        <f t="shared" si="98"/>
        <v>375.35938184826603</v>
      </c>
      <c r="F33" s="1476">
        <f t="shared" si="98"/>
        <v>216.78033510692495</v>
      </c>
      <c r="G33" s="3316"/>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1156</v>
      </c>
      <c r="B34" s="1476">
        <f>B33/(1+N33)</f>
        <v>275.19025476197027</v>
      </c>
      <c r="C34" s="1512">
        <v>232</v>
      </c>
      <c r="D34" s="1512">
        <f t="shared" si="87"/>
        <v>232</v>
      </c>
      <c r="E34" s="1476">
        <f t="shared" si="98"/>
        <v>375.65990977608692</v>
      </c>
      <c r="F34" s="1476">
        <f t="shared" si="98"/>
        <v>214.12518283971252</v>
      </c>
      <c r="G34" s="3317"/>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1157</v>
      </c>
      <c r="B35" s="1468">
        <v>275</v>
      </c>
      <c r="C35" s="1468">
        <v>232</v>
      </c>
      <c r="D35" s="1468">
        <f t="shared" si="87"/>
        <v>232</v>
      </c>
      <c r="E35" s="1468">
        <v>376</v>
      </c>
      <c r="F35" s="1469">
        <v>213</v>
      </c>
      <c r="G35" s="3315">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1158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16">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1159</v>
      </c>
      <c r="B37" s="1476">
        <f t="shared" si="99"/>
        <v>275.19335084830601</v>
      </c>
      <c r="C37" s="1476">
        <f t="shared" si="99"/>
        <v>230.18088050139744</v>
      </c>
      <c r="D37" s="1476">
        <f t="shared" si="87"/>
        <v>230.18088050139744</v>
      </c>
      <c r="E37" s="1476">
        <f t="shared" si="100"/>
        <v>377.58482925212331</v>
      </c>
      <c r="F37" s="1476">
        <f t="shared" si="100"/>
        <v>210.90687997847917</v>
      </c>
      <c r="G37" s="3316">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1160</v>
      </c>
      <c r="B38" s="1476">
        <f t="shared" si="99"/>
        <v>276.29854502841971</v>
      </c>
      <c r="C38" s="1476">
        <f t="shared" si="99"/>
        <v>229.79023709833027</v>
      </c>
      <c r="D38" s="1476">
        <f t="shared" si="87"/>
        <v>229.79023709833027</v>
      </c>
      <c r="E38" s="1476">
        <f t="shared" si="100"/>
        <v>379.78759731655936</v>
      </c>
      <c r="F38" s="1476">
        <f t="shared" si="100"/>
        <v>211.32953905659235</v>
      </c>
      <c r="G38" s="3317">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1161</v>
      </c>
      <c r="B39" s="1468">
        <v>269</v>
      </c>
      <c r="C39" s="1468">
        <v>221</v>
      </c>
      <c r="D39" s="1468">
        <f t="shared" si="87"/>
        <v>221</v>
      </c>
      <c r="E39" s="1468">
        <v>373</v>
      </c>
      <c r="F39" s="1469">
        <v>196</v>
      </c>
      <c r="G39" s="3315">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16">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1163</v>
      </c>
      <c r="B41" s="1476">
        <f t="shared" si="101"/>
        <v>242.95398227588385</v>
      </c>
      <c r="C41" s="1476">
        <f t="shared" si="101"/>
        <v>199.59137053614126</v>
      </c>
      <c r="D41" s="1476">
        <f t="shared" si="87"/>
        <v>199.59137053614126</v>
      </c>
      <c r="E41" s="1476">
        <f t="shared" si="102"/>
        <v>335.92189522342125</v>
      </c>
      <c r="F41" s="1476">
        <f t="shared" si="102"/>
        <v>183.10139991109489</v>
      </c>
      <c r="G41" s="3316">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1164</v>
      </c>
      <c r="B42" s="1476">
        <f t="shared" si="101"/>
        <v>232.06990378821649</v>
      </c>
      <c r="C42" s="1476">
        <f t="shared" si="101"/>
        <v>192.74878854286936</v>
      </c>
      <c r="D42" s="1476">
        <f t="shared" si="87"/>
        <v>192.74878854286936</v>
      </c>
      <c r="E42" s="1476">
        <f t="shared" si="102"/>
        <v>319.71247284992984</v>
      </c>
      <c r="F42" s="1476">
        <f t="shared" si="102"/>
        <v>175.67053622862409</v>
      </c>
      <c r="G42" s="3317">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1165</v>
      </c>
      <c r="B43" s="1468">
        <v>220</v>
      </c>
      <c r="C43" s="1468">
        <v>187</v>
      </c>
      <c r="D43" s="1468">
        <f t="shared" si="87"/>
        <v>187</v>
      </c>
      <c r="E43" s="1468">
        <v>301</v>
      </c>
      <c r="F43" s="1469">
        <v>168</v>
      </c>
      <c r="G43" s="3315">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1166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16">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1167</v>
      </c>
      <c r="B45" s="1476">
        <f t="shared" si="103"/>
        <v>210.630522469011</v>
      </c>
      <c r="C45" s="1476">
        <f t="shared" si="103"/>
        <v>181.69567812247232</v>
      </c>
      <c r="D45" s="1476">
        <f t="shared" si="87"/>
        <v>181.69567812247232</v>
      </c>
      <c r="E45" s="1476">
        <f t="shared" si="104"/>
        <v>286.13517466736738</v>
      </c>
      <c r="F45" s="1476">
        <f t="shared" si="104"/>
        <v>165.47535084591149</v>
      </c>
      <c r="G45" s="3316">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1168</v>
      </c>
      <c r="B46" s="1476">
        <f t="shared" si="103"/>
        <v>208.83454537875372</v>
      </c>
      <c r="C46" s="1476">
        <f t="shared" si="103"/>
        <v>183.77230517090351</v>
      </c>
      <c r="D46" s="1476">
        <f t="shared" si="87"/>
        <v>183.77230517090351</v>
      </c>
      <c r="E46" s="1476">
        <f t="shared" si="104"/>
        <v>281.10342338870947</v>
      </c>
      <c r="F46" s="1476">
        <f t="shared" si="104"/>
        <v>168.97309388942256</v>
      </c>
      <c r="G46" s="3317">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1169</v>
      </c>
      <c r="B47" s="1510">
        <v>214</v>
      </c>
      <c r="C47" s="1510">
        <v>188</v>
      </c>
      <c r="D47" s="1510">
        <f t="shared" si="87"/>
        <v>188</v>
      </c>
      <c r="E47" s="1510">
        <v>289</v>
      </c>
      <c r="F47" s="1511">
        <v>166</v>
      </c>
      <c r="G47" s="3315">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16">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1171</v>
      </c>
      <c r="B49" s="1476">
        <f t="shared" si="105"/>
        <v>206.31694671589116</v>
      </c>
      <c r="C49" s="1476">
        <f t="shared" si="105"/>
        <v>183.61041121036101</v>
      </c>
      <c r="D49" s="1476">
        <f t="shared" si="87"/>
        <v>183.61041121036101</v>
      </c>
      <c r="E49" s="1476">
        <f t="shared" si="106"/>
        <v>276.66850301795557</v>
      </c>
      <c r="F49" s="1476">
        <f t="shared" si="106"/>
        <v>165.1360938278614</v>
      </c>
      <c r="G49" s="3316">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1172</v>
      </c>
      <c r="B50" s="1513">
        <f t="shared" si="105"/>
        <v>196.62341248059772</v>
      </c>
      <c r="C50" s="1513">
        <f t="shared" si="105"/>
        <v>170.99125648199012</v>
      </c>
      <c r="D50" s="1513">
        <f t="shared" si="87"/>
        <v>170.99125648199012</v>
      </c>
      <c r="E50" s="1513">
        <f t="shared" si="106"/>
        <v>266.07857570490052</v>
      </c>
      <c r="F50" s="1513">
        <f t="shared" si="106"/>
        <v>154.53499328828505</v>
      </c>
      <c r="G50" s="3317">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1173</v>
      </c>
      <c r="B51" s="1468">
        <v>188</v>
      </c>
      <c r="C51" s="1468">
        <v>165</v>
      </c>
      <c r="D51" s="1468">
        <f t="shared" si="87"/>
        <v>165</v>
      </c>
      <c r="E51" s="1468">
        <v>254</v>
      </c>
      <c r="F51" s="1469">
        <v>148</v>
      </c>
      <c r="G51" s="3315">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1174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16">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1175</v>
      </c>
      <c r="B53" s="1476">
        <f t="shared" si="109"/>
        <v>168.82017748715555</v>
      </c>
      <c r="C53" s="1476">
        <f t="shared" si="109"/>
        <v>148.06267029972753</v>
      </c>
      <c r="D53" s="1476">
        <f t="shared" si="87"/>
        <v>148.06267029972753</v>
      </c>
      <c r="E53" s="1476">
        <f t="shared" si="110"/>
        <v>216.46288379323747</v>
      </c>
      <c r="F53" s="1476">
        <f t="shared" si="110"/>
        <v>134.23529411764704</v>
      </c>
      <c r="G53" s="3316">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1176</v>
      </c>
      <c r="B54" s="1476">
        <f t="shared" si="109"/>
        <v>163.84913591779542</v>
      </c>
      <c r="C54" s="1476">
        <f t="shared" si="109"/>
        <v>145.0283378746594</v>
      </c>
      <c r="D54" s="1476">
        <f t="shared" si="87"/>
        <v>145.0283378746594</v>
      </c>
      <c r="E54" s="1476">
        <f t="shared" si="110"/>
        <v>204.95180722891567</v>
      </c>
      <c r="F54" s="1476">
        <f t="shared" si="110"/>
        <v>125.95920303605313</v>
      </c>
      <c r="G54" s="3317">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1177</v>
      </c>
      <c r="B55" s="1489">
        <v>159</v>
      </c>
      <c r="C55" s="1489">
        <v>141</v>
      </c>
      <c r="D55" s="1489">
        <f t="shared" si="87"/>
        <v>141</v>
      </c>
      <c r="E55" s="1489">
        <v>195</v>
      </c>
      <c r="F55" s="1490">
        <v>122</v>
      </c>
      <c r="G55" s="3315">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1178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16">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1179</v>
      </c>
      <c r="B57" s="1476">
        <f t="shared" si="113"/>
        <v>146.57412060301507</v>
      </c>
      <c r="C57" s="1476">
        <f t="shared" si="113"/>
        <v>136.46831955922866</v>
      </c>
      <c r="D57" s="1476">
        <f t="shared" si="87"/>
        <v>136.46831955922866</v>
      </c>
      <c r="E57" s="1476">
        <f t="shared" si="114"/>
        <v>166.73864894795128</v>
      </c>
      <c r="F57" s="1476">
        <f t="shared" si="114"/>
        <v>115.05882352941177</v>
      </c>
      <c r="G57" s="3316">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1180</v>
      </c>
      <c r="B58" s="1476">
        <f t="shared" si="113"/>
        <v>144.04145728643215</v>
      </c>
      <c r="C58" s="1476">
        <f t="shared" si="113"/>
        <v>136.12396694214877</v>
      </c>
      <c r="D58" s="1476">
        <f t="shared" si="87"/>
        <v>136.12396694214877</v>
      </c>
      <c r="E58" s="1476">
        <f t="shared" si="114"/>
        <v>158.32225913621264</v>
      </c>
      <c r="F58" s="1476">
        <f t="shared" si="114"/>
        <v>114.04278074866311</v>
      </c>
      <c r="G58" s="3317">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1181</v>
      </c>
      <c r="B59" s="1489">
        <v>138</v>
      </c>
      <c r="C59" s="1489">
        <v>131</v>
      </c>
      <c r="D59" s="1489">
        <f t="shared" si="87"/>
        <v>131</v>
      </c>
      <c r="E59" s="1489">
        <v>155</v>
      </c>
      <c r="F59" s="1490">
        <v>114</v>
      </c>
      <c r="G59" s="3315">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16">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1183</v>
      </c>
      <c r="B61" s="1476">
        <f t="shared" si="117"/>
        <v>124.29032258064517</v>
      </c>
      <c r="C61" s="1476">
        <f t="shared" si="117"/>
        <v>123.8968609865471</v>
      </c>
      <c r="D61" s="1476">
        <f t="shared" si="87"/>
        <v>123.8968609865471</v>
      </c>
      <c r="E61" s="1476">
        <f t="shared" si="118"/>
        <v>138.00507614213197</v>
      </c>
      <c r="F61" s="1476">
        <f t="shared" si="118"/>
        <v>107.96106557377048</v>
      </c>
      <c r="G61" s="3316">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1184</v>
      </c>
      <c r="B62" s="1476">
        <f t="shared" si="117"/>
        <v>122.57204301075269</v>
      </c>
      <c r="C62" s="1476">
        <f t="shared" si="117"/>
        <v>123.4932735426009</v>
      </c>
      <c r="D62" s="1476">
        <f t="shared" si="87"/>
        <v>123.4932735426009</v>
      </c>
      <c r="E62" s="1476">
        <f t="shared" si="118"/>
        <v>129.82233502538071</v>
      </c>
      <c r="F62" s="1476">
        <f t="shared" si="118"/>
        <v>107.39446721311475</v>
      </c>
      <c r="G62" s="3317">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1185</v>
      </c>
      <c r="B63" s="1510">
        <v>121</v>
      </c>
      <c r="C63" s="1510">
        <v>122</v>
      </c>
      <c r="D63" s="1510">
        <f t="shared" si="87"/>
        <v>122</v>
      </c>
      <c r="E63" s="1510">
        <v>124</v>
      </c>
      <c r="F63" s="1511">
        <v>107</v>
      </c>
      <c r="G63" s="3315">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1186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16">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1187</v>
      </c>
      <c r="B65" s="1476">
        <f t="shared" si="121"/>
        <v>116.99099099099099</v>
      </c>
      <c r="C65" s="1476">
        <f t="shared" si="121"/>
        <v>118.84848484848486</v>
      </c>
      <c r="D65" s="1476">
        <f t="shared" si="87"/>
        <v>118.84848484848486</v>
      </c>
      <c r="E65" s="1476">
        <f t="shared" si="122"/>
        <v>117.60960960960961</v>
      </c>
      <c r="F65" s="1476">
        <f t="shared" si="122"/>
        <v>104</v>
      </c>
      <c r="G65" s="3316">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1188</v>
      </c>
      <c r="B66" s="1513">
        <f t="shared" si="121"/>
        <v>112.48648648648648</v>
      </c>
      <c r="C66" s="1513">
        <f t="shared" si="121"/>
        <v>115.21212121212122</v>
      </c>
      <c r="D66" s="1513">
        <f t="shared" si="87"/>
        <v>115.21212121212122</v>
      </c>
      <c r="E66" s="1513">
        <f t="shared" si="122"/>
        <v>110.4024024024024</v>
      </c>
      <c r="F66" s="1513">
        <f t="shared" si="122"/>
        <v>104</v>
      </c>
      <c r="G66" s="3317">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1189</v>
      </c>
      <c r="B67" s="1531">
        <v>111</v>
      </c>
      <c r="C67" s="1531">
        <v>114</v>
      </c>
      <c r="D67" s="1531">
        <f t="shared" si="87"/>
        <v>114</v>
      </c>
      <c r="E67" s="1531">
        <v>108</v>
      </c>
      <c r="F67" s="1532">
        <v>104</v>
      </c>
      <c r="G67" s="3315">
        <v>2003</v>
      </c>
      <c r="H67" s="1521">
        <v>4</v>
      </c>
      <c r="I67" s="1533"/>
      <c r="J67" s="1533"/>
      <c r="K67" s="1533"/>
      <c r="L67" s="1533"/>
      <c r="N67" s="1534"/>
      <c r="O67" s="1533"/>
      <c r="P67" s="1533"/>
      <c r="Q67" s="1533"/>
      <c r="S67" s="1534"/>
      <c r="T67" s="1533"/>
      <c r="U67" s="1533"/>
      <c r="V67" s="1533"/>
      <c r="X67" s="1525"/>
      <c r="Y67" s="1525"/>
      <c r="Z67" s="1525"/>
    </row>
    <row r="68" spans="1:26">
      <c r="A68" s="1460" t="s">
        <v>1190</v>
      </c>
      <c r="B68" s="1535">
        <f t="shared" ref="B68:C70" si="123">B69+(B$67-B$71)/4</f>
        <v>109.75</v>
      </c>
      <c r="C68" s="1535">
        <f t="shared" si="123"/>
        <v>112.25</v>
      </c>
      <c r="D68" s="1535">
        <f t="shared" si="87"/>
        <v>112.25</v>
      </c>
      <c r="E68" s="1535">
        <f t="shared" ref="E68:F70" si="124">E69+(E$67-E$71)/4</f>
        <v>107.25</v>
      </c>
      <c r="F68" s="1535">
        <f t="shared" si="124"/>
        <v>103.5</v>
      </c>
      <c r="G68" s="3316">
        <v>2003</v>
      </c>
      <c r="H68" s="1486">
        <v>3</v>
      </c>
      <c r="I68" s="1533"/>
      <c r="J68" s="1533"/>
      <c r="K68" s="1533"/>
      <c r="L68" s="1533"/>
      <c r="X68" s="1525"/>
      <c r="Y68" s="1525"/>
      <c r="Z68" s="1525"/>
    </row>
    <row r="69" spans="1:26">
      <c r="A69" s="1460" t="s">
        <v>1191</v>
      </c>
      <c r="B69" s="1535">
        <f t="shared" si="123"/>
        <v>108.5</v>
      </c>
      <c r="C69" s="1535">
        <f t="shared" si="123"/>
        <v>110.5</v>
      </c>
      <c r="D69" s="1535">
        <f t="shared" si="87"/>
        <v>110.5</v>
      </c>
      <c r="E69" s="1535">
        <f t="shared" si="124"/>
        <v>106.5</v>
      </c>
      <c r="F69" s="1535">
        <f t="shared" si="124"/>
        <v>103</v>
      </c>
      <c r="G69" s="3316">
        <v>2003</v>
      </c>
      <c r="H69" s="1464">
        <v>2</v>
      </c>
      <c r="I69" s="1533"/>
      <c r="J69" s="1533"/>
      <c r="K69" s="1533"/>
      <c r="L69" s="1533"/>
      <c r="X69" s="1525"/>
      <c r="Y69" s="1525"/>
      <c r="Z69" s="1525"/>
    </row>
    <row r="70" spans="1:26" ht="13.5" thickBot="1">
      <c r="A70" s="1460" t="s">
        <v>1192</v>
      </c>
      <c r="B70" s="1535">
        <f t="shared" si="123"/>
        <v>107.25</v>
      </c>
      <c r="C70" s="1535">
        <f t="shared" si="123"/>
        <v>108.75</v>
      </c>
      <c r="D70" s="1535">
        <f t="shared" si="87"/>
        <v>108.75</v>
      </c>
      <c r="E70" s="1535">
        <f t="shared" si="124"/>
        <v>105.75</v>
      </c>
      <c r="F70" s="1535">
        <f t="shared" si="124"/>
        <v>102.5</v>
      </c>
      <c r="G70" s="3317">
        <v>2003</v>
      </c>
      <c r="H70" s="1536">
        <v>1</v>
      </c>
      <c r="I70" s="1533"/>
      <c r="J70" s="1533"/>
      <c r="K70" s="1533"/>
      <c r="L70" s="1533"/>
      <c r="S70" s="1471"/>
      <c r="T70" s="1472"/>
      <c r="U70" s="1472"/>
      <c r="X70" s="1525"/>
      <c r="Y70" s="1525"/>
      <c r="Z70" s="1525"/>
    </row>
    <row r="71" spans="1:26" ht="13.5" thickBot="1">
      <c r="A71" s="1460" t="s">
        <v>1193</v>
      </c>
      <c r="B71" s="1537">
        <v>106</v>
      </c>
      <c r="C71" s="1537">
        <v>107</v>
      </c>
      <c r="D71" s="1537">
        <f t="shared" si="87"/>
        <v>107</v>
      </c>
      <c r="E71" s="1537">
        <v>105</v>
      </c>
      <c r="F71" s="1538">
        <v>102</v>
      </c>
      <c r="G71" s="3315">
        <v>2002</v>
      </c>
      <c r="H71" s="1481">
        <v>4</v>
      </c>
      <c r="I71" s="1533"/>
      <c r="J71" s="1533"/>
      <c r="K71" s="1533"/>
      <c r="L71" s="1533"/>
      <c r="N71" s="1534"/>
      <c r="O71" s="1533"/>
      <c r="P71" s="1533"/>
      <c r="Q71" s="1533"/>
      <c r="S71" s="1534"/>
      <c r="T71" s="1533"/>
      <c r="U71" s="1533"/>
      <c r="V71" s="1533"/>
      <c r="X71" s="1525"/>
      <c r="Y71" s="1525"/>
      <c r="Z71" s="1525"/>
    </row>
    <row r="72" spans="1:26">
      <c r="A72" s="1460" t="s">
        <v>1194</v>
      </c>
      <c r="B72" s="1535">
        <f t="shared" ref="B72:C74" si="125">B73+(B$71-B$75)/4</f>
        <v>105</v>
      </c>
      <c r="C72" s="1535">
        <f t="shared" si="125"/>
        <v>106</v>
      </c>
      <c r="D72" s="1535">
        <f t="shared" si="87"/>
        <v>106</v>
      </c>
      <c r="E72" s="1535">
        <f t="shared" ref="E72:F74" si="126">E73+(E$71-E$75)/4</f>
        <v>104.5</v>
      </c>
      <c r="F72" s="1535">
        <f t="shared" si="126"/>
        <v>101.5</v>
      </c>
      <c r="G72" s="3316">
        <v>2002</v>
      </c>
      <c r="H72" s="1486">
        <v>3</v>
      </c>
      <c r="I72" s="1533"/>
      <c r="J72" s="1533"/>
      <c r="K72" s="1533"/>
      <c r="L72" s="1533"/>
      <c r="X72" s="1525"/>
      <c r="Y72" s="1525"/>
      <c r="Z72" s="1525"/>
    </row>
    <row r="73" spans="1:26">
      <c r="A73" s="1460" t="s">
        <v>1195</v>
      </c>
      <c r="B73" s="1535">
        <f t="shared" si="125"/>
        <v>104</v>
      </c>
      <c r="C73" s="1535">
        <f t="shared" si="125"/>
        <v>105</v>
      </c>
      <c r="D73" s="1535">
        <f t="shared" si="87"/>
        <v>105</v>
      </c>
      <c r="E73" s="1535">
        <f t="shared" si="126"/>
        <v>104</v>
      </c>
      <c r="F73" s="1535">
        <f t="shared" si="126"/>
        <v>101</v>
      </c>
      <c r="G73" s="3316">
        <v>2002</v>
      </c>
      <c r="H73" s="1464">
        <v>2</v>
      </c>
      <c r="I73" s="1533"/>
      <c r="J73" s="1533"/>
      <c r="K73" s="1533"/>
      <c r="L73" s="1533"/>
      <c r="X73" s="1525"/>
      <c r="Y73" s="1525"/>
      <c r="Z73" s="1525"/>
    </row>
    <row r="74" spans="1:26" s="1497" customFormat="1" ht="13.5" thickBot="1">
      <c r="A74" s="1493" t="s">
        <v>1196</v>
      </c>
      <c r="B74" s="1539">
        <f t="shared" si="125"/>
        <v>103</v>
      </c>
      <c r="C74" s="1539">
        <f t="shared" si="125"/>
        <v>104</v>
      </c>
      <c r="D74" s="1539">
        <f t="shared" si="87"/>
        <v>104</v>
      </c>
      <c r="E74" s="1539">
        <f t="shared" si="126"/>
        <v>103.5</v>
      </c>
      <c r="F74" s="1539">
        <f t="shared" si="126"/>
        <v>100.5</v>
      </c>
      <c r="G74" s="3317">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1197</v>
      </c>
      <c r="G77" s="1549"/>
      <c r="N77" s="1549"/>
      <c r="S77" s="1549"/>
    </row>
    <row r="78" spans="1:26" s="1548" customFormat="1">
      <c r="A78" s="1548" t="s">
        <v>1198</v>
      </c>
      <c r="G78" s="1549"/>
      <c r="N78" s="1549"/>
      <c r="S78" s="1549"/>
    </row>
    <row r="79" spans="1:26" s="1548" customFormat="1">
      <c r="A79" s="1548" t="s">
        <v>1199</v>
      </c>
      <c r="G79" s="1549"/>
      <c r="I79" s="1550"/>
      <c r="J79" s="1550"/>
      <c r="K79" s="1550"/>
      <c r="L79" s="1550"/>
      <c r="N79" s="1551"/>
      <c r="O79" s="1550"/>
      <c r="P79" s="1550"/>
      <c r="Q79" s="1550"/>
      <c r="S79" s="1551"/>
      <c r="T79" s="1550"/>
      <c r="U79" s="1550"/>
      <c r="V79" s="1550"/>
    </row>
    <row r="80" spans="1:26" s="1548" customFormat="1">
      <c r="A80" s="1548" t="s">
        <v>1200</v>
      </c>
      <c r="G80" s="1549"/>
      <c r="N80" s="1549"/>
      <c r="S80" s="1549"/>
    </row>
    <row r="87" spans="7:22" ht="13.5" thickBot="1"/>
    <row r="88" spans="7:22">
      <c r="G88" s="1470"/>
      <c r="S88" s="1552" t="s">
        <v>1201</v>
      </c>
      <c r="T88" s="1553" t="s">
        <v>1202</v>
      </c>
      <c r="U88" s="1553" t="s">
        <v>1203</v>
      </c>
      <c r="V88" s="1553" t="s">
        <v>1204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1607</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1616</v>
      </c>
      <c r="C4" s="2978"/>
      <c r="D4" s="2978"/>
      <c r="E4" s="1960"/>
    </row>
    <row r="5" spans="1:5" ht="16.5" thickTop="1">
      <c r="A5" s="1958"/>
      <c r="B5" s="2976" t="s">
        <v>1608</v>
      </c>
      <c r="C5" s="1961" t="s">
        <v>1609</v>
      </c>
      <c r="D5" s="1040">
        <f ca="1">结果表!H101</f>
        <v>129006</v>
      </c>
      <c r="E5" s="1958"/>
    </row>
    <row r="6" spans="1:5" ht="15.75">
      <c r="A6" s="1958"/>
      <c r="B6" s="2976"/>
      <c r="C6" s="1961" t="s">
        <v>1610</v>
      </c>
      <c r="D6" s="1040" t="str">
        <f ca="1">NUMBERSTRING(INT(D5*10000),2)&amp;"元整"</f>
        <v>壹拾贰亿玖仟零陆万元整</v>
      </c>
      <c r="E6" s="1958"/>
    </row>
    <row r="7" spans="1:5" ht="15.75">
      <c r="A7" s="1958"/>
      <c r="B7" s="2981"/>
      <c r="C7" s="1962" t="s">
        <v>1611</v>
      </c>
      <c r="D7" s="1041">
        <f ca="1">结果表!H102</f>
        <v>23041</v>
      </c>
      <c r="E7" s="1958"/>
    </row>
    <row r="8" spans="1:5" ht="15.75">
      <c r="A8" s="1958"/>
      <c r="B8" s="2982" t="str">
        <f>结果表!E103</f>
        <v>2.估价师知悉的法定优先受偿款</v>
      </c>
      <c r="C8" s="1963" t="s">
        <v>1612</v>
      </c>
      <c r="D8" s="1041">
        <f>结果表!H103</f>
        <v>0</v>
      </c>
      <c r="E8" s="1958"/>
    </row>
    <row r="9" spans="1:5" ht="15.75">
      <c r="A9" s="1958"/>
      <c r="B9" s="2984"/>
      <c r="C9" s="1961" t="s">
        <v>1610</v>
      </c>
      <c r="D9" s="1040" t="str">
        <f>NUMBERSTRING(INT(D8*10000),2)&amp;"元整"</f>
        <v>零元整</v>
      </c>
      <c r="E9" s="1958"/>
    </row>
    <row r="10" spans="1:5" ht="15">
      <c r="A10" s="1958"/>
      <c r="B10" s="1964" t="s">
        <v>1615</v>
      </c>
      <c r="C10" s="1965" t="s">
        <v>1613</v>
      </c>
      <c r="D10" s="1042">
        <f>结果表!H104</f>
        <v>0</v>
      </c>
      <c r="E10" s="1958"/>
    </row>
    <row r="11" spans="1:5" ht="15">
      <c r="A11" s="1958"/>
      <c r="B11" s="1964" t="s">
        <v>1617</v>
      </c>
      <c r="C11" s="1965" t="s">
        <v>1618</v>
      </c>
      <c r="D11" s="1042">
        <f>结果表!H105</f>
        <v>0</v>
      </c>
      <c r="E11" s="1958"/>
    </row>
    <row r="12" spans="1:5" ht="15">
      <c r="A12" s="1958"/>
      <c r="B12" s="1964" t="s">
        <v>1619</v>
      </c>
      <c r="C12" s="1965" t="s">
        <v>1618</v>
      </c>
      <c r="D12" s="1042">
        <f>结果表!H106</f>
        <v>0</v>
      </c>
      <c r="E12" s="1958"/>
    </row>
    <row r="13" spans="1:5" ht="15.75">
      <c r="A13" s="1958"/>
      <c r="B13" s="2975" t="str">
        <f>结果表!E107</f>
        <v>3.房地产抵押价值</v>
      </c>
      <c r="C13" s="1966" t="s">
        <v>1609</v>
      </c>
      <c r="D13" s="1043">
        <f ca="1">结果表!H107</f>
        <v>129006</v>
      </c>
      <c r="E13" s="1958"/>
    </row>
    <row r="14" spans="1:5" ht="15.75">
      <c r="A14" s="1958"/>
      <c r="B14" s="2976"/>
      <c r="C14" s="1961" t="s">
        <v>1610</v>
      </c>
      <c r="D14" s="1040" t="str">
        <f ca="1">NUMBERSTRING(INT(D13*10000),2)&amp;"元整"</f>
        <v>壹拾贰亿玖仟零陆万元整</v>
      </c>
      <c r="E14" s="1958"/>
    </row>
    <row r="15" spans="1:5" ht="15">
      <c r="A15" s="1958"/>
      <c r="B15" s="2981"/>
      <c r="C15" s="1962" t="s">
        <v>1620</v>
      </c>
      <c r="D15" s="1052">
        <f ca="1">结果表!H108</f>
        <v>23041</v>
      </c>
      <c r="E15" s="1958"/>
    </row>
    <row r="16" spans="1:5" ht="15">
      <c r="A16" s="1958"/>
      <c r="B16" s="2982" t="str">
        <f>结果表!E109</f>
        <v>——</v>
      </c>
      <c r="C16" s="1966" t="s">
        <v>1621</v>
      </c>
      <c r="D16" s="1967" t="str">
        <f>结果表!H109</f>
        <v>——</v>
      </c>
      <c r="E16" s="1958"/>
    </row>
    <row r="17" spans="1:5" ht="15.75">
      <c r="A17" s="1958"/>
      <c r="B17" s="2983"/>
      <c r="C17" s="1961" t="s">
        <v>1622</v>
      </c>
      <c r="D17" s="1040" t="e">
        <f>NUMBERSTRING(INT(D16*10000),2)&amp;"元整"</f>
        <v>#VALUE!</v>
      </c>
      <c r="E17" s="1958"/>
    </row>
    <row r="18" spans="1:5" ht="15">
      <c r="A18" s="1958"/>
      <c r="B18" s="2984"/>
      <c r="C18" s="1962" t="s">
        <v>1611</v>
      </c>
      <c r="D18" s="1052" t="str">
        <f>结果表!H110</f>
        <v>——</v>
      </c>
      <c r="E18" s="1958"/>
    </row>
    <row r="19" spans="1:5" ht="15.75">
      <c r="A19" s="1958"/>
      <c r="B19" s="2975" t="str">
        <f>结果表!E111</f>
        <v>——</v>
      </c>
      <c r="C19" s="1966" t="s">
        <v>1609</v>
      </c>
      <c r="D19" s="1041" t="str">
        <f>结果表!H111</f>
        <v>——</v>
      </c>
      <c r="E19" s="1958"/>
    </row>
    <row r="20" spans="1:5" ht="15.75">
      <c r="A20" s="1958"/>
      <c r="B20" s="2976"/>
      <c r="C20" s="1961" t="s">
        <v>1622</v>
      </c>
      <c r="D20" s="1040" t="e">
        <f>NUMBERSTRING(INT(D19*10000),2)&amp;"元整"</f>
        <v>#VALUE!</v>
      </c>
      <c r="E20" s="1958"/>
    </row>
    <row r="21" spans="1:5" ht="15.75" thickBot="1">
      <c r="A21" s="1958"/>
      <c r="B21" s="2977"/>
      <c r="C21" s="1968" t="s">
        <v>1620</v>
      </c>
      <c r="D21" s="1053" t="str">
        <f>结果表!H112</f>
        <v>——</v>
      </c>
      <c r="E21" s="1958"/>
    </row>
    <row r="22" spans="1:5" ht="15" thickTop="1">
      <c r="A22" s="1958"/>
      <c r="B22" s="1969" t="s">
        <v>1623</v>
      </c>
      <c r="C22" s="1958"/>
      <c r="D22" s="1958"/>
      <c r="E22" s="1958"/>
    </row>
    <row r="23" spans="1:5">
      <c r="A23" s="1958"/>
      <c r="B23" s="1958"/>
      <c r="C23" s="1958"/>
      <c r="D23" s="1958"/>
      <c r="E23" s="1958"/>
    </row>
    <row r="24" spans="1:5" ht="18.75">
      <c r="A24" s="1970"/>
      <c r="B24" s="1971" t="s">
        <v>1614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2986</v>
      </c>
      <c r="C1" s="3327" t="s">
        <v>2987</v>
      </c>
      <c r="D1" s="3328"/>
      <c r="E1" s="3328"/>
      <c r="F1" s="3328"/>
      <c r="G1" s="3328"/>
      <c r="H1" s="3328"/>
      <c r="I1" s="3328"/>
      <c r="J1" s="3328"/>
      <c r="K1" s="3328"/>
      <c r="L1" s="3328"/>
      <c r="M1" s="3328"/>
      <c r="N1" s="3328"/>
      <c r="O1" s="3328"/>
      <c r="P1" s="3328"/>
      <c r="Q1" s="3328"/>
      <c r="R1" s="3328"/>
      <c r="S1" s="3329"/>
      <c r="T1" s="1204" t="s">
        <v>2988</v>
      </c>
    </row>
    <row r="2" spans="1:45" s="707" customFormat="1">
      <c r="A2" s="1205"/>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2996</v>
      </c>
      <c r="B17" s="2909"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2998</v>
      </c>
      <c r="E19" s="1791"/>
      <c r="F19" s="1791"/>
      <c r="G19" s="1791"/>
      <c r="H19" s="1280"/>
      <c r="I19" s="168"/>
      <c r="J19" s="168"/>
      <c r="K19" s="168"/>
      <c r="L19" s="168"/>
      <c r="M19" s="168"/>
      <c r="N19" s="168"/>
      <c r="O19" s="168"/>
      <c r="P19" s="168"/>
      <c r="Q19" s="168"/>
      <c r="R19" s="788"/>
      <c r="S19" s="138"/>
    </row>
    <row r="20" spans="1:45" ht="16.5" thickBot="1">
      <c r="A20" s="715" t="s">
        <v>2999</v>
      </c>
      <c r="B20" s="338" t="e">
        <f ca="1">IF(D20="——",S22,S22-F20)</f>
        <v>#REF!</v>
      </c>
      <c r="C20" s="168"/>
      <c r="D20" s="2911" t="s">
        <v>3000</v>
      </c>
      <c r="E20" s="1792"/>
      <c r="F20" s="1204" t="e">
        <f ca="1">SUMIF(INDIRECT("'"&amp;H20&amp;"'"&amp;"!A:A"),"承租人权益价值",INDIRECT("'"&amp;H20&amp;"'"&amp;"!c:c"))</f>
        <v>#REF!</v>
      </c>
      <c r="G20" s="1204" t="s">
        <v>3001</v>
      </c>
      <c r="H20" s="2912"/>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155" t="s">
        <v>33</v>
      </c>
      <c r="D22" s="3156"/>
      <c r="E22" s="3156"/>
      <c r="F22" s="3156"/>
      <c r="G22" s="3156"/>
      <c r="H22" s="3156"/>
      <c r="I22" s="3156"/>
      <c r="J22" s="3156"/>
      <c r="K22" s="3156"/>
      <c r="L22" s="3156"/>
      <c r="M22" s="3156"/>
      <c r="N22" s="3156"/>
      <c r="O22" s="3156"/>
      <c r="P22" s="3156"/>
      <c r="Q22" s="3326"/>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92141</v>
      </c>
      <c r="C2" s="2" t="s">
        <v>133</v>
      </c>
      <c r="D2" s="243"/>
      <c r="E2" s="243"/>
      <c r="F2" s="243"/>
      <c r="G2" s="243"/>
    </row>
    <row r="3" spans="1:7" s="244" customFormat="1" ht="18" customHeight="1" thickBot="1">
      <c r="A3" s="247" t="s">
        <v>85</v>
      </c>
      <c r="B3" s="248">
        <f ca="1">ROUND(B2*10000/'数据-汇总表'!E3,0)</f>
        <v>16457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1064</v>
      </c>
      <c r="D10" s="1032">
        <f>'数据-汇总表'!E6</f>
        <v>55990.490000000005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1120</v>
      </c>
      <c r="D19" s="1036">
        <f>'数据-汇总表'!E3</f>
        <v>55990.490000000005</v>
      </c>
      <c r="E19" s="255">
        <f>'数据-取费表'!B31</f>
        <v>200</v>
      </c>
      <c r="F19" s="275"/>
      <c r="G19" s="1" t="s">
        <v>1071</v>
      </c>
    </row>
    <row r="20" spans="1:7" s="258" customFormat="1" ht="13.5" customHeight="1">
      <c r="A20" s="948" t="s">
        <v>1054</v>
      </c>
      <c r="B20" s="254" t="s">
        <v>104</v>
      </c>
      <c r="C20" s="276">
        <f>ROUND((C5+C19)*F20,0)</f>
        <v>543</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3">
        <f ca="1">ROUND(SUM(C23:C25),0)</f>
        <v>2705</v>
      </c>
      <c r="D22" s="279">
        <f ca="1">C26</f>
        <v>1.5E-3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2535</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1055</v>
      </c>
      <c r="C25" s="1354">
        <f ca="1">ROUND(IF('数据-取费表'!B22&lt;=1,C20*F22*'数据-取费表'!B23/2,C20*(POWER((1+F22),'数据-取费表'!B23/2)-1)),0)</f>
        <v>32</v>
      </c>
      <c r="D25" s="282"/>
      <c r="E25" s="285"/>
      <c r="F25" s="283"/>
      <c r="G25" s="286" t="s">
        <v>110</v>
      </c>
    </row>
    <row r="26" spans="1:7" s="258" customFormat="1">
      <c r="A26" s="951" t="s">
        <v>795</v>
      </c>
      <c r="B26" s="259" t="s">
        <v>1057</v>
      </c>
      <c r="C26" s="282">
        <f ca="1">ROUND(IF('数据-取费表'!B22&lt;=1,F21*F22*'数据-取费表'!B23/2,F21*(POWER((1+F22),'数据-取费表'!B23/2)-1)),4)</f>
        <v>1.5E-3</v>
      </c>
      <c r="D26" s="282"/>
      <c r="E26" s="285"/>
      <c r="F26" s="283"/>
      <c r="G26" s="287"/>
    </row>
    <row r="27" spans="1:7" s="258" customFormat="1" ht="24.75">
      <c r="A27" s="948" t="s">
        <v>787</v>
      </c>
      <c r="B27" s="288" t="s">
        <v>112</v>
      </c>
      <c r="C27" s="289">
        <f>C28</f>
        <v>5568</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5568</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33390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48824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44792</v>
      </c>
      <c r="D34" s="261"/>
      <c r="E34" s="264"/>
      <c r="F34" s="301">
        <f>IF('数据-取费表'!B24=0,1,'数据-取费表'!N16)</f>
        <v>1</v>
      </c>
      <c r="G34" s="263" t="s">
        <v>116</v>
      </c>
    </row>
    <row r="35" spans="1:7" ht="13.5" customHeight="1">
      <c r="A35" s="951" t="s">
        <v>796</v>
      </c>
      <c r="B35" s="259" t="s">
        <v>60</v>
      </c>
      <c r="C35" s="264">
        <f>ROUND(C34*F35,0)</f>
        <v>2240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1120</v>
      </c>
      <c r="D37" s="261">
        <f>'数据-汇总表'!E3</f>
        <v>55990.490000000005</v>
      </c>
      <c r="E37" s="293">
        <f>'数据-取费表'!B35</f>
        <v>200</v>
      </c>
      <c r="F37" s="303"/>
      <c r="G37" s="305" t="s">
        <v>119</v>
      </c>
    </row>
    <row r="38" spans="1:7" ht="13.5" customHeight="1">
      <c r="A38" s="951" t="s">
        <v>799</v>
      </c>
      <c r="B38" s="259" t="s">
        <v>63</v>
      </c>
      <c r="C38" s="264">
        <f>ROUND(C34*F38,0)</f>
        <v>672</v>
      </c>
      <c r="D38" s="264"/>
      <c r="E38" s="264"/>
      <c r="F38" s="303">
        <f>'数据-取费表'!B36</f>
        <v>1.4999999999999999E-2</v>
      </c>
      <c r="G38" s="263" t="s">
        <v>117</v>
      </c>
    </row>
    <row r="39" spans="1:7" s="258" customFormat="1" ht="13.5" customHeight="1">
      <c r="A39" s="948" t="s">
        <v>783</v>
      </c>
      <c r="B39" s="254" t="s">
        <v>104</v>
      </c>
      <c r="C39" s="276">
        <f>ROUND(C33*F20,0)</f>
        <v>1221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2989</v>
      </c>
      <c r="D41" s="279">
        <f ca="1">C44</f>
        <v>1.5E-3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2916</v>
      </c>
      <c r="D42" s="282"/>
      <c r="E42" s="282"/>
      <c r="F42" s="283"/>
      <c r="G42" s="3160" t="s">
        <v>121</v>
      </c>
    </row>
    <row r="43" spans="1:7" ht="13.5" customHeight="1">
      <c r="A43" s="951" t="s">
        <v>792</v>
      </c>
      <c r="B43" s="259" t="s">
        <v>1061</v>
      </c>
      <c r="C43" s="282">
        <f ca="1">ROUND(IF('数据-取费表'!B22&lt;=1,C39*F22*'数据-取费表'!B21/2,C39*(POWER((1+F22),'数据-取费表'!B21/2)-1)),0)</f>
        <v>73</v>
      </c>
      <c r="D43" s="282"/>
      <c r="E43" s="282"/>
      <c r="F43" s="283"/>
      <c r="G43" s="3161"/>
    </row>
    <row r="44" spans="1:7" ht="13.5" customHeight="1">
      <c r="A44" s="951" t="s">
        <v>793</v>
      </c>
      <c r="B44" s="259" t="s">
        <v>1063</v>
      </c>
      <c r="C44" s="282">
        <f ca="1">ROUND(IF('数据-取费表'!B22&lt;=1,C40*F22*'数据-取费表'!B21/2,C40*(POWER((1+F22),'数据-取费表'!B21/2)-1)),4)</f>
        <v>1.5E-3</v>
      </c>
      <c r="D44" s="282"/>
      <c r="E44" s="282"/>
      <c r="F44" s="283"/>
      <c r="G44" s="3162"/>
    </row>
    <row r="45" spans="1:7" s="258" customFormat="1" ht="13.5" customHeight="1">
      <c r="A45" s="948" t="s">
        <v>786</v>
      </c>
      <c r="B45" s="288" t="s">
        <v>112</v>
      </c>
      <c r="C45" s="289">
        <f>C46</f>
        <v>12511</v>
      </c>
      <c r="D45" s="279">
        <f>C47</f>
        <v>6.3E-3</v>
      </c>
      <c r="E45" s="280" t="s">
        <v>129</v>
      </c>
      <c r="F45" s="290"/>
      <c r="G45" s="291" t="s">
        <v>1069</v>
      </c>
    </row>
    <row r="46" spans="1:7" s="258" customFormat="1" ht="13.5" customHeight="1">
      <c r="A46" s="951" t="s">
        <v>794</v>
      </c>
      <c r="B46" s="292" t="s">
        <v>1062</v>
      </c>
      <c r="C46" s="293">
        <f>ROUND((C33+C39)*F27,0)</f>
        <v>12511</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71648</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58751</v>
      </c>
      <c r="D51" s="276"/>
      <c r="E51" s="276"/>
      <c r="F51" s="308"/>
      <c r="G51" s="278" t="s">
        <v>64</v>
      </c>
    </row>
    <row r="52" spans="1:7" s="252" customFormat="1" ht="16.5" thickBot="1">
      <c r="A52" s="309" t="s">
        <v>65</v>
      </c>
      <c r="B52" s="310"/>
      <c r="C52" s="311">
        <f ca="1">C31+C51</f>
        <v>92141</v>
      </c>
      <c r="D52" s="310"/>
      <c r="E52" s="310"/>
      <c r="F52" s="310"/>
      <c r="G52" s="312"/>
    </row>
    <row r="55" spans="1:7" ht="15">
      <c r="B55" s="314" t="s">
        <v>66</v>
      </c>
      <c r="C55" s="315"/>
    </row>
    <row r="56" spans="1:7">
      <c r="B56" s="317" t="s">
        <v>67</v>
      </c>
      <c r="C56" s="318">
        <f ca="1">ROUND(C51/C52,3)</f>
        <v>0.63800000000000001</v>
      </c>
    </row>
    <row r="57" spans="1:7">
      <c r="B57" s="317" t="s">
        <v>68</v>
      </c>
      <c r="C57" s="319">
        <f ca="1">1-C56</f>
        <v>0.36199999999999999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0" t="s">
        <v>156</v>
      </c>
      <c r="B1" s="3330"/>
      <c r="C1" s="3330"/>
      <c r="D1" s="3330"/>
      <c r="E1" s="3330"/>
      <c r="F1" s="33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1" t="s">
        <v>169</v>
      </c>
      <c r="B2" s="3331"/>
      <c r="C2" s="3331"/>
      <c r="D2" s="3331"/>
      <c r="E2" s="3331"/>
      <c r="F2" s="33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0" t="s">
        <v>868</v>
      </c>
      <c r="B1" s="333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1286</v>
      </c>
      <c r="C1" s="1693">
        <f>项目基本情况!D3</f>
        <v>43605</v>
      </c>
      <c r="D1" s="1699" t="s">
        <v>1287</v>
      </c>
      <c r="E1" s="1694">
        <f>'数据-取费表'!B22</f>
        <v>2.5</v>
      </c>
      <c r="F1" s="1699" t="s">
        <v>1288</v>
      </c>
      <c r="G1" s="1695">
        <f ca="1">INDIRECT("d"&amp;$K$1)/100</f>
        <v>4.7500000000000001E-2</v>
      </c>
      <c r="H1" s="1699" t="s">
        <v>1318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1289</v>
      </c>
      <c r="E2" s="1635"/>
      <c r="F2" s="1635" t="s">
        <v>1290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1296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1297</v>
      </c>
      <c r="C10" s="1663"/>
      <c r="D10" s="1663"/>
      <c r="E10" s="1663"/>
      <c r="F10" s="1663"/>
      <c r="G10" s="1663"/>
      <c r="H10" s="1663"/>
      <c r="I10" s="1637"/>
      <c r="J10" s="1637"/>
      <c r="K10" s="1663"/>
      <c r="L10" s="1664" t="s">
        <v>1298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1299</v>
      </c>
      <c r="C11" s="1668" t="s">
        <v>1300</v>
      </c>
      <c r="D11" s="1669" t="s">
        <v>1301</v>
      </c>
      <c r="E11" s="1670"/>
      <c r="F11" s="1669" t="s">
        <v>1302</v>
      </c>
      <c r="G11" s="1671"/>
      <c r="H11" s="1670"/>
      <c r="I11" s="1669" t="s">
        <v>1303</v>
      </c>
      <c r="J11" s="1670"/>
      <c r="K11" s="1666"/>
      <c r="L11" s="1667" t="s">
        <v>1299</v>
      </c>
      <c r="M11" s="1668" t="s">
        <v>1300</v>
      </c>
      <c r="N11" s="1667" t="s">
        <v>1304</v>
      </c>
      <c r="O11" s="1669" t="s">
        <v>1305</v>
      </c>
      <c r="P11" s="1671"/>
      <c r="Q11" s="1671"/>
      <c r="R11" s="1671"/>
      <c r="S11" s="1671"/>
      <c r="T11" s="1670"/>
      <c r="U11" s="1669" t="s">
        <v>1306</v>
      </c>
      <c r="V11" s="1671"/>
      <c r="W11" s="1670"/>
      <c r="X11" s="1667" t="s">
        <v>1307</v>
      </c>
      <c r="Y11" s="1667" t="s">
        <v>1308</v>
      </c>
      <c r="Z11" s="1667" t="s">
        <v>1309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1310</v>
      </c>
      <c r="E12" s="1676" t="s">
        <v>1311</v>
      </c>
      <c r="F12" s="1676" t="s">
        <v>1312</v>
      </c>
      <c r="G12" s="1676" t="s">
        <v>1313</v>
      </c>
      <c r="H12" s="1676" t="s">
        <v>1295</v>
      </c>
      <c r="I12" s="1677" t="s">
        <v>1314</v>
      </c>
      <c r="J12" s="1677" t="s">
        <v>1314</v>
      </c>
      <c r="K12" s="1673"/>
      <c r="L12" s="1674"/>
      <c r="M12" s="1675"/>
      <c r="N12" s="1674"/>
      <c r="O12" s="1677" t="s">
        <v>1315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1316</v>
      </c>
      <c r="C13" s="1681">
        <v>42301</v>
      </c>
      <c r="D13" s="1682">
        <v>4.3499999999999996</v>
      </c>
      <c r="E13" s="1682">
        <v>4.3499999999999996</v>
      </c>
      <c r="F13" s="1682">
        <v>4.75</v>
      </c>
      <c r="G13" s="1682">
        <v>4.75</v>
      </c>
      <c r="H13" s="1682">
        <v>4.9000000000000004</v>
      </c>
      <c r="I13" s="1682">
        <v>2.75</v>
      </c>
      <c r="J13" s="1682">
        <v>3.25</v>
      </c>
      <c r="K13" s="1679"/>
      <c r="L13" s="1680" t="s">
        <v>1316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1317</v>
      </c>
      <c r="Y42" s="1686" t="s">
        <v>1317</v>
      </c>
      <c r="Z42" s="1686" t="s">
        <v>1317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1317</v>
      </c>
      <c r="Y43" s="1686" t="s">
        <v>1317</v>
      </c>
      <c r="Z43" s="1686" t="s">
        <v>1317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1317</v>
      </c>
      <c r="Y44" s="1686" t="s">
        <v>1317</v>
      </c>
      <c r="Z44" s="1686" t="s">
        <v>1317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1317</v>
      </c>
      <c r="Y45" s="1686" t="s">
        <v>1317</v>
      </c>
      <c r="Z45" s="1686" t="s">
        <v>1317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1317</v>
      </c>
      <c r="Y46" s="1686" t="s">
        <v>1317</v>
      </c>
      <c r="Z46" s="1686" t="s">
        <v>1317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1317</v>
      </c>
      <c r="Y47" s="1686" t="s">
        <v>1317</v>
      </c>
      <c r="Z47" s="1686" t="s">
        <v>1317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1317</v>
      </c>
      <c r="Y48" s="1686" t="s">
        <v>1317</v>
      </c>
      <c r="Z48" s="1686" t="s">
        <v>1317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1317</v>
      </c>
      <c r="Y49" s="1686" t="s">
        <v>1317</v>
      </c>
      <c r="Z49" s="1686" t="s">
        <v>1317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1317</v>
      </c>
      <c r="Y50" s="1686" t="s">
        <v>1317</v>
      </c>
      <c r="Z50" s="1686" t="s">
        <v>1317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1317</v>
      </c>
      <c r="V51" s="1686" t="s">
        <v>1317</v>
      </c>
      <c r="W51" s="1686" t="s">
        <v>1317</v>
      </c>
      <c r="X51" s="1686" t="s">
        <v>1317</v>
      </c>
      <c r="Y51" s="1686" t="s">
        <v>1317</v>
      </c>
      <c r="Z51" s="1686" t="s">
        <v>1317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1317</v>
      </c>
      <c r="J55" s="1686" t="s">
        <v>1317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1358</v>
      </c>
      <c r="E1" s="1775" t="s">
        <v>1362</v>
      </c>
      <c r="F1" s="1776" t="s">
        <v>1366</v>
      </c>
    </row>
    <row r="2" spans="1:13" ht="20.25">
      <c r="A2" s="1782" t="s">
        <v>1359</v>
      </c>
    </row>
    <row r="3" spans="1:13" ht="16.5">
      <c r="A3" s="1783" t="s">
        <v>1360</v>
      </c>
    </row>
    <row r="4" spans="1:13" ht="14.25">
      <c r="A4" s="1773" t="s">
        <v>1361</v>
      </c>
      <c r="B4" s="1778" t="s">
        <v>1363</v>
      </c>
      <c r="C4" s="1779"/>
      <c r="D4" s="1780"/>
      <c r="E4" s="1778" t="s">
        <v>27</v>
      </c>
      <c r="F4" s="1779"/>
      <c r="G4" s="1780"/>
      <c r="H4" s="1778" t="s">
        <v>1364</v>
      </c>
      <c r="I4" s="1779"/>
      <c r="J4" s="1780"/>
      <c r="K4" s="1778" t="s">
        <v>6</v>
      </c>
      <c r="L4" s="1779"/>
      <c r="M4" s="1780"/>
    </row>
    <row r="5" spans="1:13" ht="14.25">
      <c r="A5" s="1774" t="s">
        <v>1365</v>
      </c>
      <c r="B5" s="1773" t="s">
        <v>1367</v>
      </c>
      <c r="C5" s="1773" t="s">
        <v>1368</v>
      </c>
      <c r="D5" s="1773" t="s">
        <v>1369</v>
      </c>
      <c r="E5" s="1773" t="s">
        <v>1367</v>
      </c>
      <c r="F5" s="1773" t="s">
        <v>1368</v>
      </c>
      <c r="G5" s="1773" t="s">
        <v>1369</v>
      </c>
      <c r="H5" s="1773" t="s">
        <v>1367</v>
      </c>
      <c r="I5" s="1773" t="s">
        <v>1368</v>
      </c>
      <c r="J5" s="1773" t="s">
        <v>1369</v>
      </c>
      <c r="K5" s="1773" t="s">
        <v>1367</v>
      </c>
      <c r="L5" s="1773" t="s">
        <v>1368</v>
      </c>
      <c r="M5" s="1773" t="s">
        <v>1369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1627</v>
      </c>
      <c r="B2" s="2995" t="s">
        <v>1628</v>
      </c>
      <c r="C2" s="2995" t="s">
        <v>1629</v>
      </c>
      <c r="D2" s="2995" t="str">
        <f>结果表!D116</f>
        <v>出让国有建设用地使用权价值</v>
      </c>
      <c r="E2" s="2995"/>
      <c r="F2" s="2995" t="str">
        <f>结果表!F116</f>
        <v>建筑物价值</v>
      </c>
      <c r="G2" s="2995"/>
      <c r="H2" s="2995" t="str">
        <f>IF(项目基本情况!B9="房地产市场价值","房地产市场价值","房地产价值")</f>
        <v>房地产价值</v>
      </c>
      <c r="I2" s="2995"/>
    </row>
    <row r="3" spans="1:9" ht="15">
      <c r="A3" s="2989"/>
      <c r="B3" s="2989"/>
      <c r="C3" s="2989"/>
      <c r="D3" s="1044" t="s">
        <v>1624</v>
      </c>
      <c r="E3" s="1044" t="s">
        <v>1630</v>
      </c>
      <c r="F3" s="1044" t="s">
        <v>1624</v>
      </c>
      <c r="G3" s="1044" t="s">
        <v>1625</v>
      </c>
      <c r="H3" s="1044" t="s">
        <v>1624</v>
      </c>
      <c r="I3" s="1044" t="s">
        <v>1625</v>
      </c>
    </row>
    <row r="4" spans="1:9" ht="30">
      <c r="A4" s="1972" t="str">
        <f>项目基本情况!S2</f>
        <v>北京市北京经济技术开发区荣华南路12号1幢房地产</v>
      </c>
      <c r="B4" s="1044">
        <f>项目基本情况!C17</f>
        <v>55990.490000000005</v>
      </c>
      <c r="C4" s="1044">
        <f>项目基本情况!C18</f>
        <v>12625.6</v>
      </c>
      <c r="D4" s="1044">
        <f ca="1">结果表!D118</f>
        <v>72630</v>
      </c>
      <c r="E4" s="1044">
        <f ca="1">结果表!E118</f>
        <v>12972</v>
      </c>
      <c r="F4" s="1044">
        <f ca="1">结果表!F118</f>
        <v>56376</v>
      </c>
      <c r="G4" s="1044">
        <f ca="1">结果表!G118</f>
        <v>10069</v>
      </c>
      <c r="H4" s="1044">
        <f ca="1">结果表!H118</f>
        <v>129006</v>
      </c>
      <c r="I4" s="1044">
        <f ca="1">结果表!I118</f>
        <v>23041</v>
      </c>
    </row>
    <row r="5" spans="1:9" ht="30" customHeight="1">
      <c r="A5" s="2989" t="s">
        <v>1626</v>
      </c>
      <c r="B5" s="2989"/>
      <c r="C5" s="2989"/>
      <c r="D5" s="2990" t="str">
        <f ca="1">结果表!D119</f>
        <v>柒亿贰仟陆佰叁拾万元整</v>
      </c>
      <c r="E5" s="2990"/>
      <c r="F5" s="2990" t="str">
        <f ca="1">结果表!F119</f>
        <v>伍亿陆仟叁佰柒拾陆万元整</v>
      </c>
      <c r="G5" s="2990"/>
      <c r="H5" s="2990" t="str">
        <f ca="1">结果表!H119</f>
        <v>壹拾贰亿玖仟零陆万元整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1626</v>
      </c>
      <c r="B7" s="2989"/>
      <c r="C7" s="2989"/>
      <c r="D7" s="2991" t="str">
        <f>结果表!D121</f>
        <v>零元整</v>
      </c>
      <c r="E7" s="2992"/>
      <c r="F7" s="2992"/>
      <c r="G7" s="2992"/>
      <c r="H7" s="2992"/>
      <c r="I7" s="2993"/>
    </row>
    <row r="8" spans="1:9" ht="15.75">
      <c r="A8" s="2988" t="str">
        <f>结果表!A122</f>
        <v>房地产抵押价值</v>
      </c>
      <c r="B8" s="2988"/>
      <c r="C8" s="2988"/>
      <c r="D8" s="2988">
        <f ca="1">结果表!D122</f>
        <v>129006</v>
      </c>
      <c r="E8" s="2988"/>
      <c r="F8" s="2988"/>
      <c r="G8" s="2988"/>
      <c r="H8" s="2988"/>
      <c r="I8" s="2988"/>
    </row>
    <row r="9" spans="1:9" ht="15">
      <c r="A9" s="2989" t="s">
        <v>1626</v>
      </c>
      <c r="B9" s="2989"/>
      <c r="C9" s="2989"/>
      <c r="D9" s="2990" t="str">
        <f ca="1">结果表!D123</f>
        <v>壹拾贰亿玖仟零陆万元整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1626</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1626</v>
      </c>
      <c r="B13" s="2985"/>
      <c r="C13" s="2985"/>
      <c r="D13" s="2986" t="e">
        <f>结果表!D127</f>
        <v>#VALUE!</v>
      </c>
      <c r="E13" s="2986"/>
      <c r="F13" s="2986"/>
      <c r="G13" s="2986"/>
      <c r="H13" s="2986"/>
      <c r="I13" s="2986"/>
    </row>
    <row r="14" spans="1:9" ht="15" thickTop="1">
      <c r="A14" s="2987" t="s">
        <v>1631</v>
      </c>
      <c r="B14" s="2987"/>
      <c r="C14" s="2987"/>
      <c r="D14" s="2987"/>
      <c r="E14" s="2987"/>
      <c r="F14" s="2987"/>
      <c r="G14" s="2987"/>
      <c r="H14" s="2987"/>
      <c r="I14" s="2987"/>
    </row>
    <row r="16" spans="1:9" ht="18.75">
      <c r="A16" s="1973" t="s">
        <v>1614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2" t="s">
        <v>1648</v>
      </c>
      <c r="B1" s="3002"/>
      <c r="C1" s="3002"/>
      <c r="D1" s="3002"/>
    </row>
    <row r="2" spans="1:4" ht="18">
      <c r="A2" s="3003" t="s">
        <v>1632</v>
      </c>
      <c r="B2" s="3003"/>
      <c r="C2" s="3003"/>
      <c r="D2" s="3003"/>
    </row>
    <row r="3" spans="1:4" ht="18.75">
      <c r="A3" s="1976" t="s">
        <v>1633</v>
      </c>
      <c r="B3" s="1976" t="s">
        <v>1634</v>
      </c>
      <c r="C3" s="1976" t="s">
        <v>1635</v>
      </c>
      <c r="D3" s="1976" t="s">
        <v>1636</v>
      </c>
    </row>
    <row r="4" spans="1:4" ht="56.25" customHeight="1">
      <c r="A4" s="1977" t="str">
        <f>项目基本情况!B4</f>
        <v>郑燚</v>
      </c>
      <c r="B4" s="1978">
        <f ca="1">项目基本情况!C4</f>
        <v>1120070131</v>
      </c>
      <c r="C4" s="1979"/>
      <c r="D4" s="1980" t="s">
        <v>1637</v>
      </c>
    </row>
    <row r="5" spans="1:4" ht="56.25" customHeight="1">
      <c r="A5" s="1977" t="str">
        <f>项目基本情况!D4</f>
        <v>崔锴</v>
      </c>
      <c r="B5" s="1978">
        <f ca="1">项目基本情况!E4</f>
        <v>1120100036</v>
      </c>
      <c r="C5" s="1981"/>
      <c r="D5" s="1980" t="s">
        <v>1637</v>
      </c>
    </row>
    <row r="6" spans="1:4" ht="18">
      <c r="A6" s="3003" t="s">
        <v>1638</v>
      </c>
      <c r="B6" s="3003"/>
      <c r="C6" s="3003"/>
      <c r="D6" s="3003"/>
    </row>
    <row r="7" spans="1:4" ht="18.75">
      <c r="A7" s="1976" t="s">
        <v>1633</v>
      </c>
      <c r="B7" s="1978" t="s">
        <v>1639</v>
      </c>
      <c r="C7" s="1976" t="s">
        <v>1635</v>
      </c>
      <c r="D7" s="1976" t="s">
        <v>1636</v>
      </c>
    </row>
    <row r="8" spans="1:4" ht="56.25" customHeight="1">
      <c r="A8" s="1982" t="s">
        <v>866</v>
      </c>
      <c r="B8" s="1982" t="s">
        <v>1</v>
      </c>
      <c r="C8" s="1979"/>
      <c r="D8" s="1980" t="s">
        <v>1637</v>
      </c>
    </row>
    <row r="9" spans="1:4">
      <c r="A9" s="728"/>
      <c r="B9" s="728"/>
      <c r="C9" s="728"/>
      <c r="D9" s="728"/>
    </row>
    <row r="10" spans="1:4" ht="18.75">
      <c r="A10" s="1983" t="s">
        <v>1640</v>
      </c>
      <c r="B10" s="728"/>
      <c r="C10" s="728"/>
      <c r="D10" s="728"/>
    </row>
    <row r="11" spans="1:4" ht="30" customHeight="1">
      <c r="A11" s="3004" t="s">
        <v>1641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1642</v>
      </c>
      <c r="B16" s="2998"/>
      <c r="C16" s="2998"/>
      <c r="D16" s="2998"/>
    </row>
    <row r="17" spans="1:4" ht="144" customHeight="1">
      <c r="A17" s="2998" t="s">
        <v>1643</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1644</v>
      </c>
      <c r="B22" s="3000"/>
      <c r="C22" s="3000"/>
      <c r="D22" s="3000"/>
    </row>
    <row r="23" spans="1:4">
      <c r="A23" s="1984"/>
      <c r="B23" s="1956"/>
      <c r="C23" s="1956"/>
      <c r="D23" s="1956"/>
    </row>
    <row r="24" spans="1:4">
      <c r="A24" s="1984"/>
      <c r="B24" s="1956"/>
      <c r="C24" s="1956"/>
      <c r="D24" s="1956"/>
    </row>
    <row r="25" spans="1:4" ht="18.75">
      <c r="A25" s="1985" t="s">
        <v>1645</v>
      </c>
    </row>
    <row r="26" spans="1:4" ht="18">
      <c r="A26" s="1954"/>
    </row>
    <row r="27" spans="1:4" ht="18.75">
      <c r="A27" s="1954" t="s">
        <v>1646</v>
      </c>
    </row>
    <row r="30" spans="1:4" ht="18.75">
      <c r="D30" s="1985" t="s">
        <v>1647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1649</v>
      </c>
    </row>
    <row r="3" spans="1:7">
      <c r="A3" s="1990" t="s">
        <v>82</v>
      </c>
      <c r="B3" s="1974" t="s">
        <v>1650</v>
      </c>
      <c r="G3" s="1991"/>
    </row>
    <row r="4" spans="1:7">
      <c r="G4" s="1991"/>
    </row>
    <row r="5" spans="1:7">
      <c r="A5" s="1993" t="s">
        <v>73</v>
      </c>
      <c r="B5" s="1974" t="s">
        <v>1651</v>
      </c>
      <c r="G5" s="1991"/>
    </row>
    <row r="6" spans="1:7">
      <c r="G6" s="1991"/>
    </row>
    <row r="7" spans="1:7">
      <c r="A7" s="1994" t="s">
        <v>135</v>
      </c>
      <c r="B7" s="1974" t="s">
        <v>1652</v>
      </c>
      <c r="G7" s="1991"/>
    </row>
    <row r="8" spans="1:7">
      <c r="G8" s="1991"/>
    </row>
    <row r="9" spans="1:7">
      <c r="A9" s="1995" t="s">
        <v>74</v>
      </c>
      <c r="B9" s="1974" t="s">
        <v>1653</v>
      </c>
    </row>
    <row r="11" spans="1:7">
      <c r="A11" s="1996" t="s">
        <v>75</v>
      </c>
      <c r="B11" s="1997" t="s">
        <v>72</v>
      </c>
    </row>
    <row r="13" spans="1:7">
      <c r="A13" s="1998" t="s">
        <v>1654</v>
      </c>
    </row>
    <row r="15" spans="1:7" ht="13.5">
      <c r="A15" s="3010" t="s">
        <v>1655</v>
      </c>
      <c r="B15" s="3005" t="s">
        <v>136</v>
      </c>
      <c r="C15" s="3006"/>
    </row>
    <row r="16" spans="1:7" ht="13.5">
      <c r="A16" s="3011"/>
      <c r="B16" s="3005" t="s">
        <v>69</v>
      </c>
      <c r="C16" s="3006"/>
    </row>
    <row r="17" spans="1:3" ht="13.5">
      <c r="A17" s="3011"/>
      <c r="B17" s="3008" t="s">
        <v>1656</v>
      </c>
      <c r="C17" s="1999" t="s">
        <v>1655</v>
      </c>
    </row>
    <row r="18" spans="1:3" ht="13.5">
      <c r="A18" s="3011"/>
      <c r="B18" s="3008"/>
      <c r="C18" s="1999" t="s">
        <v>1657</v>
      </c>
    </row>
    <row r="19" spans="1:3" ht="13.5">
      <c r="A19" s="3011"/>
      <c r="B19" s="3008"/>
      <c r="C19" s="1999" t="s">
        <v>1658</v>
      </c>
    </row>
    <row r="20" spans="1:3" ht="13.5">
      <c r="A20" s="3012"/>
      <c r="B20" s="3007" t="s">
        <v>1659</v>
      </c>
      <c r="C20" s="3006"/>
    </row>
    <row r="21" spans="1:3" ht="13.5">
      <c r="A21" s="2000" t="s">
        <v>1660</v>
      </c>
      <c r="B21" s="2001"/>
      <c r="C21" s="2002"/>
    </row>
    <row r="22" spans="1:3" ht="13.5">
      <c r="A22" s="3009" t="s">
        <v>1661</v>
      </c>
      <c r="B22" s="3007" t="s">
        <v>1662</v>
      </c>
      <c r="C22" s="3006"/>
    </row>
    <row r="23" spans="1:3" ht="13.5">
      <c r="A23" s="3009"/>
      <c r="B23" s="3007" t="s">
        <v>1663</v>
      </c>
      <c r="C23" s="3006"/>
    </row>
    <row r="24" spans="1:3" ht="13.5">
      <c r="A24" s="3009"/>
      <c r="B24" s="3007" t="s">
        <v>1664</v>
      </c>
      <c r="C24" s="3006"/>
    </row>
    <row r="25" spans="1:3" ht="13.5">
      <c r="A25" s="3009"/>
      <c r="B25" s="3008" t="s">
        <v>1665</v>
      </c>
      <c r="C25" s="1999" t="s">
        <v>1666</v>
      </c>
    </row>
    <row r="26" spans="1:3" ht="13.5">
      <c r="A26" s="3009"/>
      <c r="B26" s="3008"/>
      <c r="C26" s="1999" t="s">
        <v>1667</v>
      </c>
    </row>
    <row r="27" spans="1:3" ht="13.5">
      <c r="A27" s="3009"/>
      <c r="B27" s="3008"/>
      <c r="C27" s="1999" t="s">
        <v>1668</v>
      </c>
    </row>
    <row r="28" spans="1:3" ht="13.5">
      <c r="A28" s="3009"/>
      <c r="B28" s="3008"/>
      <c r="C28" s="1999" t="s">
        <v>1669</v>
      </c>
    </row>
    <row r="29" spans="1:3" ht="13.5">
      <c r="A29" s="3009"/>
      <c r="B29" s="3008"/>
      <c r="C29" s="1999" t="s">
        <v>1670</v>
      </c>
    </row>
    <row r="30" spans="1:3" ht="13.5">
      <c r="A30" s="3009"/>
      <c r="B30" s="3008"/>
      <c r="C30" s="1999" t="s">
        <v>1671</v>
      </c>
    </row>
    <row r="31" spans="1:3" ht="13.5">
      <c r="A31" s="3009"/>
      <c r="B31" s="3008"/>
      <c r="C31" s="1999" t="s">
        <v>1672</v>
      </c>
    </row>
    <row r="32" spans="1:3" ht="13.5">
      <c r="A32" s="3009"/>
      <c r="B32" s="3008"/>
      <c r="C32" s="1999" t="s">
        <v>1673</v>
      </c>
    </row>
    <row r="33" spans="1:3" ht="13.5">
      <c r="A33" s="3009"/>
      <c r="B33" s="3008"/>
      <c r="C33" s="1999" t="s">
        <v>1674</v>
      </c>
    </row>
    <row r="34" spans="1:3">
      <c r="A34" s="2003" t="s">
        <v>76</v>
      </c>
    </row>
    <row r="37" spans="1:3">
      <c r="A37" s="2003" t="s">
        <v>1675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t="str">
        <f ca="1">IF(C10&lt;B2,"已过期",1120060040)</f>
        <v>已过期</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3027</v>
      </c>
      <c r="B14" s="1022">
        <f ca="1">IF(C14&lt;B2,"已过期",1120040230)</f>
        <v>1120040230</v>
      </c>
      <c r="C14" s="2345">
        <v>43835</v>
      </c>
      <c r="D14" s="2348" t="s">
        <v>3027</v>
      </c>
      <c r="E14" s="1022">
        <f ca="1">IF(F14&lt;B2,"已过期",98030020)</f>
        <v>98030020</v>
      </c>
      <c r="F14" s="1030">
        <v>47118</v>
      </c>
    </row>
    <row r="15" spans="1:6" ht="24" customHeight="1">
      <c r="A15" s="1702" t="s">
        <v>3028</v>
      </c>
      <c r="B15" s="1022">
        <f ca="1">IF(C15&lt;B2,"已过期",1120070085)</f>
        <v>1120070085</v>
      </c>
      <c r="C15" s="2345">
        <v>43814</v>
      </c>
      <c r="D15" s="2349" t="s">
        <v>3028</v>
      </c>
      <c r="E15" s="1022">
        <f ca="1">IF(F15&lt;B2,"已过期",2004110128)</f>
        <v>2004110128</v>
      </c>
      <c r="F15" s="1023">
        <v>47118</v>
      </c>
    </row>
    <row r="16" spans="1:6" ht="24" customHeight="1">
      <c r="A16" s="1701" t="s">
        <v>3029</v>
      </c>
      <c r="B16" s="1022">
        <f ca="1">IF(C16&lt;B2,"已过期",1120140022)</f>
        <v>1120140022</v>
      </c>
      <c r="C16" s="2928">
        <v>44029</v>
      </c>
      <c r="D16" s="2348" t="s">
        <v>3029</v>
      </c>
      <c r="E16" s="1022">
        <f ca="1">IF(F16&lt;B2,"已过期",2008110059)</f>
        <v>2008110059</v>
      </c>
      <c r="F16" s="1030">
        <v>47177</v>
      </c>
    </row>
    <row r="17" spans="1:7" ht="24" customHeight="1">
      <c r="A17" s="1701"/>
      <c r="B17" s="1022"/>
      <c r="C17" s="2345"/>
      <c r="D17" s="2348" t="s">
        <v>3030</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8">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1319</v>
      </c>
      <c r="B24" s="1702" t="s">
        <v>1319</v>
      </c>
      <c r="C24" s="2346" t="s">
        <v>1319</v>
      </c>
      <c r="D24" s="2349" t="s">
        <v>1319</v>
      </c>
      <c r="E24" s="1702" t="s">
        <v>1319</v>
      </c>
      <c r="F24" s="1702" t="s">
        <v>1319</v>
      </c>
    </row>
    <row r="25" spans="1:7" ht="24" customHeight="1">
      <c r="A25" s="3013" t="s">
        <v>843</v>
      </c>
      <c r="B25" s="3013"/>
      <c r="C25" s="3013"/>
      <c r="D25" s="3013"/>
      <c r="E25" s="3013"/>
      <c r="F25" s="3013"/>
      <c r="G25" s="3013"/>
    </row>
    <row r="26" spans="1:7" s="1025" customFormat="1" ht="24" customHeight="1">
      <c r="A26" s="3014" t="s">
        <v>844</v>
      </c>
      <c r="B26" s="3014"/>
      <c r="C26" s="3015"/>
      <c r="D26" s="3016" t="s">
        <v>845</v>
      </c>
      <c r="E26" s="3014"/>
      <c r="F26" s="301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2019-05-22T02:18:33Z</dcterms:modified>
</cp:coreProperties>
</file>